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F:\Production\myproject\"/>
    </mc:Choice>
  </mc:AlternateContent>
  <xr:revisionPtr revIDLastSave="0" documentId="13_ncr:1_{A4EBE86F-44A9-4290-A0CA-AB52CBE8B645}" xr6:coauthVersionLast="47" xr6:coauthVersionMax="47" xr10:uidLastSave="{00000000-0000-0000-0000-000000000000}"/>
  <bookViews>
    <workbookView xWindow="-120" yWindow="-120" windowWidth="29040" windowHeight="15720" firstSheet="134" activeTab="142" xr2:uid="{00000000-000D-0000-FFFF-FFFF00000000}"/>
  </bookViews>
  <sheets>
    <sheet name="Bảng tổng" sheetId="33" r:id="rId1"/>
    <sheet name="Hộp 120 Trắng" sheetId="1" r:id="rId2"/>
    <sheet name="Hộp 80 Trắng 10,10" sheetId="97" r:id="rId3"/>
    <sheet name="Hộp 120 Xanh" sheetId="2" r:id="rId4"/>
    <sheet name="Hộp bướm đen" sheetId="3" r:id="rId5"/>
    <sheet name="Hộp HV" sheetId="4" r:id="rId6"/>
    <sheet name="Hộp hồng đỏ" sheetId="5" r:id="rId7"/>
    <sheet name="Hộp bướm bạc" sheetId="7" r:id="rId8"/>
    <sheet name="Hộp NX" sheetId="8" r:id="rId9"/>
    <sheet name="Hộp oto" sheetId="9" r:id="rId10"/>
    <sheet name="Bao Trắng 180" sheetId="10" r:id="rId11"/>
    <sheet name="Bao vô cây CN " sheetId="55" r:id="rId12"/>
    <sheet name="Bao vô cây CN  10 cuộn" sheetId="114" r:id="rId13"/>
    <sheet name="Bao 5 cuộn CN" sheetId="56" r:id="rId14"/>
    <sheet name="Bao vô cây 12 cuộn" sheetId="57" r:id="rId15"/>
    <sheet name="Bao vô cây 10 cuộn" sheetId="58" r:id="rId16"/>
    <sheet name="Bao vô cây NK 24 TL" sheetId="146" r:id="rId17"/>
    <sheet name="Bao Trắng GVS 10 cuộn có lõi" sheetId="131" r:id="rId18"/>
    <sheet name="Bao Trắng 120" sheetId="11" r:id="rId19"/>
    <sheet name="Bao trăng 23 cân" sheetId="39" r:id="rId20"/>
    <sheet name="Bao trăng 33 cân " sheetId="124" r:id="rId21"/>
    <sheet name="Bao trăng sp cân.3 lơp" sheetId="88" r:id="rId22"/>
    <sheet name="Bao trăng sp cân.2 lơp " sheetId="118" r:id="rId23"/>
    <sheet name="Bao trăng sp 10 gói" sheetId="89" r:id="rId24"/>
    <sheet name="Bao trăng NK 33 600G" sheetId="140" r:id="rId25"/>
    <sheet name="Nilon NK Lá cây" sheetId="12" r:id="rId26"/>
    <sheet name="Túi nilong tròn 33" sheetId="34" r:id="rId27"/>
    <sheet name="Túi nilong tròn 23" sheetId="36" r:id="rId28"/>
    <sheet name="Túi GVS 2 lớp 10 cuộn Có lõi" sheetId="37" r:id="rId29"/>
    <sheet name="Túi GVS 10 cuộn 3 lớp Có lõi " sheetId="40" r:id="rId30"/>
    <sheet name="Túi GVS 12 cuộn 3 lớp Có lõi. " sheetId="53" r:id="rId31"/>
    <sheet name="Túi GVS 10 cuộn 3 lớp không lõi" sheetId="41" r:id="rId32"/>
    <sheet name="Túi GVS 12 cuộn 3 lớp không lõi" sheetId="54" r:id="rId33"/>
    <sheet name="Túi GVS có lõi Shera 12 cuộn" sheetId="115" r:id="rId34"/>
    <sheet name="Nilon NK cánh bướm" sheetId="13" r:id="rId35"/>
    <sheet name="Nilon SP Lá cây" sheetId="14" r:id="rId36"/>
    <sheet name="Nilon SP Tròn" sheetId="15" r:id="rId37"/>
    <sheet name="Màng bọc cuộn CN" sheetId="52" r:id="rId38"/>
    <sheet name="Màng bọc cuộn CN.mới" sheetId="133" r:id="rId39"/>
    <sheet name="Màng ĐN 100 tờ" sheetId="95" r:id="rId40"/>
    <sheet name="MÀNG SP 250 TỜ 2 LỚP M871" sheetId="60" r:id="rId41"/>
    <sheet name="MÀNG SP 100 TỜ 4 LỚP M857" sheetId="61" r:id="rId42"/>
    <sheet name="MÀNG SP 100 TỜ 3 LỚP M864" sheetId="62" r:id="rId43"/>
    <sheet name="MÀNG SP 180 TỜ 3 LỚP " sheetId="101" r:id="rId44"/>
    <sheet name="TÚI VỆ SINH RÚT ĐÁY" sheetId="63" r:id="rId45"/>
    <sheet name="TÚI RÚT ĐA NĂNG" sheetId="64" r:id="rId46"/>
    <sheet name="Thùng catton SP" sheetId="16" r:id="rId47"/>
    <sheet name="Thùng catton 120" sheetId="17" r:id="rId48"/>
    <sheet name="Thùng catton NK 23" sheetId="18" r:id="rId49"/>
    <sheet name="Thùng catton NK 23 cân" sheetId="31" r:id="rId50"/>
    <sheet name="Thùng catton NK 33" sheetId="19" r:id="rId51"/>
    <sheet name="Thùng catton 180" sheetId="20" r:id="rId52"/>
    <sheet name="Thùng catton VS RÚT ĐÁY" sheetId="70" r:id="rId53"/>
    <sheet name="Thùng catton VS RÚT ĐÁY 12g" sheetId="92" r:id="rId54"/>
    <sheet name="Thùng catton ĐA NĂNG RÚT ĐÁY" sheetId="71" r:id="rId55"/>
    <sheet name="Thùng catton ĐA NĂNG RÚT ĐÁY 12" sheetId="94" r:id="rId56"/>
    <sheet name="Thùng catton SP 175- 2 LƠP.60G " sheetId="72" r:id="rId57"/>
    <sheet name="Thùng catton SP 175 - 2 LƠP.18G" sheetId="75" r:id="rId58"/>
    <sheet name="Thùng catton SP 115 - 3 LỚP" sheetId="73" r:id="rId59"/>
    <sheet name="Thùng catton SP 115 - 4 LỚP" sheetId="74" r:id="rId60"/>
    <sheet name="Thùng catton SP 115 - 4 LỚP 100" sheetId="90" r:id="rId61"/>
    <sheet name="Thùng catton SP 115 - 3 LỚP100 " sheetId="91" r:id="rId62"/>
    <sheet name="Phôi NK 325" sheetId="21" r:id="rId63"/>
    <sheet name="Phôi NK 23" sheetId="22" r:id="rId64"/>
    <sheet name="Phôi giấy KH 760" sheetId="23" r:id="rId65"/>
    <sheet name="Phôi Nk 33,XG" sheetId="142" r:id="rId66"/>
    <sheet name="Phôi Nk 21,XG" sheetId="143" r:id="rId67"/>
    <sheet name="Phôi giấy XG .KH 2850 ĐL 17" sheetId="42" r:id="rId68"/>
    <sheet name="Phôi giấy XG .KH 2850 ĐL 17,1L" sheetId="136" r:id="rId69"/>
    <sheet name="Phôi giấy XG. KH 2850 DL 14" sheetId="47" r:id="rId70"/>
    <sheet name="Phôi giấy XG. KH 2850.DL 15.1L" sheetId="135" r:id="rId71"/>
    <sheet name="Phôi giấy XG. KH 2910 DL 15.gộp" sheetId="102" r:id="rId72"/>
    <sheet name="Phôi giấy XG. KH 2870 DL16,5" sheetId="105" r:id="rId73"/>
    <sheet name="Phôi giấy XG. KH 2900 DL17" sheetId="122" r:id="rId74"/>
    <sheet name="Phôi giấy XG. KH 2870 DL15.gộp " sheetId="123" r:id="rId75"/>
    <sheet name="Phôi giấy XG. KH 2870 DL15,3L" sheetId="126" r:id="rId76"/>
    <sheet name="Phôi giấy XG. KH 2870 DL 18,5" sheetId="106" r:id="rId77"/>
    <sheet name="Phôi giấy XG. KH 2870 DL 18" sheetId="104" r:id="rId78"/>
    <sheet name="Phôi giấy XG. KH 2770 DL 17" sheetId="68" r:id="rId79"/>
    <sheet name="Phôi giấy XG. KH 2770 DL 14" sheetId="66" r:id="rId80"/>
    <sheet name="Phôi giấy XGKH 1420 DL 13.2 LỚP" sheetId="43" r:id="rId81"/>
    <sheet name="Phôi giấy XGKH 1420 DL 15,2L " sheetId="110" r:id="rId82"/>
    <sheet name="Phôi giấy XGKH 1420 DL 22.2 LỚP" sheetId="50" r:id="rId83"/>
    <sheet name="Phôi giấy XGKH 1420 DL13, 3 LỚP" sheetId="48" r:id="rId84"/>
    <sheet name="Phôi giấy XGKH 240. DL17 2 LỚP" sheetId="59" r:id="rId85"/>
    <sheet name="Phôi giấy XGK800 . DL22" sheetId="98" r:id="rId86"/>
    <sheet name="Phôi giấy BNKH 240. DL17 2L" sheetId="85" r:id="rId87"/>
    <sheet name="Phôi giấy LAKH 1870 DL13, 2 LỚP" sheetId="51" r:id="rId88"/>
    <sheet name="Phôi giấy  BNKH 1900 DL13, 2L " sheetId="84" r:id="rId89"/>
    <sheet name="Phôi giấy  HLKH 1980 DL13, 4 ớp" sheetId="86" r:id="rId90"/>
    <sheet name="Phôi giấy JP DL12.5 3L K1400 " sheetId="147" r:id="rId91"/>
    <sheet name="Phôi giấy JP DL13 2L K1400  " sheetId="148" r:id="rId92"/>
    <sheet name="Phôi giấy  JPCORELEX DL 15" sheetId="108" r:id="rId93"/>
    <sheet name="Phôi giấy  JPCORELEX DL 18,5" sheetId="128" r:id="rId94"/>
    <sheet name="Phôi giấy  JPCORELEX DL 18" sheetId="109" r:id="rId95"/>
    <sheet name="Phôi giấy  AN HÒA.K2850.DL 17.5" sheetId="116" r:id="rId96"/>
    <sheet name="Phôi   AN HÒA.K2850.DL17,gộp" sheetId="117" r:id="rId97"/>
    <sheet name="Phôi giấy  AN HÒA.K2850.DL17 2L" sheetId="149" r:id="rId98"/>
    <sheet name="Phôi giấy  AN HÒA.K2850.DL15" sheetId="139" r:id="rId99"/>
    <sheet name="lõi 46 1950" sheetId="44" r:id="rId100"/>
    <sheet name="lõi 42 2795" sheetId="77" r:id="rId101"/>
    <sheet name="lõi 46 2880HT" sheetId="45" r:id="rId102"/>
    <sheet name="lõi 35 2880" sheetId="87" r:id="rId103"/>
    <sheet name="lõi 46 2940.A HOC" sheetId="78" r:id="rId104"/>
    <sheet name="lõi 35 2880.A HOC " sheetId="79" r:id="rId105"/>
    <sheet name="lõi 46. 2880.A HOC " sheetId="81" r:id="rId106"/>
    <sheet name="lõi 40. 2940.A HOC (gộp)" sheetId="113" r:id="rId107"/>
    <sheet name="lõi 40. 2940.A HOC.tách" sheetId="120" r:id="rId108"/>
    <sheet name="lõi 40. 2880.A HOC.tách" sheetId="121" r:id="rId109"/>
    <sheet name="lõi 76. 2940.A HOC  " sheetId="107" r:id="rId110"/>
    <sheet name="lõi 76. 2800.A HOC" sheetId="119" r:id="rId111"/>
    <sheet name="lõi 76. 2870.trắng" sheetId="138" r:id="rId112"/>
    <sheet name="lõi 76 2880 " sheetId="46" r:id="rId113"/>
    <sheet name="lõi 76 2880.HT" sheetId="132" r:id="rId114"/>
    <sheet name="lõi 76 2930.HT" sheetId="134" r:id="rId115"/>
    <sheet name="lõi 46 2930.HT" sheetId="137" r:id="rId116"/>
    <sheet name="Băng keo trắng" sheetId="24" r:id="rId117"/>
    <sheet name="Keo 3395FS" sheetId="25" r:id="rId118"/>
    <sheet name="Keo DÁN MÍ MG06" sheetId="80" r:id="rId119"/>
    <sheet name="Keo DÁN MÍ MG06 Đăc" sheetId="127" r:id="rId120"/>
    <sheet name="Keo DÁN MÍ MG125" sheetId="125" r:id="rId121"/>
    <sheet name="Dung môi máy phun date" sheetId="83" r:id="rId122"/>
    <sheet name="Tem NK 23." sheetId="27" r:id="rId123"/>
    <sheet name="Tem 24" sheetId="100" r:id="rId124"/>
    <sheet name="tem 24 1kg" sheetId="150" r:id="rId125"/>
    <sheet name="Tem GVS" sheetId="38" r:id="rId126"/>
    <sheet name="Tem dán bao vs 10 cuộn" sheetId="65" r:id="rId127"/>
    <sheet name="Tem Cuộn CN 2 lớp" sheetId="69" r:id="rId128"/>
    <sheet name="Tem Shera" sheetId="112" r:id="rId129"/>
    <sheet name="Tem sp cân 2 lớp" sheetId="111" r:id="rId130"/>
    <sheet name="Tem Cuộn CN 3 lớp " sheetId="76" r:id="rId131"/>
    <sheet name="Tem Cuộn CN 3 lớp  TL" sheetId="99" r:id="rId132"/>
    <sheet name="Tem  sp cân 3 lớp" sheetId="129" r:id="rId133"/>
    <sheet name="Tem nk cân 33" sheetId="130" r:id="rId134"/>
    <sheet name="Tem nk cân 33 TL" sheetId="141" r:id="rId135"/>
    <sheet name="Tem nk cân 24,600 TL " sheetId="144" r:id="rId136"/>
    <sheet name="Tem nk cân 24,300 TL " sheetId="145" r:id="rId137"/>
    <sheet name="MÓC TREO" sheetId="96" r:id="rId138"/>
    <sheet name="VT" sheetId="28" r:id="rId139"/>
    <sheet name="VT 2020" sheetId="29" r:id="rId140"/>
    <sheet name="Sheet1" sheetId="151" r:id="rId141"/>
    <sheet name="Sheet2" sheetId="152" r:id="rId142"/>
    <sheet name="Tong hop NVL" sheetId="153" r:id="rId143"/>
    <sheet name="Sheet4" sheetId="154" r:id="rId144"/>
  </sheets>
  <externalReferences>
    <externalReference r:id="rId145"/>
    <externalReference r:id="rId146"/>
  </externalReferences>
  <definedNames>
    <definedName name="_xlnm._FilterDatabase" localSheetId="3" hidden="1">'Hộp 120 Xanh'!$A$9:$I$86</definedName>
    <definedName name="_xlnm._FilterDatabase" localSheetId="102" hidden="1">'lõi 35 2880'!$A$8:$K$108</definedName>
    <definedName name="_xlnm._FilterDatabase" localSheetId="104" hidden="1">'lõi 35 2880.A HOC '!$A$8:$K$108</definedName>
    <definedName name="_xlnm._FilterDatabase" localSheetId="108" hidden="1">'lõi 40. 2880.A HOC.tách'!$A$8:$K$110</definedName>
    <definedName name="_xlnm._FilterDatabase" localSheetId="106" hidden="1">'lõi 40. 2940.A HOC (gộp)'!$A$8:$K$110</definedName>
    <definedName name="_xlnm._FilterDatabase" localSheetId="107" hidden="1">'lõi 40. 2940.A HOC.tách'!$A$8:$K$110</definedName>
    <definedName name="_xlnm._FilterDatabase" localSheetId="100" hidden="1">'lõi 42 2795'!$A$8:$J$108</definedName>
    <definedName name="_xlnm._FilterDatabase" localSheetId="99" hidden="1">'lõi 46 1950'!$A$8:$K$108</definedName>
    <definedName name="_xlnm._FilterDatabase" localSheetId="101" hidden="1">'lõi 46 2880HT'!$A$8:$J$108</definedName>
    <definedName name="_xlnm._FilterDatabase" localSheetId="115" hidden="1">'lõi 46 2930.HT'!$A$8:$K$110</definedName>
    <definedName name="_xlnm._FilterDatabase" localSheetId="103" hidden="1">'lõi 46 2940.A HOC'!$A$8:$K$108</definedName>
    <definedName name="_xlnm._FilterDatabase" localSheetId="105" hidden="1">'lõi 46. 2880.A HOC '!$A$8:$K$109</definedName>
    <definedName name="_xlnm._FilterDatabase" localSheetId="112" hidden="1">'lõi 76 2880 '!$A$8:$K$109</definedName>
    <definedName name="_xlnm._FilterDatabase" localSheetId="113" hidden="1">'lõi 76 2880.HT'!$A$8:$K$110</definedName>
    <definedName name="_xlnm._FilterDatabase" localSheetId="114" hidden="1">'lõi 76 2930.HT'!$A$8:$K$110</definedName>
    <definedName name="_xlnm._FilterDatabase" localSheetId="110" hidden="1">'lõi 76. 2800.A HOC'!$A$8:$K$109</definedName>
    <definedName name="_xlnm._FilterDatabase" localSheetId="111" hidden="1">'lõi 76. 2870.trắng'!$A$8:$K$109</definedName>
    <definedName name="_xlnm._FilterDatabase" localSheetId="109" hidden="1">'lõi 76. 2940.A HOC  '!$A$8:$K$109</definedName>
    <definedName name="_xlnm._FilterDatabase" localSheetId="96" hidden="1">'Phôi   AN HÒA.K2850.DL17,gộp'!$A$8:$I$113</definedName>
    <definedName name="_xlnm._FilterDatabase" localSheetId="95" hidden="1">'Phôi giấy  AN HÒA.K2850.DL 17.5'!$A$8:$I$108</definedName>
    <definedName name="_xlnm._FilterDatabase" localSheetId="98" hidden="1">'Phôi giấy  AN HÒA.K2850.DL15'!$A$8:$I$110</definedName>
    <definedName name="_xlnm._FilterDatabase" localSheetId="97" hidden="1">'Phôi giấy  AN HÒA.K2850.DL17 2L'!$A$8:$I$108</definedName>
    <definedName name="_xlnm._FilterDatabase" localSheetId="88" hidden="1">'Phôi giấy  BNKH 1900 DL13, 2L '!$A$8:$I$108</definedName>
    <definedName name="_xlnm._FilterDatabase" localSheetId="89" hidden="1">'Phôi giấy  HLKH 1980 DL13, 4 ớp'!$A$8:$I$108</definedName>
    <definedName name="_xlnm._FilterDatabase" localSheetId="92" hidden="1">'Phôi giấy  JPCORELEX DL 15'!$A$8:$I$111</definedName>
    <definedName name="_xlnm._FilterDatabase" localSheetId="94" hidden="1">'Phôi giấy  JPCORELEX DL 18'!$A$8:$I$108</definedName>
    <definedName name="_xlnm._FilterDatabase" localSheetId="93" hidden="1">'Phôi giấy  JPCORELEX DL 18,5'!$A$8:$I$108</definedName>
    <definedName name="_xlnm._FilterDatabase" localSheetId="86" hidden="1">'Phôi giấy BNKH 240. DL17 2L'!$A$8:$I$108</definedName>
    <definedName name="_xlnm._FilterDatabase" localSheetId="90" hidden="1">'Phôi giấy JP DL12.5 3L K1400 '!$A$8:$I$108</definedName>
    <definedName name="_xlnm._FilterDatabase" localSheetId="91" hidden="1">'Phôi giấy JP DL13 2L K1400  '!$A$8:$I$108</definedName>
    <definedName name="_xlnm._FilterDatabase" localSheetId="64" hidden="1">'Phôi giấy KH 760'!$A$8:$I$108</definedName>
    <definedName name="_xlnm._FilterDatabase" localSheetId="87" hidden="1">'Phôi giấy LAKH 1870 DL13, 2 LỚP'!$A$8:$I$108</definedName>
    <definedName name="_xlnm._FilterDatabase" localSheetId="67" hidden="1">'Phôi giấy XG .KH 2850 ĐL 17'!$A$8:$I$108</definedName>
    <definedName name="_xlnm._FilterDatabase" localSheetId="68" hidden="1">'Phôi giấy XG .KH 2850 ĐL 17,1L'!$A$8:$I$108</definedName>
    <definedName name="_xlnm._FilterDatabase" localSheetId="79" hidden="1">'Phôi giấy XG. KH 2770 DL 14'!$A$8:$I$108</definedName>
    <definedName name="_xlnm._FilterDatabase" localSheetId="78" hidden="1">'Phôi giấy XG. KH 2770 DL 17'!$A$8:$I$108</definedName>
    <definedName name="_xlnm._FilterDatabase" localSheetId="69" hidden="1">'Phôi giấy XG. KH 2850 DL 14'!$A$8:$I$108</definedName>
    <definedName name="_xlnm._FilterDatabase" localSheetId="70" hidden="1">'Phôi giấy XG. KH 2850.DL 15.1L'!$A$8:$I$109</definedName>
    <definedName name="_xlnm._FilterDatabase" localSheetId="77" hidden="1">'Phôi giấy XG. KH 2870 DL 18'!$A$8:$I$108</definedName>
    <definedName name="_xlnm._FilterDatabase" localSheetId="76" hidden="1">'Phôi giấy XG. KH 2870 DL 18,5'!$A$8:$I$108</definedName>
    <definedName name="_xlnm._FilterDatabase" localSheetId="75" hidden="1">'Phôi giấy XG. KH 2870 DL15,3L'!$A$8:$I$109</definedName>
    <definedName name="_xlnm._FilterDatabase" localSheetId="74" hidden="1">'Phôi giấy XG. KH 2870 DL15.gộp '!$A$8:$I$108</definedName>
    <definedName name="_xlnm._FilterDatabase" localSheetId="72" hidden="1">'Phôi giấy XG. KH 2870 DL16,5'!$A$8:$I$108</definedName>
    <definedName name="_xlnm._FilterDatabase" localSheetId="73" hidden="1">'Phôi giấy XG. KH 2900 DL17'!$A$8:$I$108</definedName>
    <definedName name="_xlnm._FilterDatabase" localSheetId="71" hidden="1">'Phôi giấy XG. KH 2910 DL 15.gộp'!$A$8:$I$112</definedName>
    <definedName name="_xlnm._FilterDatabase" localSheetId="85" hidden="1">'Phôi giấy XGK800 . DL22'!$A$8:$I$108</definedName>
    <definedName name="_xlnm._FilterDatabase" localSheetId="80" hidden="1">'Phôi giấy XGKH 1420 DL 13.2 LỚP'!$A$8:$I$109</definedName>
    <definedName name="_xlnm._FilterDatabase" localSheetId="81" hidden="1">'Phôi giấy XGKH 1420 DL 15,2L '!$A$8:$I$108</definedName>
    <definedName name="_xlnm._FilterDatabase" localSheetId="82" hidden="1">'Phôi giấy XGKH 1420 DL 22.2 LỚP'!$A$8:$I$108</definedName>
    <definedName name="_xlnm._FilterDatabase" localSheetId="83" hidden="1">'Phôi giấy XGKH 1420 DL13, 3 LỚP'!$A$8:$I$111</definedName>
    <definedName name="_xlnm._FilterDatabase" localSheetId="84" hidden="1">'Phôi giấy XGKH 240. DL17 2 LỚP'!$A$8:$I$110</definedName>
    <definedName name="_xlnm._FilterDatabase" localSheetId="66" hidden="1">'Phôi Nk 21,XG'!$A$8:$I$109</definedName>
    <definedName name="_xlnm._FilterDatabase" localSheetId="65" hidden="1">'Phôi Nk 33,XG'!$A$8:$I$109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139" l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G29" i="139"/>
  <c r="G30" i="139" s="1"/>
  <c r="G31" i="139" s="1"/>
  <c r="G32" i="139" s="1"/>
  <c r="G33" i="139" s="1"/>
  <c r="G34" i="139" s="1"/>
  <c r="G35" i="139" s="1"/>
  <c r="G36" i="139" s="1"/>
  <c r="G37" i="139" s="1"/>
  <c r="G38" i="139" s="1"/>
  <c r="G39" i="139" s="1"/>
  <c r="G40" i="139" s="1"/>
  <c r="G41" i="139" s="1"/>
  <c r="G42" i="139" s="1"/>
  <c r="G43" i="139" s="1"/>
  <c r="G44" i="139" s="1"/>
  <c r="G45" i="139" s="1"/>
  <c r="G46" i="139" s="1"/>
  <c r="G47" i="139" s="1"/>
  <c r="G48" i="139" s="1"/>
  <c r="G49" i="139" s="1"/>
  <c r="G50" i="139" s="1"/>
  <c r="G51" i="139" s="1"/>
  <c r="G52" i="139" s="1"/>
  <c r="G53" i="139" s="1"/>
  <c r="G54" i="139" s="1"/>
  <c r="G55" i="139" s="1"/>
  <c r="G56" i="139" s="1"/>
  <c r="G57" i="139" s="1"/>
  <c r="G58" i="139" s="1"/>
  <c r="G59" i="139" s="1"/>
  <c r="G60" i="139" s="1"/>
  <c r="G61" i="139" s="1"/>
  <c r="G62" i="139" s="1"/>
  <c r="G63" i="139" s="1"/>
  <c r="G64" i="139" s="1"/>
  <c r="G65" i="139" s="1"/>
  <c r="G66" i="139" s="1"/>
  <c r="G67" i="139" s="1"/>
  <c r="G68" i="139" s="1"/>
  <c r="G69" i="139" s="1"/>
  <c r="G70" i="139" s="1"/>
  <c r="G71" i="139" s="1"/>
  <c r="G72" i="139" s="1"/>
  <c r="G73" i="139" s="1"/>
  <c r="G74" i="139" s="1"/>
  <c r="G75" i="139" s="1"/>
  <c r="G76" i="139" s="1"/>
  <c r="G77" i="139" s="1"/>
  <c r="G78" i="139" s="1"/>
  <c r="G79" i="139" s="1"/>
  <c r="G80" i="139" s="1"/>
  <c r="G81" i="139" s="1"/>
  <c r="G82" i="139" s="1"/>
  <c r="G83" i="139" s="1"/>
  <c r="G84" i="139" s="1"/>
  <c r="G85" i="139" s="1"/>
  <c r="G86" i="139" s="1"/>
  <c r="G87" i="139" s="1"/>
  <c r="G88" i="139" s="1"/>
  <c r="G89" i="139" s="1"/>
  <c r="G90" i="139" s="1"/>
  <c r="G91" i="139" s="1"/>
  <c r="G92" i="139" s="1"/>
  <c r="G93" i="139" s="1"/>
  <c r="G94" i="139" s="1"/>
  <c r="G95" i="139" s="1"/>
  <c r="G96" i="139" s="1"/>
  <c r="G97" i="139" s="1"/>
  <c r="G98" i="139" s="1"/>
  <c r="G99" i="139" s="1"/>
  <c r="G100" i="139" s="1"/>
  <c r="G101" i="139" s="1"/>
  <c r="G102" i="139" s="1"/>
  <c r="G103" i="139" s="1"/>
  <c r="G104" i="139" s="1"/>
  <c r="G105" i="139" s="1"/>
  <c r="G106" i="139" s="1"/>
  <c r="G107" i="139" s="1"/>
  <c r="G108" i="139" s="1"/>
  <c r="G109" i="139" s="1"/>
  <c r="A203" i="24"/>
  <c r="A204" i="24"/>
  <c r="A205" i="24" s="1"/>
  <c r="A206" i="24" s="1"/>
  <c r="A207" i="24" s="1"/>
  <c r="A208" i="24" s="1"/>
  <c r="A209" i="24" s="1"/>
  <c r="A210" i="24" s="1"/>
  <c r="A211" i="24" s="1"/>
  <c r="A212" i="24" s="1"/>
  <c r="F19" i="45"/>
  <c r="L19" i="137"/>
  <c r="K18" i="45"/>
  <c r="A43" i="40"/>
  <c r="A44" i="40"/>
  <c r="A45" i="40"/>
  <c r="A46" i="40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G43" i="40"/>
  <c r="G44" i="40" s="1"/>
  <c r="G45" i="40" s="1"/>
  <c r="G46" i="40" s="1"/>
  <c r="G47" i="40" s="1"/>
  <c r="G48" i="40" s="1"/>
  <c r="G49" i="40" s="1"/>
  <c r="G50" i="40" s="1"/>
  <c r="G51" i="40" s="1"/>
  <c r="G52" i="40" s="1"/>
  <c r="G53" i="40" s="1"/>
  <c r="G54" i="40" s="1"/>
  <c r="G55" i="40" s="1"/>
  <c r="G56" i="40" s="1"/>
  <c r="G57" i="40" s="1"/>
  <c r="E34" i="114"/>
  <c r="E19" i="137"/>
  <c r="A16" i="115"/>
  <c r="A17" i="115" s="1"/>
  <c r="A18" i="115" s="1"/>
  <c r="A19" i="115" s="1"/>
  <c r="A20" i="115" s="1"/>
  <c r="A21" i="115" s="1"/>
  <c r="A22" i="115" s="1"/>
  <c r="A23" i="115" s="1"/>
  <c r="A24" i="115" s="1"/>
  <c r="A25" i="115" s="1"/>
  <c r="A26" i="115" s="1"/>
  <c r="A27" i="115" s="1"/>
  <c r="A28" i="115" s="1"/>
  <c r="A29" i="115" s="1"/>
  <c r="A30" i="115" s="1"/>
  <c r="A31" i="115" s="1"/>
  <c r="A32" i="115" s="1"/>
  <c r="A33" i="115" s="1"/>
  <c r="A34" i="115" s="1"/>
  <c r="A35" i="115" s="1"/>
  <c r="A36" i="115" s="1"/>
  <c r="A37" i="115" s="1"/>
  <c r="A38" i="115" s="1"/>
  <c r="A39" i="115" s="1"/>
  <c r="A40" i="115" s="1"/>
  <c r="A41" i="115" s="1"/>
  <c r="A42" i="115" s="1"/>
  <c r="A43" i="115" s="1"/>
  <c r="A44" i="115" s="1"/>
  <c r="A45" i="115" s="1"/>
  <c r="A46" i="115" s="1"/>
  <c r="A47" i="115" s="1"/>
  <c r="A48" i="115" s="1"/>
  <c r="A49" i="115" s="1"/>
  <c r="A50" i="115" s="1"/>
  <c r="A51" i="115" s="1"/>
  <c r="A52" i="115" s="1"/>
  <c r="A53" i="115" s="1"/>
  <c r="A54" i="115" s="1"/>
  <c r="A55" i="115" s="1"/>
  <c r="A56" i="115" s="1"/>
  <c r="A57" i="115" s="1"/>
  <c r="A58" i="115" s="1"/>
  <c r="A59" i="115" s="1"/>
  <c r="A60" i="115" s="1"/>
  <c r="A61" i="115" s="1"/>
  <c r="G16" i="115"/>
  <c r="G17" i="115" s="1"/>
  <c r="G18" i="115" s="1"/>
  <c r="G19" i="115" s="1"/>
  <c r="G20" i="115" s="1"/>
  <c r="G21" i="115" s="1"/>
  <c r="G22" i="115" s="1"/>
  <c r="G23" i="115" s="1"/>
  <c r="G24" i="115" s="1"/>
  <c r="G25" i="115" s="1"/>
  <c r="G26" i="115" s="1"/>
  <c r="G27" i="115" s="1"/>
  <c r="G28" i="115" s="1"/>
  <c r="G29" i="115" s="1"/>
  <c r="G30" i="115" s="1"/>
  <c r="G31" i="115" s="1"/>
  <c r="G32" i="115" s="1"/>
  <c r="G33" i="115" s="1"/>
  <c r="G34" i="115" s="1"/>
  <c r="G35" i="115" s="1"/>
  <c r="G36" i="115" s="1"/>
  <c r="G37" i="115" s="1"/>
  <c r="G38" i="115" s="1"/>
  <c r="G39" i="115" s="1"/>
  <c r="G40" i="115" s="1"/>
  <c r="G41" i="115" s="1"/>
  <c r="G42" i="115" s="1"/>
  <c r="G43" i="115" s="1"/>
  <c r="G44" i="115" s="1"/>
  <c r="G45" i="115" s="1"/>
  <c r="G46" i="115" s="1"/>
  <c r="G47" i="115" s="1"/>
  <c r="G48" i="115" s="1"/>
  <c r="G49" i="115" s="1"/>
  <c r="G50" i="115" s="1"/>
  <c r="G51" i="115" s="1"/>
  <c r="G52" i="115" s="1"/>
  <c r="G53" i="115" s="1"/>
  <c r="G54" i="115" s="1"/>
  <c r="G55" i="115" s="1"/>
  <c r="G56" i="115" s="1"/>
  <c r="G57" i="115" s="1"/>
  <c r="G58" i="115" s="1"/>
  <c r="G59" i="115" s="1"/>
  <c r="G60" i="115" s="1"/>
  <c r="G61" i="115" s="1"/>
  <c r="G27" i="54"/>
  <c r="G28" i="54"/>
  <c r="G29" i="54"/>
  <c r="G30" i="54"/>
  <c r="G31" i="54" s="1"/>
  <c r="G32" i="54" s="1"/>
  <c r="G33" i="54" s="1"/>
  <c r="G34" i="54" s="1"/>
  <c r="G35" i="54" s="1"/>
  <c r="G36" i="54" s="1"/>
  <c r="G37" i="54" s="1"/>
  <c r="G38" i="54" s="1"/>
  <c r="G39" i="54" s="1"/>
  <c r="G40" i="54" s="1"/>
  <c r="G41" i="54" s="1"/>
  <c r="G42" i="54" s="1"/>
  <c r="G43" i="54" s="1"/>
  <c r="G44" i="54" s="1"/>
  <c r="G45" i="54" s="1"/>
  <c r="G46" i="54" s="1"/>
  <c r="G47" i="54" s="1"/>
  <c r="G48" i="54" s="1"/>
  <c r="G49" i="54" s="1"/>
  <c r="G50" i="54" s="1"/>
  <c r="G51" i="54" s="1"/>
  <c r="G52" i="54" s="1"/>
  <c r="G53" i="54" s="1"/>
  <c r="G54" i="54" s="1"/>
  <c r="G55" i="54" s="1"/>
  <c r="G56" i="54" s="1"/>
  <c r="G57" i="54" s="1"/>
  <c r="G58" i="54" s="1"/>
  <c r="G59" i="54" s="1"/>
  <c r="G60" i="54" s="1"/>
  <c r="G10" i="24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G35" i="24" s="1"/>
  <c r="G36" i="24" s="1"/>
  <c r="G37" i="24" s="1"/>
  <c r="G38" i="24" s="1"/>
  <c r="G39" i="24" s="1"/>
  <c r="G40" i="24" s="1"/>
  <c r="G41" i="24" s="1"/>
  <c r="G42" i="24" s="1"/>
  <c r="G43" i="24" s="1"/>
  <c r="G44" i="24" s="1"/>
  <c r="G45" i="24" s="1"/>
  <c r="G46" i="24" s="1"/>
  <c r="G47" i="24" s="1"/>
  <c r="G48" i="24" s="1"/>
  <c r="G49" i="24" s="1"/>
  <c r="G50" i="24" s="1"/>
  <c r="G51" i="24" s="1"/>
  <c r="G52" i="24" s="1"/>
  <c r="G53" i="24" s="1"/>
  <c r="G54" i="24" s="1"/>
  <c r="G55" i="24" s="1"/>
  <c r="G56" i="24" s="1"/>
  <c r="G57" i="24" s="1"/>
  <c r="G58" i="24" s="1"/>
  <c r="G59" i="24" s="1"/>
  <c r="G60" i="24" s="1"/>
  <c r="G61" i="24" s="1"/>
  <c r="G62" i="24" s="1"/>
  <c r="G63" i="24" s="1"/>
  <c r="G64" i="24" s="1"/>
  <c r="G65" i="24" s="1"/>
  <c r="G66" i="24" s="1"/>
  <c r="G67" i="24" s="1"/>
  <c r="G68" i="24" s="1"/>
  <c r="G69" i="24" s="1"/>
  <c r="G70" i="24" s="1"/>
  <c r="G71" i="24" s="1"/>
  <c r="G72" i="24" s="1"/>
  <c r="G73" i="24" s="1"/>
  <c r="G74" i="24" s="1"/>
  <c r="G75" i="24" s="1"/>
  <c r="G76" i="24" s="1"/>
  <c r="G77" i="24" s="1"/>
  <c r="G78" i="24" s="1"/>
  <c r="G79" i="24" s="1"/>
  <c r="G80" i="24" s="1"/>
  <c r="G81" i="24" s="1"/>
  <c r="G82" i="24" s="1"/>
  <c r="G83" i="24" s="1"/>
  <c r="G84" i="24" s="1"/>
  <c r="G85" i="24" s="1"/>
  <c r="G86" i="24" s="1"/>
  <c r="G87" i="24" s="1"/>
  <c r="G88" i="24" s="1"/>
  <c r="G89" i="24" s="1"/>
  <c r="G90" i="24" s="1"/>
  <c r="G91" i="24" s="1"/>
  <c r="G92" i="24" s="1"/>
  <c r="G93" i="24" s="1"/>
  <c r="G94" i="24" s="1"/>
  <c r="G95" i="24" s="1"/>
  <c r="G96" i="24" s="1"/>
  <c r="G97" i="24" s="1"/>
  <c r="G98" i="24" s="1"/>
  <c r="G99" i="24" s="1"/>
  <c r="G100" i="24" s="1"/>
  <c r="G101" i="24" s="1"/>
  <c r="G102" i="24" s="1"/>
  <c r="G103" i="24" s="1"/>
  <c r="G104" i="24" s="1"/>
  <c r="G105" i="24" s="1"/>
  <c r="G106" i="24" s="1"/>
  <c r="G107" i="24" s="1"/>
  <c r="G108" i="24" s="1"/>
  <c r="G109" i="24" s="1"/>
  <c r="G110" i="24" s="1"/>
  <c r="G111" i="24" s="1"/>
  <c r="G112" i="24" s="1"/>
  <c r="G113" i="24" s="1"/>
  <c r="G114" i="24" s="1"/>
  <c r="G115" i="24" s="1"/>
  <c r="G116" i="24" s="1"/>
  <c r="G117" i="24" s="1"/>
  <c r="G118" i="24" s="1"/>
  <c r="G119" i="24" s="1"/>
  <c r="G120" i="24" s="1"/>
  <c r="G121" i="24" s="1"/>
  <c r="G122" i="24" s="1"/>
  <c r="G123" i="24" s="1"/>
  <c r="G124" i="24" s="1"/>
  <c r="G125" i="24" s="1"/>
  <c r="G126" i="24" s="1"/>
  <c r="G127" i="24" s="1"/>
  <c r="G128" i="24" s="1"/>
  <c r="G129" i="24" s="1"/>
  <c r="G130" i="24" s="1"/>
  <c r="G131" i="24" s="1"/>
  <c r="G132" i="24" s="1"/>
  <c r="G133" i="24" s="1"/>
  <c r="G134" i="24" s="1"/>
  <c r="G135" i="24" s="1"/>
  <c r="G136" i="24" s="1"/>
  <c r="G137" i="24" s="1"/>
  <c r="G138" i="24" s="1"/>
  <c r="G139" i="24" s="1"/>
  <c r="G140" i="24" s="1"/>
  <c r="G141" i="24" s="1"/>
  <c r="G142" i="24" s="1"/>
  <c r="G143" i="24" s="1"/>
  <c r="G144" i="24" s="1"/>
  <c r="G145" i="24" s="1"/>
  <c r="G146" i="24" s="1"/>
  <c r="G147" i="24" s="1"/>
  <c r="G148" i="24" s="1"/>
  <c r="G149" i="24" s="1"/>
  <c r="G150" i="24" s="1"/>
  <c r="G151" i="24" s="1"/>
  <c r="G152" i="24" s="1"/>
  <c r="G153" i="24" s="1"/>
  <c r="G154" i="24" s="1"/>
  <c r="G155" i="24" s="1"/>
  <c r="G156" i="24" s="1"/>
  <c r="G157" i="24" s="1"/>
  <c r="G158" i="24" s="1"/>
  <c r="G159" i="24" s="1"/>
  <c r="G160" i="24" s="1"/>
  <c r="G161" i="24" s="1"/>
  <c r="G162" i="24" s="1"/>
  <c r="G163" i="24" s="1"/>
  <c r="G164" i="24" s="1"/>
  <c r="G165" i="24" s="1"/>
  <c r="G166" i="24" s="1"/>
  <c r="G167" i="24" s="1"/>
  <c r="G168" i="24" s="1"/>
  <c r="G169" i="24" s="1"/>
  <c r="G170" i="24" s="1"/>
  <c r="G171" i="24" s="1"/>
  <c r="G172" i="24" s="1"/>
  <c r="G173" i="24" s="1"/>
  <c r="G174" i="24" s="1"/>
  <c r="G175" i="24" s="1"/>
  <c r="G176" i="24" s="1"/>
  <c r="G177" i="24" s="1"/>
  <c r="G178" i="24" s="1"/>
  <c r="G179" i="24" s="1"/>
  <c r="G180" i="24" s="1"/>
  <c r="G181" i="24" s="1"/>
  <c r="G182" i="24" s="1"/>
  <c r="G183" i="24" s="1"/>
  <c r="G184" i="24" s="1"/>
  <c r="G185" i="24" s="1"/>
  <c r="G186" i="24" s="1"/>
  <c r="G187" i="24" s="1"/>
  <c r="G188" i="24" s="1"/>
  <c r="G189" i="24" s="1"/>
  <c r="G190" i="24" s="1"/>
  <c r="G191" i="24" s="1"/>
  <c r="G192" i="24" s="1"/>
  <c r="G193" i="24" s="1"/>
  <c r="G194" i="24" s="1"/>
  <c r="G195" i="24" s="1"/>
  <c r="G196" i="24" s="1"/>
  <c r="G197" i="24" s="1"/>
  <c r="G198" i="24" s="1"/>
  <c r="G199" i="24" s="1"/>
  <c r="G200" i="24" s="1"/>
  <c r="G201" i="24" s="1"/>
  <c r="G202" i="24" s="1"/>
  <c r="G203" i="24" s="1"/>
  <c r="G204" i="24" s="1"/>
  <c r="G205" i="24" s="1"/>
  <c r="G206" i="24" s="1"/>
  <c r="G207" i="24" s="1"/>
  <c r="G208" i="24" s="1"/>
  <c r="G209" i="24" s="1"/>
  <c r="G210" i="24" s="1"/>
  <c r="G211" i="24" s="1"/>
  <c r="G212" i="24" s="1"/>
  <c r="G213" i="24" s="1"/>
  <c r="G214" i="24" s="1"/>
  <c r="G215" i="24" s="1"/>
  <c r="G216" i="24" s="1"/>
  <c r="G22" i="108"/>
  <c r="G23" i="108" s="1"/>
  <c r="G24" i="108" s="1"/>
  <c r="G25" i="108" s="1"/>
  <c r="G26" i="108" s="1"/>
  <c r="G27" i="108" s="1"/>
  <c r="G28" i="108" s="1"/>
  <c r="G29" i="108" s="1"/>
  <c r="G30" i="108" s="1"/>
  <c r="G31" i="108" s="1"/>
  <c r="G32" i="108" s="1"/>
  <c r="G33" i="108" s="1"/>
  <c r="G34" i="108" s="1"/>
  <c r="G35" i="108" s="1"/>
  <c r="G36" i="108" s="1"/>
  <c r="G37" i="108" s="1"/>
  <c r="G38" i="108" s="1"/>
  <c r="G39" i="108" s="1"/>
  <c r="G40" i="108" s="1"/>
  <c r="G41" i="108" s="1"/>
  <c r="G42" i="108" s="1"/>
  <c r="G43" i="108" s="1"/>
  <c r="G44" i="108" s="1"/>
  <c r="G45" i="108" s="1"/>
  <c r="G46" i="108" s="1"/>
  <c r="G47" i="108" s="1"/>
  <c r="G48" i="108" s="1"/>
  <c r="G49" i="108" s="1"/>
  <c r="G50" i="108" s="1"/>
  <c r="G51" i="108" s="1"/>
  <c r="G52" i="108" s="1"/>
  <c r="G53" i="108" s="1"/>
  <c r="G54" i="108" s="1"/>
  <c r="G55" i="108" s="1"/>
  <c r="G56" i="108" s="1"/>
  <c r="G57" i="108" s="1"/>
  <c r="G58" i="108" s="1"/>
  <c r="G59" i="108" s="1"/>
  <c r="G60" i="108" s="1"/>
  <c r="G61" i="108" s="1"/>
  <c r="G62" i="108" s="1"/>
  <c r="G63" i="108" s="1"/>
  <c r="G64" i="108" s="1"/>
  <c r="G65" i="108" s="1"/>
  <c r="G66" i="108" s="1"/>
  <c r="G67" i="108" s="1"/>
  <c r="G68" i="108" s="1"/>
  <c r="G69" i="108" s="1"/>
  <c r="G70" i="108" s="1"/>
  <c r="G71" i="108" s="1"/>
  <c r="G72" i="108" s="1"/>
  <c r="G73" i="108" s="1"/>
  <c r="G74" i="108" s="1"/>
  <c r="G75" i="108" s="1"/>
  <c r="G76" i="108" s="1"/>
  <c r="G77" i="108" s="1"/>
  <c r="G78" i="108" s="1"/>
  <c r="G79" i="108" s="1"/>
  <c r="G80" i="108" s="1"/>
  <c r="G81" i="108" s="1"/>
  <c r="G82" i="108" s="1"/>
  <c r="G83" i="108" s="1"/>
  <c r="G84" i="108" s="1"/>
  <c r="G85" i="108" s="1"/>
  <c r="G86" i="108" s="1"/>
  <c r="G87" i="108" s="1"/>
  <c r="G88" i="108" s="1"/>
  <c r="G89" i="108" s="1"/>
  <c r="G90" i="108" s="1"/>
  <c r="G91" i="108" s="1"/>
  <c r="G92" i="108" s="1"/>
  <c r="G93" i="108" s="1"/>
  <c r="G94" i="108" s="1"/>
  <c r="G95" i="108" s="1"/>
  <c r="G96" i="108" s="1"/>
  <c r="G97" i="108" s="1"/>
  <c r="G98" i="108" s="1"/>
  <c r="G99" i="108" s="1"/>
  <c r="G100" i="108" s="1"/>
  <c r="G101" i="108" s="1"/>
  <c r="G102" i="108" s="1"/>
  <c r="G103" i="108" s="1"/>
  <c r="G104" i="108" s="1"/>
  <c r="G105" i="108" s="1"/>
  <c r="G106" i="108" s="1"/>
  <c r="G107" i="108" s="1"/>
  <c r="G108" i="108" s="1"/>
  <c r="G109" i="108" s="1"/>
  <c r="G110" i="108" s="1"/>
  <c r="G21" i="108"/>
  <c r="A21" i="108"/>
  <c r="A22" i="108" s="1"/>
  <c r="A23" i="108" s="1"/>
  <c r="A24" i="108" s="1"/>
  <c r="P29" i="115"/>
  <c r="A12" i="23"/>
  <c r="A13" i="23"/>
  <c r="A14" i="23"/>
  <c r="A15" i="23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G12" i="23"/>
  <c r="G13" i="23"/>
  <c r="G14" i="23"/>
  <c r="G15" i="23"/>
  <c r="G16" i="23" s="1"/>
  <c r="G17" i="23" s="1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G36" i="23" s="1"/>
  <c r="G37" i="23" s="1"/>
  <c r="G38" i="23" s="1"/>
  <c r="G39" i="23" s="1"/>
  <c r="G40" i="23" s="1"/>
  <c r="G41" i="23" s="1"/>
  <c r="G42" i="23" s="1"/>
  <c r="G43" i="23" s="1"/>
  <c r="G44" i="23" s="1"/>
  <c r="G45" i="23" s="1"/>
  <c r="G46" i="23" s="1"/>
  <c r="G47" i="23" s="1"/>
  <c r="G48" i="23" s="1"/>
  <c r="G49" i="23" s="1"/>
  <c r="G50" i="23" s="1"/>
  <c r="G51" i="23" s="1"/>
  <c r="G52" i="23" s="1"/>
  <c r="G53" i="23" s="1"/>
  <c r="G54" i="23" s="1"/>
  <c r="G55" i="23" s="1"/>
  <c r="G56" i="23" s="1"/>
  <c r="G57" i="23" s="1"/>
  <c r="G58" i="23" s="1"/>
  <c r="G59" i="23" s="1"/>
  <c r="G60" i="23" s="1"/>
  <c r="G61" i="23" s="1"/>
  <c r="G62" i="23" s="1"/>
  <c r="G63" i="23" s="1"/>
  <c r="G64" i="23" s="1"/>
  <c r="G65" i="23" s="1"/>
  <c r="G66" i="23" s="1"/>
  <c r="G67" i="23" s="1"/>
  <c r="G68" i="23" s="1"/>
  <c r="G69" i="23" s="1"/>
  <c r="G70" i="23" s="1"/>
  <c r="G71" i="23" s="1"/>
  <c r="G72" i="23" s="1"/>
  <c r="G73" i="23" s="1"/>
  <c r="G74" i="23" s="1"/>
  <c r="G75" i="23" s="1"/>
  <c r="G76" i="23" s="1"/>
  <c r="G77" i="23" s="1"/>
  <c r="G78" i="23" s="1"/>
  <c r="G79" i="23" s="1"/>
  <c r="G80" i="23" s="1"/>
  <c r="G81" i="23" s="1"/>
  <c r="G82" i="23" s="1"/>
  <c r="G83" i="23" s="1"/>
  <c r="G84" i="23" s="1"/>
  <c r="G85" i="23" s="1"/>
  <c r="G86" i="23" s="1"/>
  <c r="G87" i="23" s="1"/>
  <c r="G88" i="23" s="1"/>
  <c r="G89" i="23" s="1"/>
  <c r="G90" i="23" s="1"/>
  <c r="G91" i="23" s="1"/>
  <c r="G92" i="23" s="1"/>
  <c r="G93" i="23" s="1"/>
  <c r="G94" i="23" s="1"/>
  <c r="G95" i="23" s="1"/>
  <c r="G96" i="23" s="1"/>
  <c r="G97" i="23" s="1"/>
  <c r="G98" i="23" s="1"/>
  <c r="G99" i="23" s="1"/>
  <c r="G100" i="23" s="1"/>
  <c r="G101" i="23" s="1"/>
  <c r="G102" i="23" s="1"/>
  <c r="G103" i="23" s="1"/>
  <c r="G104" i="23" s="1"/>
  <c r="G105" i="23" s="1"/>
  <c r="G106" i="23" s="1"/>
  <c r="G107" i="23" s="1"/>
  <c r="E15" i="117"/>
  <c r="N25" i="117"/>
  <c r="G8" i="117"/>
  <c r="N26" i="116"/>
  <c r="M199" i="24"/>
  <c r="K39" i="40"/>
  <c r="G15" i="34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16" i="19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G95" i="19" s="1"/>
  <c r="G96" i="19" s="1"/>
  <c r="G97" i="19" s="1"/>
  <c r="G98" i="19" s="1"/>
  <c r="G99" i="19" s="1"/>
  <c r="G100" i="19" s="1"/>
  <c r="G101" i="19"/>
  <c r="L19" i="121"/>
  <c r="E19" i="121"/>
  <c r="A54" i="59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E9" i="150"/>
  <c r="E101" i="150"/>
  <c r="F101" i="150"/>
  <c r="A11" i="150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A60" i="150" s="1"/>
  <c r="A61" i="150" s="1"/>
  <c r="A62" i="150" s="1"/>
  <c r="A63" i="150" s="1"/>
  <c r="A64" i="150" s="1"/>
  <c r="A65" i="150" s="1"/>
  <c r="A67" i="150" s="1"/>
  <c r="A68" i="150" s="1"/>
  <c r="A69" i="150" s="1"/>
  <c r="A70" i="150" s="1"/>
  <c r="A71" i="150" s="1"/>
  <c r="A72" i="150" s="1"/>
  <c r="A73" i="150" s="1"/>
  <c r="A74" i="150" s="1"/>
  <c r="A75" i="150" s="1"/>
  <c r="A76" i="150" s="1"/>
  <c r="A77" i="150" s="1"/>
  <c r="A78" i="150" s="1"/>
  <c r="A79" i="150" s="1"/>
  <c r="A80" i="150" s="1"/>
  <c r="A81" i="150" s="1"/>
  <c r="A82" i="150" s="1"/>
  <c r="A83" i="150" s="1"/>
  <c r="A84" i="150" s="1"/>
  <c r="A85" i="150" s="1"/>
  <c r="A86" i="150" s="1"/>
  <c r="A87" i="150" s="1"/>
  <c r="A88" i="150" s="1"/>
  <c r="A89" i="150" s="1"/>
  <c r="A90" i="150" s="1"/>
  <c r="A91" i="150" s="1"/>
  <c r="A92" i="150" s="1"/>
  <c r="A93" i="150" s="1"/>
  <c r="A94" i="150" s="1"/>
  <c r="A95" i="150" s="1"/>
  <c r="A96" i="150" s="1"/>
  <c r="A97" i="150" s="1"/>
  <c r="A98" i="150" s="1"/>
  <c r="A99" i="150" s="1"/>
  <c r="A100" i="150" s="1"/>
  <c r="A101" i="150" s="1"/>
  <c r="A10" i="150"/>
  <c r="G9" i="150"/>
  <c r="G10" i="150" s="1"/>
  <c r="G11" i="150" s="1"/>
  <c r="G12" i="150" s="1"/>
  <c r="G13" i="150" s="1"/>
  <c r="G14" i="150" s="1"/>
  <c r="G15" i="150" s="1"/>
  <c r="G16" i="150" s="1"/>
  <c r="G17" i="150" s="1"/>
  <c r="G18" i="150" s="1"/>
  <c r="G19" i="150" s="1"/>
  <c r="G20" i="150" s="1"/>
  <c r="G21" i="150" s="1"/>
  <c r="G22" i="150" s="1"/>
  <c r="G23" i="150" s="1"/>
  <c r="G24" i="150" s="1"/>
  <c r="G25" i="150" s="1"/>
  <c r="G26" i="150" s="1"/>
  <c r="G27" i="150" s="1"/>
  <c r="G28" i="150" s="1"/>
  <c r="G29" i="150" s="1"/>
  <c r="G30" i="150" s="1"/>
  <c r="G31" i="150" s="1"/>
  <c r="G32" i="150" s="1"/>
  <c r="G33" i="150" s="1"/>
  <c r="G34" i="150" s="1"/>
  <c r="G35" i="150" s="1"/>
  <c r="G36" i="150" s="1"/>
  <c r="G37" i="150" s="1"/>
  <c r="G38" i="150" s="1"/>
  <c r="G39" i="150" s="1"/>
  <c r="G40" i="150" s="1"/>
  <c r="G41" i="150" s="1"/>
  <c r="G42" i="150" s="1"/>
  <c r="G43" i="150" s="1"/>
  <c r="G44" i="150" s="1"/>
  <c r="G45" i="150" s="1"/>
  <c r="G46" i="150" s="1"/>
  <c r="G47" i="150" s="1"/>
  <c r="G48" i="150" s="1"/>
  <c r="G49" i="150" s="1"/>
  <c r="G50" i="150" s="1"/>
  <c r="G51" i="150" s="1"/>
  <c r="G52" i="150" s="1"/>
  <c r="G53" i="150" s="1"/>
  <c r="G54" i="150" s="1"/>
  <c r="G55" i="150" s="1"/>
  <c r="G56" i="150" s="1"/>
  <c r="G57" i="150" s="1"/>
  <c r="G58" i="150" s="1"/>
  <c r="G59" i="150" s="1"/>
  <c r="G60" i="150" s="1"/>
  <c r="G61" i="150" s="1"/>
  <c r="G62" i="150" s="1"/>
  <c r="G63" i="150" s="1"/>
  <c r="G64" i="150" s="1"/>
  <c r="G65" i="150" s="1"/>
  <c r="G66" i="150" s="1"/>
  <c r="G67" i="150" s="1"/>
  <c r="G68" i="150" s="1"/>
  <c r="G69" i="150" s="1"/>
  <c r="G70" i="150" s="1"/>
  <c r="G71" i="150" s="1"/>
  <c r="G72" i="150" s="1"/>
  <c r="G73" i="150" s="1"/>
  <c r="G74" i="150" s="1"/>
  <c r="G75" i="150" s="1"/>
  <c r="G76" i="150" s="1"/>
  <c r="G77" i="150" s="1"/>
  <c r="G78" i="150" s="1"/>
  <c r="G79" i="150" s="1"/>
  <c r="G80" i="150" s="1"/>
  <c r="G81" i="150" s="1"/>
  <c r="G82" i="150" s="1"/>
  <c r="G83" i="150" s="1"/>
  <c r="G84" i="150" s="1"/>
  <c r="G85" i="150" s="1"/>
  <c r="G86" i="150" s="1"/>
  <c r="G87" i="150" s="1"/>
  <c r="G88" i="150" s="1"/>
  <c r="G89" i="150" s="1"/>
  <c r="G90" i="150" s="1"/>
  <c r="G91" i="150" s="1"/>
  <c r="G92" i="150" s="1"/>
  <c r="G93" i="150" s="1"/>
  <c r="G94" i="150" s="1"/>
  <c r="G95" i="150" s="1"/>
  <c r="G96" i="150" s="1"/>
  <c r="G97" i="150" s="1"/>
  <c r="G98" i="150" s="1"/>
  <c r="G99" i="150" s="1"/>
  <c r="G100" i="150" s="1"/>
  <c r="A4" i="150"/>
  <c r="O32" i="76"/>
  <c r="O31" i="76"/>
  <c r="G34" i="133"/>
  <c r="G35" i="133" s="1"/>
  <c r="G36" i="133" s="1"/>
  <c r="G37" i="133" s="1"/>
  <c r="G38" i="133" s="1"/>
  <c r="G39" i="133" s="1"/>
  <c r="G40" i="133" s="1"/>
  <c r="G41" i="133" s="1"/>
  <c r="G42" i="133" s="1"/>
  <c r="G43" i="133" s="1"/>
  <c r="G44" i="133" s="1"/>
  <c r="G45" i="133" s="1"/>
  <c r="G46" i="133" s="1"/>
  <c r="G47" i="133" s="1"/>
  <c r="G48" i="133" s="1"/>
  <c r="G49" i="133" s="1"/>
  <c r="G50" i="133" s="1"/>
  <c r="G51" i="133" s="1"/>
  <c r="G52" i="133" s="1"/>
  <c r="G53" i="133" s="1"/>
  <c r="G54" i="133" s="1"/>
  <c r="G55" i="133" s="1"/>
  <c r="G56" i="133" s="1"/>
  <c r="G57" i="133" s="1"/>
  <c r="G58" i="133" s="1"/>
  <c r="G59" i="133" s="1"/>
  <c r="G60" i="133" s="1"/>
  <c r="G61" i="133" s="1"/>
  <c r="G62" i="133" s="1"/>
  <c r="G63" i="133" s="1"/>
  <c r="G64" i="133" s="1"/>
  <c r="G65" i="133" s="1"/>
  <c r="G66" i="133" s="1"/>
  <c r="G67" i="133" s="1"/>
  <c r="G68" i="133" s="1"/>
  <c r="G69" i="133" s="1"/>
  <c r="G70" i="133" s="1"/>
  <c r="G71" i="133" s="1"/>
  <c r="G72" i="133" s="1"/>
  <c r="G73" i="133" s="1"/>
  <c r="G74" i="133" s="1"/>
  <c r="G75" i="133" s="1"/>
  <c r="G76" i="133" s="1"/>
  <c r="G77" i="133" s="1"/>
  <c r="G78" i="133" s="1"/>
  <c r="G79" i="133" s="1"/>
  <c r="G80" i="133" s="1"/>
  <c r="G81" i="133" s="1"/>
  <c r="G82" i="133" s="1"/>
  <c r="G83" i="133" s="1"/>
  <c r="G84" i="133" s="1"/>
  <c r="G85" i="133" s="1"/>
  <c r="G86" i="133" s="1"/>
  <c r="G87" i="133" s="1"/>
  <c r="G88" i="133" s="1"/>
  <c r="G89" i="133" s="1"/>
  <c r="G90" i="133" s="1"/>
  <c r="G91" i="133" s="1"/>
  <c r="G92" i="133" s="1"/>
  <c r="G93" i="133" s="1"/>
  <c r="G94" i="133" s="1"/>
  <c r="G95" i="133" s="1"/>
  <c r="G96" i="133" s="1"/>
  <c r="G97" i="133" s="1"/>
  <c r="G98" i="133" s="1"/>
  <c r="G99" i="133" s="1"/>
  <c r="G100" i="133" s="1"/>
  <c r="G101" i="133" s="1"/>
  <c r="G102" i="133" s="1"/>
  <c r="G103" i="133" s="1"/>
  <c r="G104" i="133" s="1"/>
  <c r="G105" i="133" s="1"/>
  <c r="G106" i="133" s="1"/>
  <c r="G107" i="133" s="1"/>
  <c r="G108" i="133" s="1"/>
  <c r="G109" i="133" s="1"/>
  <c r="G110" i="133" s="1"/>
  <c r="G111" i="133" s="1"/>
  <c r="G112" i="133" s="1"/>
  <c r="G113" i="133" s="1"/>
  <c r="G114" i="133" s="1"/>
  <c r="G115" i="133" s="1"/>
  <c r="J108" i="149"/>
  <c r="F108" i="149"/>
  <c r="E108" i="149"/>
  <c r="O26" i="149"/>
  <c r="O27" i="149" s="1"/>
  <c r="O19" i="149"/>
  <c r="O18" i="149"/>
  <c r="P19" i="149" s="1"/>
  <c r="A11" i="149"/>
  <c r="A12" i="149" s="1"/>
  <c r="A13" i="149" s="1"/>
  <c r="A14" i="149" s="1"/>
  <c r="A15" i="149" s="1"/>
  <c r="A16" i="149" s="1"/>
  <c r="A17" i="149" s="1"/>
  <c r="A18" i="149" s="1"/>
  <c r="A19" i="149" s="1"/>
  <c r="A20" i="149" s="1"/>
  <c r="A21" i="149" s="1"/>
  <c r="A22" i="149" s="1"/>
  <c r="A23" i="149" s="1"/>
  <c r="A24" i="149" s="1"/>
  <c r="A25" i="149" s="1"/>
  <c r="A26" i="149" s="1"/>
  <c r="A27" i="149" s="1"/>
  <c r="A28" i="149" s="1"/>
  <c r="A29" i="149" s="1"/>
  <c r="A30" i="149" s="1"/>
  <c r="A31" i="149" s="1"/>
  <c r="A32" i="149" s="1"/>
  <c r="A33" i="149" s="1"/>
  <c r="A34" i="149" s="1"/>
  <c r="A35" i="149" s="1"/>
  <c r="A36" i="149" s="1"/>
  <c r="A37" i="149" s="1"/>
  <c r="A38" i="149" s="1"/>
  <c r="A39" i="149" s="1"/>
  <c r="A40" i="149" s="1"/>
  <c r="A41" i="149" s="1"/>
  <c r="A42" i="149" s="1"/>
  <c r="A43" i="149" s="1"/>
  <c r="A44" i="149" s="1"/>
  <c r="A45" i="149" s="1"/>
  <c r="A46" i="149" s="1"/>
  <c r="A47" i="149" s="1"/>
  <c r="A48" i="149" s="1"/>
  <c r="A49" i="149" s="1"/>
  <c r="A50" i="149" s="1"/>
  <c r="A51" i="149" s="1"/>
  <c r="A52" i="149" s="1"/>
  <c r="A53" i="149" s="1"/>
  <c r="A54" i="149" s="1"/>
  <c r="A55" i="149" s="1"/>
  <c r="A56" i="149" s="1"/>
  <c r="A57" i="149" s="1"/>
  <c r="A58" i="149" s="1"/>
  <c r="A59" i="149" s="1"/>
  <c r="A60" i="149" s="1"/>
  <c r="A61" i="149" s="1"/>
  <c r="A62" i="149" s="1"/>
  <c r="A63" i="149" s="1"/>
  <c r="A64" i="149" s="1"/>
  <c r="A65" i="149" s="1"/>
  <c r="A66" i="149" s="1"/>
  <c r="A67" i="149" s="1"/>
  <c r="A68" i="149" s="1"/>
  <c r="A69" i="149" s="1"/>
  <c r="A70" i="149" s="1"/>
  <c r="A71" i="149" s="1"/>
  <c r="A72" i="149" s="1"/>
  <c r="A73" i="149" s="1"/>
  <c r="A74" i="149" s="1"/>
  <c r="A75" i="149" s="1"/>
  <c r="A76" i="149" s="1"/>
  <c r="A77" i="149" s="1"/>
  <c r="A78" i="149" s="1"/>
  <c r="A79" i="149" s="1"/>
  <c r="A80" i="149" s="1"/>
  <c r="A81" i="149" s="1"/>
  <c r="A82" i="149" s="1"/>
  <c r="A83" i="149" s="1"/>
  <c r="A84" i="149" s="1"/>
  <c r="A85" i="149" s="1"/>
  <c r="A86" i="149" s="1"/>
  <c r="A87" i="149" s="1"/>
  <c r="A88" i="149" s="1"/>
  <c r="A89" i="149" s="1"/>
  <c r="A90" i="149" s="1"/>
  <c r="A91" i="149" s="1"/>
  <c r="A92" i="149" s="1"/>
  <c r="A93" i="149" s="1"/>
  <c r="A105" i="149" s="1"/>
  <c r="A106" i="149" s="1"/>
  <c r="A107" i="149" s="1"/>
  <c r="L10" i="149"/>
  <c r="A10" i="149"/>
  <c r="M9" i="149"/>
  <c r="L9" i="149"/>
  <c r="G9" i="149"/>
  <c r="G10" i="149" s="1"/>
  <c r="G11" i="149" s="1"/>
  <c r="G12" i="149" s="1"/>
  <c r="G13" i="149" s="1"/>
  <c r="G14" i="149" s="1"/>
  <c r="G15" i="149" s="1"/>
  <c r="G16" i="149" s="1"/>
  <c r="G17" i="149" s="1"/>
  <c r="G18" i="149" s="1"/>
  <c r="G19" i="149" s="1"/>
  <c r="G20" i="149" s="1"/>
  <c r="G21" i="149" s="1"/>
  <c r="G22" i="149" s="1"/>
  <c r="G23" i="149" s="1"/>
  <c r="G24" i="149" s="1"/>
  <c r="G25" i="149" s="1"/>
  <c r="G26" i="149" s="1"/>
  <c r="G27" i="149" s="1"/>
  <c r="G28" i="149" s="1"/>
  <c r="G29" i="149" s="1"/>
  <c r="G30" i="149" s="1"/>
  <c r="G31" i="149" s="1"/>
  <c r="G32" i="149" s="1"/>
  <c r="G33" i="149" s="1"/>
  <c r="G34" i="149" s="1"/>
  <c r="G35" i="149" s="1"/>
  <c r="G36" i="149" s="1"/>
  <c r="G37" i="149" s="1"/>
  <c r="G38" i="149" s="1"/>
  <c r="G39" i="149" s="1"/>
  <c r="G40" i="149" s="1"/>
  <c r="G41" i="149" s="1"/>
  <c r="G42" i="149" s="1"/>
  <c r="G43" i="149" s="1"/>
  <c r="G44" i="149" s="1"/>
  <c r="G45" i="149" s="1"/>
  <c r="G46" i="149" s="1"/>
  <c r="G47" i="149" s="1"/>
  <c r="G48" i="149" s="1"/>
  <c r="G49" i="149" s="1"/>
  <c r="G50" i="149" s="1"/>
  <c r="G51" i="149" s="1"/>
  <c r="G52" i="149" s="1"/>
  <c r="G53" i="149" s="1"/>
  <c r="G54" i="149" s="1"/>
  <c r="G55" i="149" s="1"/>
  <c r="G56" i="149" s="1"/>
  <c r="G57" i="149" s="1"/>
  <c r="G58" i="149" s="1"/>
  <c r="G59" i="149" s="1"/>
  <c r="G60" i="149" s="1"/>
  <c r="G61" i="149" s="1"/>
  <c r="G62" i="149" s="1"/>
  <c r="G63" i="149" s="1"/>
  <c r="G64" i="149" s="1"/>
  <c r="G65" i="149" s="1"/>
  <c r="G66" i="149" s="1"/>
  <c r="G67" i="149" s="1"/>
  <c r="G68" i="149" s="1"/>
  <c r="G69" i="149" s="1"/>
  <c r="G70" i="149" s="1"/>
  <c r="G71" i="149" s="1"/>
  <c r="G72" i="149" s="1"/>
  <c r="G73" i="149" s="1"/>
  <c r="G74" i="149" s="1"/>
  <c r="G75" i="149" s="1"/>
  <c r="G76" i="149" s="1"/>
  <c r="G77" i="149" s="1"/>
  <c r="G78" i="149" s="1"/>
  <c r="G79" i="149" s="1"/>
  <c r="G80" i="149" s="1"/>
  <c r="G81" i="149" s="1"/>
  <c r="G82" i="149" s="1"/>
  <c r="G83" i="149" s="1"/>
  <c r="G84" i="149" s="1"/>
  <c r="G85" i="149" s="1"/>
  <c r="G86" i="149" s="1"/>
  <c r="G87" i="149" s="1"/>
  <c r="G88" i="149" s="1"/>
  <c r="G89" i="149" s="1"/>
  <c r="G90" i="149" s="1"/>
  <c r="G91" i="149" s="1"/>
  <c r="G92" i="149" s="1"/>
  <c r="G93" i="149" s="1"/>
  <c r="G94" i="149" s="1"/>
  <c r="G95" i="149" s="1"/>
  <c r="G96" i="149" s="1"/>
  <c r="G97" i="149" s="1"/>
  <c r="G98" i="149" s="1"/>
  <c r="G99" i="149" s="1"/>
  <c r="G100" i="149" s="1"/>
  <c r="G101" i="149" s="1"/>
  <c r="G102" i="149" s="1"/>
  <c r="G103" i="149" s="1"/>
  <c r="G104" i="149" s="1"/>
  <c r="G105" i="149" s="1"/>
  <c r="G106" i="149" s="1"/>
  <c r="G107" i="149" s="1"/>
  <c r="A4" i="149"/>
  <c r="J108" i="148"/>
  <c r="F108" i="148"/>
  <c r="E108" i="148"/>
  <c r="G108" i="148" s="1"/>
  <c r="N30" i="148"/>
  <c r="N31" i="148" s="1"/>
  <c r="M22" i="148"/>
  <c r="N20" i="148"/>
  <c r="N21" i="148" s="1"/>
  <c r="M18" i="148"/>
  <c r="M14" i="148"/>
  <c r="A10" i="148"/>
  <c r="A11" i="148" s="1"/>
  <c r="A12" i="148" s="1"/>
  <c r="A13" i="148" s="1"/>
  <c r="A14" i="148" s="1"/>
  <c r="A15" i="148" s="1"/>
  <c r="A16" i="148" s="1"/>
  <c r="A17" i="148" s="1"/>
  <c r="A18" i="148" s="1"/>
  <c r="A19" i="148" s="1"/>
  <c r="A20" i="148" s="1"/>
  <c r="A21" i="148" s="1"/>
  <c r="A22" i="148" s="1"/>
  <c r="A23" i="148" s="1"/>
  <c r="A24" i="148" s="1"/>
  <c r="A25" i="148" s="1"/>
  <c r="A26" i="148" s="1"/>
  <c r="A27" i="148" s="1"/>
  <c r="A28" i="148" s="1"/>
  <c r="A29" i="148" s="1"/>
  <c r="A30" i="148" s="1"/>
  <c r="A31" i="148" s="1"/>
  <c r="A32" i="148" s="1"/>
  <c r="A33" i="148" s="1"/>
  <c r="A34" i="148" s="1"/>
  <c r="A35" i="148" s="1"/>
  <c r="A36" i="148" s="1"/>
  <c r="A37" i="148" s="1"/>
  <c r="A38" i="148" s="1"/>
  <c r="A39" i="148" s="1"/>
  <c r="A40" i="148" s="1"/>
  <c r="A41" i="148" s="1"/>
  <c r="A42" i="148" s="1"/>
  <c r="A43" i="148" s="1"/>
  <c r="A44" i="148" s="1"/>
  <c r="A45" i="148" s="1"/>
  <c r="A46" i="148" s="1"/>
  <c r="A47" i="148" s="1"/>
  <c r="A48" i="148" s="1"/>
  <c r="A49" i="148" s="1"/>
  <c r="A50" i="148" s="1"/>
  <c r="A51" i="148" s="1"/>
  <c r="A52" i="148" s="1"/>
  <c r="A53" i="148" s="1"/>
  <c r="A54" i="148" s="1"/>
  <c r="A55" i="148" s="1"/>
  <c r="A56" i="148" s="1"/>
  <c r="A57" i="148" s="1"/>
  <c r="A58" i="148" s="1"/>
  <c r="A59" i="148" s="1"/>
  <c r="A60" i="148" s="1"/>
  <c r="A61" i="148" s="1"/>
  <c r="A62" i="148" s="1"/>
  <c r="A63" i="148" s="1"/>
  <c r="A64" i="148" s="1"/>
  <c r="A65" i="148" s="1"/>
  <c r="A66" i="148" s="1"/>
  <c r="A67" i="148" s="1"/>
  <c r="A68" i="148" s="1"/>
  <c r="A69" i="148" s="1"/>
  <c r="A70" i="148" s="1"/>
  <c r="A71" i="148" s="1"/>
  <c r="A72" i="148" s="1"/>
  <c r="A73" i="148" s="1"/>
  <c r="A74" i="148" s="1"/>
  <c r="A75" i="148" s="1"/>
  <c r="A76" i="148" s="1"/>
  <c r="A77" i="148" s="1"/>
  <c r="A78" i="148" s="1"/>
  <c r="A79" i="148" s="1"/>
  <c r="A80" i="148" s="1"/>
  <c r="A81" i="148" s="1"/>
  <c r="A82" i="148" s="1"/>
  <c r="A83" i="148" s="1"/>
  <c r="A84" i="148" s="1"/>
  <c r="A85" i="148" s="1"/>
  <c r="A86" i="148" s="1"/>
  <c r="A87" i="148" s="1"/>
  <c r="A88" i="148" s="1"/>
  <c r="A89" i="148" s="1"/>
  <c r="A90" i="148" s="1"/>
  <c r="A91" i="148" s="1"/>
  <c r="A92" i="148" s="1"/>
  <c r="A93" i="148" s="1"/>
  <c r="A105" i="148" s="1"/>
  <c r="A106" i="148" s="1"/>
  <c r="A107" i="148" s="1"/>
  <c r="M9" i="148"/>
  <c r="G9" i="148"/>
  <c r="G10" i="148" s="1"/>
  <c r="G11" i="148" s="1"/>
  <c r="G12" i="148" s="1"/>
  <c r="G13" i="148" s="1"/>
  <c r="G14" i="148" s="1"/>
  <c r="G15" i="148" s="1"/>
  <c r="G16" i="148" s="1"/>
  <c r="G17" i="148" s="1"/>
  <c r="G18" i="148" s="1"/>
  <c r="G19" i="148" s="1"/>
  <c r="G20" i="148" s="1"/>
  <c r="G21" i="148" s="1"/>
  <c r="G22" i="148" s="1"/>
  <c r="G23" i="148" s="1"/>
  <c r="G24" i="148" s="1"/>
  <c r="G25" i="148" s="1"/>
  <c r="G26" i="148" s="1"/>
  <c r="G27" i="148" s="1"/>
  <c r="G28" i="148" s="1"/>
  <c r="G29" i="148" s="1"/>
  <c r="G30" i="148" s="1"/>
  <c r="G31" i="148" s="1"/>
  <c r="G32" i="148" s="1"/>
  <c r="G33" i="148" s="1"/>
  <c r="G34" i="148" s="1"/>
  <c r="G35" i="148" s="1"/>
  <c r="G36" i="148" s="1"/>
  <c r="G37" i="148" s="1"/>
  <c r="G38" i="148" s="1"/>
  <c r="G39" i="148" s="1"/>
  <c r="G40" i="148" s="1"/>
  <c r="G41" i="148" s="1"/>
  <c r="G42" i="148" s="1"/>
  <c r="G43" i="148" s="1"/>
  <c r="G44" i="148" s="1"/>
  <c r="G45" i="148" s="1"/>
  <c r="G46" i="148" s="1"/>
  <c r="G47" i="148" s="1"/>
  <c r="G48" i="148" s="1"/>
  <c r="G49" i="148" s="1"/>
  <c r="G50" i="148" s="1"/>
  <c r="G51" i="148" s="1"/>
  <c r="G52" i="148" s="1"/>
  <c r="G53" i="148" s="1"/>
  <c r="G54" i="148" s="1"/>
  <c r="G55" i="148" s="1"/>
  <c r="G56" i="148" s="1"/>
  <c r="G57" i="148" s="1"/>
  <c r="G58" i="148" s="1"/>
  <c r="G59" i="148" s="1"/>
  <c r="G60" i="148" s="1"/>
  <c r="G61" i="148" s="1"/>
  <c r="G62" i="148" s="1"/>
  <c r="G63" i="148" s="1"/>
  <c r="G64" i="148" s="1"/>
  <c r="G65" i="148" s="1"/>
  <c r="G66" i="148" s="1"/>
  <c r="G67" i="148" s="1"/>
  <c r="G68" i="148" s="1"/>
  <c r="G69" i="148" s="1"/>
  <c r="G70" i="148" s="1"/>
  <c r="G71" i="148" s="1"/>
  <c r="G72" i="148" s="1"/>
  <c r="G73" i="148" s="1"/>
  <c r="G74" i="148" s="1"/>
  <c r="G75" i="148" s="1"/>
  <c r="G76" i="148" s="1"/>
  <c r="G77" i="148" s="1"/>
  <c r="G78" i="148" s="1"/>
  <c r="G79" i="148" s="1"/>
  <c r="G80" i="148" s="1"/>
  <c r="G81" i="148" s="1"/>
  <c r="G82" i="148" s="1"/>
  <c r="G83" i="148" s="1"/>
  <c r="G84" i="148" s="1"/>
  <c r="G85" i="148" s="1"/>
  <c r="G86" i="148" s="1"/>
  <c r="G87" i="148" s="1"/>
  <c r="G88" i="148" s="1"/>
  <c r="G89" i="148" s="1"/>
  <c r="G90" i="148" s="1"/>
  <c r="G91" i="148" s="1"/>
  <c r="G92" i="148" s="1"/>
  <c r="G93" i="148" s="1"/>
  <c r="G94" i="148" s="1"/>
  <c r="G95" i="148" s="1"/>
  <c r="G96" i="148" s="1"/>
  <c r="G97" i="148" s="1"/>
  <c r="G98" i="148" s="1"/>
  <c r="G99" i="148" s="1"/>
  <c r="G100" i="148" s="1"/>
  <c r="G101" i="148" s="1"/>
  <c r="G102" i="148" s="1"/>
  <c r="G103" i="148" s="1"/>
  <c r="G104" i="148" s="1"/>
  <c r="G105" i="148" s="1"/>
  <c r="G106" i="148" s="1"/>
  <c r="G107" i="148" s="1"/>
  <c r="A4" i="148"/>
  <c r="J108" i="147"/>
  <c r="F108" i="147"/>
  <c r="E108" i="147"/>
  <c r="G108" i="147" s="1"/>
  <c r="N30" i="147"/>
  <c r="N31" i="147" s="1"/>
  <c r="M22" i="147"/>
  <c r="N20" i="147"/>
  <c r="N21" i="147" s="1"/>
  <c r="M18" i="147"/>
  <c r="M14" i="147"/>
  <c r="A10" i="147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105" i="147" s="1"/>
  <c r="A106" i="147" s="1"/>
  <c r="A107" i="147" s="1"/>
  <c r="M9" i="147"/>
  <c r="G9" i="147"/>
  <c r="G10" i="147" s="1"/>
  <c r="G11" i="147" s="1"/>
  <c r="G12" i="147" s="1"/>
  <c r="G13" i="147" s="1"/>
  <c r="G14" i="147" s="1"/>
  <c r="G15" i="147" s="1"/>
  <c r="G16" i="147" s="1"/>
  <c r="G17" i="147" s="1"/>
  <c r="G18" i="147" s="1"/>
  <c r="G19" i="147" s="1"/>
  <c r="G20" i="147" s="1"/>
  <c r="G21" i="147" s="1"/>
  <c r="G22" i="147" s="1"/>
  <c r="G23" i="147" s="1"/>
  <c r="G24" i="147" s="1"/>
  <c r="G25" i="147" s="1"/>
  <c r="G26" i="147" s="1"/>
  <c r="G27" i="147" s="1"/>
  <c r="G28" i="147" s="1"/>
  <c r="G29" i="147" s="1"/>
  <c r="G30" i="147" s="1"/>
  <c r="G31" i="147" s="1"/>
  <c r="G32" i="147" s="1"/>
  <c r="G33" i="147" s="1"/>
  <c r="G34" i="147" s="1"/>
  <c r="G35" i="147" s="1"/>
  <c r="G36" i="147" s="1"/>
  <c r="G37" i="147" s="1"/>
  <c r="G38" i="147" s="1"/>
  <c r="G39" i="147" s="1"/>
  <c r="G40" i="147" s="1"/>
  <c r="G41" i="147" s="1"/>
  <c r="G42" i="147" s="1"/>
  <c r="G43" i="147" s="1"/>
  <c r="G44" i="147" s="1"/>
  <c r="G45" i="147" s="1"/>
  <c r="G46" i="147" s="1"/>
  <c r="G47" i="147" s="1"/>
  <c r="G48" i="147" s="1"/>
  <c r="G49" i="147" s="1"/>
  <c r="G50" i="147" s="1"/>
  <c r="G51" i="147" s="1"/>
  <c r="G52" i="147" s="1"/>
  <c r="G53" i="147" s="1"/>
  <c r="G54" i="147" s="1"/>
  <c r="G55" i="147" s="1"/>
  <c r="G56" i="147" s="1"/>
  <c r="G57" i="147" s="1"/>
  <c r="G58" i="147" s="1"/>
  <c r="G59" i="147" s="1"/>
  <c r="G60" i="147" s="1"/>
  <c r="G61" i="147" s="1"/>
  <c r="G62" i="147" s="1"/>
  <c r="G63" i="147" s="1"/>
  <c r="G64" i="147" s="1"/>
  <c r="G65" i="147" s="1"/>
  <c r="G66" i="147" s="1"/>
  <c r="G67" i="147" s="1"/>
  <c r="G68" i="147" s="1"/>
  <c r="G69" i="147" s="1"/>
  <c r="G70" i="147" s="1"/>
  <c r="G71" i="147" s="1"/>
  <c r="G72" i="147" s="1"/>
  <c r="G73" i="147" s="1"/>
  <c r="G74" i="147" s="1"/>
  <c r="G75" i="147" s="1"/>
  <c r="G76" i="147" s="1"/>
  <c r="G77" i="147" s="1"/>
  <c r="G78" i="147" s="1"/>
  <c r="G79" i="147" s="1"/>
  <c r="G80" i="147" s="1"/>
  <c r="G81" i="147" s="1"/>
  <c r="G82" i="147" s="1"/>
  <c r="G83" i="147" s="1"/>
  <c r="G84" i="147" s="1"/>
  <c r="G85" i="147" s="1"/>
  <c r="G86" i="147" s="1"/>
  <c r="G87" i="147" s="1"/>
  <c r="G88" i="147" s="1"/>
  <c r="G89" i="147" s="1"/>
  <c r="G90" i="147" s="1"/>
  <c r="G91" i="147" s="1"/>
  <c r="G92" i="147" s="1"/>
  <c r="G93" i="147" s="1"/>
  <c r="G94" i="147" s="1"/>
  <c r="G95" i="147" s="1"/>
  <c r="G96" i="147" s="1"/>
  <c r="G97" i="147" s="1"/>
  <c r="G98" i="147" s="1"/>
  <c r="G99" i="147" s="1"/>
  <c r="G100" i="147" s="1"/>
  <c r="G101" i="147" s="1"/>
  <c r="G102" i="147" s="1"/>
  <c r="G103" i="147" s="1"/>
  <c r="G104" i="147" s="1"/>
  <c r="G105" i="147" s="1"/>
  <c r="G106" i="147" s="1"/>
  <c r="G107" i="147" s="1"/>
  <c r="A4" i="147"/>
  <c r="G66" i="100"/>
  <c r="G67" i="100" s="1"/>
  <c r="G68" i="100" s="1"/>
  <c r="G69" i="100" s="1"/>
  <c r="G70" i="100" s="1"/>
  <c r="G71" i="100" s="1"/>
  <c r="G72" i="100" s="1"/>
  <c r="G18" i="4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83" i="58"/>
  <c r="G101" i="150" l="1"/>
  <c r="G108" i="149"/>
  <c r="J123" i="45"/>
  <c r="J122" i="45"/>
  <c r="J121" i="45"/>
  <c r="J120" i="45"/>
  <c r="L16" i="139"/>
  <c r="L15" i="139"/>
  <c r="M34" i="135"/>
  <c r="G14" i="102"/>
  <c r="G15" i="102" s="1"/>
  <c r="G16" i="102" s="1"/>
  <c r="G17" i="102" s="1"/>
  <c r="G18" i="102" s="1"/>
  <c r="G19" i="102" s="1"/>
  <c r="G20" i="102" s="1"/>
  <c r="G21" i="102" s="1"/>
  <c r="G22" i="102" s="1"/>
  <c r="G23" i="102" s="1"/>
  <c r="G24" i="102" s="1"/>
  <c r="G25" i="102" s="1"/>
  <c r="G26" i="102" s="1"/>
  <c r="G27" i="102" s="1"/>
  <c r="G28" i="102" s="1"/>
  <c r="G29" i="102" s="1"/>
  <c r="G30" i="102" s="1"/>
  <c r="G31" i="102" s="1"/>
  <c r="G32" i="102" s="1"/>
  <c r="G33" i="102" s="1"/>
  <c r="G34" i="102" s="1"/>
  <c r="G35" i="102" s="1"/>
  <c r="G36" i="102" s="1"/>
  <c r="G37" i="102" s="1"/>
  <c r="G38" i="102" s="1"/>
  <c r="G39" i="102" s="1"/>
  <c r="G40" i="102" s="1"/>
  <c r="G41" i="102" s="1"/>
  <c r="G42" i="102" s="1"/>
  <c r="G43" i="102" s="1"/>
  <c r="G44" i="102" s="1"/>
  <c r="G45" i="102" s="1"/>
  <c r="G46" i="102" s="1"/>
  <c r="G47" i="102" s="1"/>
  <c r="G48" i="102" s="1"/>
  <c r="G49" i="102" s="1"/>
  <c r="G50" i="102" s="1"/>
  <c r="G51" i="102" s="1"/>
  <c r="G52" i="102" s="1"/>
  <c r="G53" i="102" s="1"/>
  <c r="G54" i="102" s="1"/>
  <c r="G55" i="102" s="1"/>
  <c r="G56" i="102" s="1"/>
  <c r="G57" i="102" s="1"/>
  <c r="G58" i="102" s="1"/>
  <c r="G59" i="102" s="1"/>
  <c r="G60" i="102" s="1"/>
  <c r="G61" i="102" s="1"/>
  <c r="G62" i="102" s="1"/>
  <c r="G63" i="102" s="1"/>
  <c r="G64" i="102" s="1"/>
  <c r="G65" i="102" s="1"/>
  <c r="G66" i="102" s="1"/>
  <c r="G67" i="102" s="1"/>
  <c r="G68" i="102" s="1"/>
  <c r="G69" i="102" s="1"/>
  <c r="G70" i="102" s="1"/>
  <c r="G71" i="102" s="1"/>
  <c r="G72" i="102" s="1"/>
  <c r="G73" i="102" s="1"/>
  <c r="G74" i="102" s="1"/>
  <c r="G75" i="102" s="1"/>
  <c r="G76" i="102" s="1"/>
  <c r="G77" i="102" s="1"/>
  <c r="G78" i="102" s="1"/>
  <c r="G79" i="102" s="1"/>
  <c r="G80" i="102" s="1"/>
  <c r="G81" i="102" s="1"/>
  <c r="G82" i="102" s="1"/>
  <c r="G83" i="102" s="1"/>
  <c r="G84" i="102" s="1"/>
  <c r="G85" i="102" s="1"/>
  <c r="G86" i="102" s="1"/>
  <c r="G87" i="102" s="1"/>
  <c r="G88" i="102" s="1"/>
  <c r="G89" i="102" s="1"/>
  <c r="G90" i="102" s="1"/>
  <c r="G91" i="102" s="1"/>
  <c r="G92" i="102" s="1"/>
  <c r="G93" i="102" s="1"/>
  <c r="G94" i="102" s="1"/>
  <c r="G95" i="102" s="1"/>
  <c r="G96" i="102" s="1"/>
  <c r="G97" i="102" s="1"/>
  <c r="G98" i="102" s="1"/>
  <c r="G99" i="102" s="1"/>
  <c r="G100" i="102" s="1"/>
  <c r="G101" i="102" s="1"/>
  <c r="G102" i="102" s="1"/>
  <c r="G103" i="102" s="1"/>
  <c r="G104" i="102" s="1"/>
  <c r="G105" i="102" s="1"/>
  <c r="G106" i="102" s="1"/>
  <c r="G107" i="102" s="1"/>
  <c r="G108" i="102" s="1"/>
  <c r="G109" i="102" s="1"/>
  <c r="G110" i="102" s="1"/>
  <c r="G111" i="102" s="1"/>
  <c r="F15" i="102"/>
  <c r="K26" i="102"/>
  <c r="K24" i="102"/>
  <c r="K17" i="127"/>
  <c r="G9" i="139"/>
  <c r="G10" i="139" s="1"/>
  <c r="G11" i="139" s="1"/>
  <c r="G12" i="139" s="1"/>
  <c r="G13" i="139" s="1"/>
  <c r="G14" i="139" s="1"/>
  <c r="G15" i="139" s="1"/>
  <c r="G16" i="139" s="1"/>
  <c r="G17" i="139" s="1"/>
  <c r="G18" i="139" s="1"/>
  <c r="G19" i="139" s="1"/>
  <c r="G20" i="139" s="1"/>
  <c r="G21" i="139" s="1"/>
  <c r="G22" i="139" s="1"/>
  <c r="G23" i="139" s="1"/>
  <c r="G24" i="139" s="1"/>
  <c r="G25" i="139" s="1"/>
  <c r="G26" i="139" s="1"/>
  <c r="G27" i="139" s="1"/>
  <c r="G28" i="139" s="1"/>
  <c r="L9" i="139"/>
  <c r="M9" i="139" s="1"/>
  <c r="A18" i="135"/>
  <c r="A19" i="135" s="1"/>
  <c r="A20" i="135" s="1"/>
  <c r="A21" i="135" s="1"/>
  <c r="A22" i="135" s="1"/>
  <c r="A23" i="135" s="1"/>
  <c r="A24" i="135" s="1"/>
  <c r="A25" i="135" s="1"/>
  <c r="A26" i="135" s="1"/>
  <c r="A27" i="135" s="1"/>
  <c r="A28" i="135" s="1"/>
  <c r="A29" i="135" s="1"/>
  <c r="A30" i="135" s="1"/>
  <c r="A31" i="135" s="1"/>
  <c r="A32" i="135" s="1"/>
  <c r="A33" i="135" s="1"/>
  <c r="A34" i="135" s="1"/>
  <c r="A35" i="135" s="1"/>
  <c r="A36" i="135" s="1"/>
  <c r="A37" i="135" s="1"/>
  <c r="A38" i="135" s="1"/>
  <c r="A39" i="135" s="1"/>
  <c r="A40" i="135" s="1"/>
  <c r="A41" i="135" s="1"/>
  <c r="A42" i="135" s="1"/>
  <c r="A43" i="135" s="1"/>
  <c r="A44" i="135" s="1"/>
  <c r="A45" i="135" s="1"/>
  <c r="A46" i="135" s="1"/>
  <c r="A47" i="135" s="1"/>
  <c r="A48" i="135" s="1"/>
  <c r="A49" i="135" s="1"/>
  <c r="A50" i="135" s="1"/>
  <c r="A51" i="135" s="1"/>
  <c r="A52" i="135" s="1"/>
  <c r="A53" i="135" s="1"/>
  <c r="A54" i="135" s="1"/>
  <c r="A55" i="135" s="1"/>
  <c r="A56" i="135" s="1"/>
  <c r="A57" i="135" s="1"/>
  <c r="A58" i="135" s="1"/>
  <c r="A59" i="135" s="1"/>
  <c r="A60" i="135" s="1"/>
  <c r="A61" i="135" s="1"/>
  <c r="A62" i="135" s="1"/>
  <c r="A63" i="135" s="1"/>
  <c r="A64" i="135" s="1"/>
  <c r="A65" i="135" s="1"/>
  <c r="A66" i="135" s="1"/>
  <c r="A67" i="135" s="1"/>
  <c r="A68" i="135" s="1"/>
  <c r="A69" i="135" s="1"/>
  <c r="A70" i="135" s="1"/>
  <c r="A71" i="135" s="1"/>
  <c r="A72" i="135" s="1"/>
  <c r="A73" i="135" s="1"/>
  <c r="A74" i="135" s="1"/>
  <c r="A75" i="135" s="1"/>
  <c r="A76" i="135" s="1"/>
  <c r="A77" i="135" s="1"/>
  <c r="A78" i="135" s="1"/>
  <c r="A79" i="135" s="1"/>
  <c r="A80" i="135" s="1"/>
  <c r="A81" i="135" s="1"/>
  <c r="A82" i="135" s="1"/>
  <c r="A83" i="135" s="1"/>
  <c r="A84" i="135" s="1"/>
  <c r="A85" i="135" s="1"/>
  <c r="A86" i="135" s="1"/>
  <c r="A87" i="135" s="1"/>
  <c r="A88" i="135" s="1"/>
  <c r="A89" i="135" s="1"/>
  <c r="A90" i="135" s="1"/>
  <c r="A91" i="135" s="1"/>
  <c r="A92" i="135" s="1"/>
  <c r="A93" i="135" s="1"/>
  <c r="A94" i="135" s="1"/>
  <c r="A95" i="135" s="1"/>
  <c r="A96" i="135" s="1"/>
  <c r="A97" i="135" s="1"/>
  <c r="A98" i="135" s="1"/>
  <c r="A99" i="135" s="1"/>
  <c r="A100" i="135" s="1"/>
  <c r="A101" i="135" s="1"/>
  <c r="A102" i="135" s="1"/>
  <c r="A103" i="135" s="1"/>
  <c r="A104" i="135" s="1"/>
  <c r="A105" i="135" s="1"/>
  <c r="A106" i="135" s="1"/>
  <c r="A107" i="135" s="1"/>
  <c r="A108" i="135" s="1"/>
  <c r="G18" i="135"/>
  <c r="G19" i="135" s="1"/>
  <c r="G20" i="135" s="1"/>
  <c r="G21" i="135" s="1"/>
  <c r="G22" i="135" s="1"/>
  <c r="G23" i="135" s="1"/>
  <c r="G24" i="135" s="1"/>
  <c r="G25" i="135" s="1"/>
  <c r="G26" i="135" s="1"/>
  <c r="G27" i="135" s="1"/>
  <c r="G28" i="135" s="1"/>
  <c r="G29" i="135" s="1"/>
  <c r="G30" i="135" s="1"/>
  <c r="G31" i="135" s="1"/>
  <c r="G32" i="135" s="1"/>
  <c r="G33" i="135" s="1"/>
  <c r="G34" i="135" s="1"/>
  <c r="G35" i="135" s="1"/>
  <c r="G36" i="135" s="1"/>
  <c r="G37" i="135" s="1"/>
  <c r="G38" i="135" s="1"/>
  <c r="G39" i="135" s="1"/>
  <c r="G40" i="135" s="1"/>
  <c r="G41" i="135" s="1"/>
  <c r="G42" i="135" s="1"/>
  <c r="G43" i="135" s="1"/>
  <c r="G44" i="135" s="1"/>
  <c r="G45" i="135" s="1"/>
  <c r="G46" i="135" s="1"/>
  <c r="G47" i="135" s="1"/>
  <c r="G48" i="135" s="1"/>
  <c r="G49" i="135" s="1"/>
  <c r="G50" i="135" s="1"/>
  <c r="G51" i="135" s="1"/>
  <c r="G52" i="135" s="1"/>
  <c r="G53" i="135" s="1"/>
  <c r="G54" i="135" s="1"/>
  <c r="G55" i="135" s="1"/>
  <c r="G56" i="135" s="1"/>
  <c r="G57" i="135" s="1"/>
  <c r="G58" i="135" s="1"/>
  <c r="G59" i="135" s="1"/>
  <c r="G60" i="135" s="1"/>
  <c r="G61" i="135" s="1"/>
  <c r="G62" i="135" s="1"/>
  <c r="G63" i="135" s="1"/>
  <c r="G64" i="135" s="1"/>
  <c r="G65" i="135" s="1"/>
  <c r="G66" i="135" s="1"/>
  <c r="G67" i="135" s="1"/>
  <c r="G68" i="135" s="1"/>
  <c r="G69" i="135" s="1"/>
  <c r="G70" i="135" s="1"/>
  <c r="G71" i="135" s="1"/>
  <c r="G72" i="135" s="1"/>
  <c r="G73" i="135" s="1"/>
  <c r="G74" i="135" s="1"/>
  <c r="G75" i="135" s="1"/>
  <c r="G76" i="135" s="1"/>
  <c r="G77" i="135" s="1"/>
  <c r="G78" i="135" s="1"/>
  <c r="G79" i="135" s="1"/>
  <c r="G80" i="135" s="1"/>
  <c r="G81" i="135" s="1"/>
  <c r="G82" i="135" s="1"/>
  <c r="G83" i="135" s="1"/>
  <c r="G84" i="135" s="1"/>
  <c r="G85" i="135" s="1"/>
  <c r="G86" i="135" s="1"/>
  <c r="G87" i="135" s="1"/>
  <c r="G88" i="135" s="1"/>
  <c r="G89" i="135" s="1"/>
  <c r="G90" i="135" s="1"/>
  <c r="G91" i="135" s="1"/>
  <c r="G92" i="135" s="1"/>
  <c r="G93" i="135" s="1"/>
  <c r="G94" i="135" s="1"/>
  <c r="G95" i="135" s="1"/>
  <c r="G96" i="135" s="1"/>
  <c r="G97" i="135" s="1"/>
  <c r="G98" i="135" s="1"/>
  <c r="G99" i="135" s="1"/>
  <c r="G100" i="135" s="1"/>
  <c r="G101" i="135" s="1"/>
  <c r="G102" i="135" s="1"/>
  <c r="G103" i="135" s="1"/>
  <c r="G104" i="135" s="1"/>
  <c r="G105" i="135" s="1"/>
  <c r="G106" i="135" s="1"/>
  <c r="G107" i="135" s="1"/>
  <c r="G108" i="135" s="1"/>
  <c r="Q30" i="54"/>
  <c r="G49" i="55"/>
  <c r="G50" i="55" s="1"/>
  <c r="G51" i="55" s="1"/>
  <c r="G52" i="55" s="1"/>
  <c r="G53" i="55" s="1"/>
  <c r="G54" i="55" s="1"/>
  <c r="G55" i="55" s="1"/>
  <c r="G56" i="55" s="1"/>
  <c r="G57" i="55" s="1"/>
  <c r="G58" i="55" s="1"/>
  <c r="G59" i="55" s="1"/>
  <c r="G60" i="55" s="1"/>
  <c r="G61" i="55" s="1"/>
  <c r="G62" i="55" s="1"/>
  <c r="G63" i="55" s="1"/>
  <c r="G64" i="55" s="1"/>
  <c r="G65" i="55" s="1"/>
  <c r="G66" i="55" s="1"/>
  <c r="G67" i="55" s="1"/>
  <c r="G68" i="55" s="1"/>
  <c r="G69" i="55" s="1"/>
  <c r="G70" i="55" s="1"/>
  <c r="G71" i="55" s="1"/>
  <c r="G72" i="55" s="1"/>
  <c r="G73" i="55" s="1"/>
  <c r="G74" i="55" s="1"/>
  <c r="G75" i="55" s="1"/>
  <c r="G76" i="55" s="1"/>
  <c r="G77" i="55" s="1"/>
  <c r="G78" i="55" s="1"/>
  <c r="G79" i="55" s="1"/>
  <c r="G80" i="55" s="1"/>
  <c r="G81" i="55" s="1"/>
  <c r="G82" i="55" s="1"/>
  <c r="G83" i="55" s="1"/>
  <c r="G84" i="55" s="1"/>
  <c r="G85" i="55" s="1"/>
  <c r="G86" i="55" s="1"/>
  <c r="G87" i="55" s="1"/>
  <c r="G88" i="55" s="1"/>
  <c r="G89" i="55" s="1"/>
  <c r="G90" i="55" s="1"/>
  <c r="G91" i="55" s="1"/>
  <c r="G92" i="55" s="1"/>
  <c r="G93" i="55" s="1"/>
  <c r="G94" i="55" s="1"/>
  <c r="G95" i="55" s="1"/>
  <c r="G96" i="55" s="1"/>
  <c r="G97" i="55" s="1"/>
  <c r="G98" i="55" s="1"/>
  <c r="G99" i="55" s="1"/>
  <c r="G100" i="55" s="1"/>
  <c r="G101" i="55" s="1"/>
  <c r="G102" i="55" s="1"/>
  <c r="G103" i="55" s="1"/>
  <c r="G104" i="55" s="1"/>
  <c r="G105" i="55" s="1"/>
  <c r="G106" i="55" s="1"/>
  <c r="G107" i="55" s="1"/>
  <c r="G108" i="55" s="1"/>
  <c r="G109" i="55" s="1"/>
  <c r="G110" i="55" s="1"/>
  <c r="G111" i="55" s="1"/>
  <c r="G112" i="55" s="1"/>
  <c r="G113" i="55" s="1"/>
  <c r="G114" i="55" s="1"/>
  <c r="G115" i="55" s="1"/>
  <c r="G116" i="55" s="1"/>
  <c r="G117" i="55" s="1"/>
  <c r="G118" i="55" s="1"/>
  <c r="G119" i="55" s="1"/>
  <c r="G120" i="55" s="1"/>
  <c r="G121" i="55" s="1"/>
  <c r="G122" i="55" s="1"/>
  <c r="G123" i="55" s="1"/>
  <c r="G124" i="55" s="1"/>
  <c r="G125" i="55" s="1"/>
  <c r="G126" i="55" s="1"/>
  <c r="G127" i="55" s="1"/>
  <c r="G128" i="55" s="1"/>
  <c r="G129" i="55" s="1"/>
  <c r="G130" i="55" s="1"/>
  <c r="G131" i="55" s="1"/>
  <c r="G132" i="55" s="1"/>
  <c r="G133" i="55" s="1"/>
  <c r="G134" i="55" s="1"/>
  <c r="G135" i="55" s="1"/>
  <c r="G136" i="55" s="1"/>
  <c r="G137" i="55" s="1"/>
  <c r="G138" i="55" s="1"/>
  <c r="G139" i="55" s="1"/>
  <c r="G140" i="55" s="1"/>
  <c r="G141" i="55" s="1"/>
  <c r="G142" i="55" s="1"/>
  <c r="G143" i="55" s="1"/>
  <c r="G144" i="55" s="1"/>
  <c r="G145" i="55" s="1"/>
  <c r="G146" i="55" s="1"/>
  <c r="G147" i="55" s="1"/>
  <c r="G148" i="55" s="1"/>
  <c r="G149" i="55" s="1"/>
  <c r="G150" i="55" s="1"/>
  <c r="G151" i="55" s="1"/>
  <c r="G152" i="55" s="1"/>
  <c r="M34" i="46"/>
  <c r="O30" i="133"/>
  <c r="M16" i="134"/>
  <c r="J13" i="134"/>
  <c r="Q25" i="134"/>
  <c r="F40" i="59"/>
  <c r="A22" i="124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A38" i="124" s="1"/>
  <c r="A39" i="124" s="1"/>
  <c r="A40" i="124" s="1"/>
  <c r="A41" i="124" s="1"/>
  <c r="A42" i="124" s="1"/>
  <c r="A43" i="124" s="1"/>
  <c r="A44" i="124" s="1"/>
  <c r="A45" i="124" s="1"/>
  <c r="A46" i="124" s="1"/>
  <c r="A47" i="124" s="1"/>
  <c r="A48" i="124" s="1"/>
  <c r="A49" i="124" s="1"/>
  <c r="A50" i="124" s="1"/>
  <c r="A51" i="124" s="1"/>
  <c r="A52" i="124" s="1"/>
  <c r="A53" i="124" s="1"/>
  <c r="A54" i="124" s="1"/>
  <c r="A55" i="124" s="1"/>
  <c r="A56" i="124" s="1"/>
  <c r="A57" i="124" s="1"/>
  <c r="A58" i="124" s="1"/>
  <c r="A59" i="124" s="1"/>
  <c r="A60" i="124" s="1"/>
  <c r="A61" i="124" s="1"/>
  <c r="A62" i="124" s="1"/>
  <c r="A63" i="124" s="1"/>
  <c r="A64" i="124" s="1"/>
  <c r="A65" i="124" s="1"/>
  <c r="A66" i="124" s="1"/>
  <c r="A67" i="124" s="1"/>
  <c r="A68" i="124" s="1"/>
  <c r="A69" i="124" s="1"/>
  <c r="A70" i="124" s="1"/>
  <c r="A71" i="124" s="1"/>
  <c r="A72" i="124" s="1"/>
  <c r="A73" i="124" s="1"/>
  <c r="A74" i="124" s="1"/>
  <c r="A75" i="124" s="1"/>
  <c r="A76" i="124" s="1"/>
  <c r="A77" i="124" s="1"/>
  <c r="A78" i="124" s="1"/>
  <c r="A79" i="124" s="1"/>
  <c r="A80" i="124" s="1"/>
  <c r="A81" i="124" s="1"/>
  <c r="A82" i="124" s="1"/>
  <c r="A83" i="124" s="1"/>
  <c r="A84" i="124" s="1"/>
  <c r="A85" i="124" s="1"/>
  <c r="A86" i="124" s="1"/>
  <c r="A87" i="124" s="1"/>
  <c r="A88" i="124" s="1"/>
  <c r="A89" i="124" s="1"/>
  <c r="A90" i="124" s="1"/>
  <c r="A91" i="124" s="1"/>
  <c r="A92" i="124" s="1"/>
  <c r="A93" i="124" s="1"/>
  <c r="A94" i="124" s="1"/>
  <c r="A95" i="124" s="1"/>
  <c r="A96" i="124" s="1"/>
  <c r="A97" i="124" s="1"/>
  <c r="A98" i="124" s="1"/>
  <c r="A99" i="124" s="1"/>
  <c r="A100" i="124" s="1"/>
  <c r="A101" i="124" s="1"/>
  <c r="A102" i="124" s="1"/>
  <c r="A103" i="124" s="1"/>
  <c r="A104" i="124" s="1"/>
  <c r="A105" i="124" s="1"/>
  <c r="A106" i="124" s="1"/>
  <c r="A107" i="124" s="1"/>
  <c r="A108" i="124" s="1"/>
  <c r="A109" i="124" s="1"/>
  <c r="A110" i="124" s="1"/>
  <c r="A111" i="124" s="1"/>
  <c r="A112" i="124" s="1"/>
  <c r="A113" i="124" s="1"/>
  <c r="A114" i="124" s="1"/>
  <c r="A115" i="124" s="1"/>
  <c r="A116" i="124" s="1"/>
  <c r="A117" i="124" s="1"/>
  <c r="A118" i="124" s="1"/>
  <c r="A119" i="124" s="1"/>
  <c r="A120" i="124" s="1"/>
  <c r="A121" i="124" s="1"/>
  <c r="A122" i="124" s="1"/>
  <c r="A123" i="124" s="1"/>
  <c r="A124" i="124" s="1"/>
  <c r="A125" i="124" s="1"/>
  <c r="A126" i="124" s="1"/>
  <c r="A127" i="124" s="1"/>
  <c r="A128" i="124" s="1"/>
  <c r="A129" i="124" s="1"/>
  <c r="A130" i="124" s="1"/>
  <c r="A131" i="124" s="1"/>
  <c r="A132" i="124" s="1"/>
  <c r="A133" i="124" s="1"/>
  <c r="A134" i="124" s="1"/>
  <c r="A135" i="124" s="1"/>
  <c r="A136" i="124" s="1"/>
  <c r="A137" i="124" s="1"/>
  <c r="A138" i="124" s="1"/>
  <c r="A139" i="124" s="1"/>
  <c r="G22" i="124"/>
  <c r="G23" i="124" s="1"/>
  <c r="G24" i="124" s="1"/>
  <c r="G25" i="124" s="1"/>
  <c r="G26" i="124" s="1"/>
  <c r="G27" i="124" s="1"/>
  <c r="G28" i="124" s="1"/>
  <c r="G29" i="124" s="1"/>
  <c r="G30" i="124" s="1"/>
  <c r="G31" i="124" s="1"/>
  <c r="G32" i="124" s="1"/>
  <c r="G33" i="124" s="1"/>
  <c r="G34" i="124" s="1"/>
  <c r="G35" i="124" s="1"/>
  <c r="G36" i="124" s="1"/>
  <c r="G37" i="124" s="1"/>
  <c r="G38" i="124" s="1"/>
  <c r="G39" i="124" s="1"/>
  <c r="G40" i="124" s="1"/>
  <c r="G41" i="124" s="1"/>
  <c r="G42" i="124" s="1"/>
  <c r="G43" i="124" s="1"/>
  <c r="G44" i="124" s="1"/>
  <c r="G45" i="124" s="1"/>
  <c r="G46" i="124" s="1"/>
  <c r="G47" i="124" s="1"/>
  <c r="G48" i="124" s="1"/>
  <c r="G49" i="124" s="1"/>
  <c r="G50" i="124" s="1"/>
  <c r="G51" i="124" s="1"/>
  <c r="G52" i="124" s="1"/>
  <c r="G53" i="124" s="1"/>
  <c r="G54" i="124" s="1"/>
  <c r="G55" i="124" s="1"/>
  <c r="G56" i="124" s="1"/>
  <c r="G57" i="124" s="1"/>
  <c r="G58" i="124" s="1"/>
  <c r="G59" i="124" s="1"/>
  <c r="G60" i="124" s="1"/>
  <c r="G61" i="124" s="1"/>
  <c r="G62" i="124" s="1"/>
  <c r="G63" i="124" s="1"/>
  <c r="G64" i="124" s="1"/>
  <c r="G65" i="124" s="1"/>
  <c r="G66" i="124" s="1"/>
  <c r="G67" i="124" s="1"/>
  <c r="G68" i="124" s="1"/>
  <c r="G69" i="124" s="1"/>
  <c r="G70" i="124" s="1"/>
  <c r="G71" i="124" s="1"/>
  <c r="G72" i="124" s="1"/>
  <c r="G73" i="124" s="1"/>
  <c r="G74" i="124" s="1"/>
  <c r="G75" i="124" s="1"/>
  <c r="G76" i="124" s="1"/>
  <c r="G77" i="124" s="1"/>
  <c r="G78" i="124" s="1"/>
  <c r="G79" i="124" s="1"/>
  <c r="G80" i="124" s="1"/>
  <c r="G81" i="124" s="1"/>
  <c r="G82" i="124" s="1"/>
  <c r="G83" i="124" s="1"/>
  <c r="G84" i="124" s="1"/>
  <c r="G85" i="124" s="1"/>
  <c r="G86" i="124" s="1"/>
  <c r="G87" i="124" s="1"/>
  <c r="G88" i="124" s="1"/>
  <c r="G89" i="124" s="1"/>
  <c r="G90" i="124" s="1"/>
  <c r="G91" i="124" s="1"/>
  <c r="G92" i="124" s="1"/>
  <c r="G93" i="124" s="1"/>
  <c r="G94" i="124" s="1"/>
  <c r="G95" i="124" s="1"/>
  <c r="G96" i="124" s="1"/>
  <c r="G97" i="124" s="1"/>
  <c r="G98" i="124" s="1"/>
  <c r="G99" i="124" s="1"/>
  <c r="G100" i="124" s="1"/>
  <c r="G101" i="124" s="1"/>
  <c r="G102" i="124" s="1"/>
  <c r="G103" i="124" s="1"/>
  <c r="G104" i="124" s="1"/>
  <c r="G105" i="124" s="1"/>
  <c r="G106" i="124" s="1"/>
  <c r="G107" i="124" s="1"/>
  <c r="G108" i="124" s="1"/>
  <c r="G109" i="124" s="1"/>
  <c r="G110" i="124" s="1"/>
  <c r="G111" i="124" s="1"/>
  <c r="G112" i="124" s="1"/>
  <c r="G113" i="124" s="1"/>
  <c r="G114" i="124" s="1"/>
  <c r="G115" i="124" s="1"/>
  <c r="G116" i="124" s="1"/>
  <c r="G117" i="124" s="1"/>
  <c r="G118" i="124" s="1"/>
  <c r="G119" i="124" s="1"/>
  <c r="G120" i="124" s="1"/>
  <c r="G121" i="124" s="1"/>
  <c r="G122" i="124" s="1"/>
  <c r="G123" i="124" s="1"/>
  <c r="G124" i="124" s="1"/>
  <c r="G125" i="124" s="1"/>
  <c r="G126" i="124" s="1"/>
  <c r="G127" i="124" s="1"/>
  <c r="G128" i="124" s="1"/>
  <c r="G129" i="124" s="1"/>
  <c r="G130" i="124" s="1"/>
  <c r="G131" i="124" s="1"/>
  <c r="G132" i="124" s="1"/>
  <c r="G133" i="124" s="1"/>
  <c r="G134" i="124" s="1"/>
  <c r="G135" i="124" s="1"/>
  <c r="G136" i="124" s="1"/>
  <c r="G137" i="124" s="1"/>
  <c r="G138" i="124" s="1"/>
  <c r="G139" i="124" s="1"/>
  <c r="F114" i="52"/>
  <c r="I15" i="137"/>
  <c r="L14" i="137"/>
  <c r="F154" i="146"/>
  <c r="E154" i="146"/>
  <c r="N22" i="146"/>
  <c r="N23" i="146" s="1"/>
  <c r="N24" i="146" s="1"/>
  <c r="N25" i="146" s="1"/>
  <c r="N26" i="146" s="1"/>
  <c r="G10" i="146"/>
  <c r="G11" i="146" s="1"/>
  <c r="G12" i="146" s="1"/>
  <c r="G13" i="146" s="1"/>
  <c r="G14" i="146" s="1"/>
  <c r="G15" i="146" s="1"/>
  <c r="G16" i="146" s="1"/>
  <c r="G17" i="146" s="1"/>
  <c r="G18" i="146" s="1"/>
  <c r="G19" i="146" s="1"/>
  <c r="G20" i="146" s="1"/>
  <c r="G21" i="146" s="1"/>
  <c r="G22" i="146" s="1"/>
  <c r="G23" i="146" s="1"/>
  <c r="G24" i="146" s="1"/>
  <c r="G25" i="146" s="1"/>
  <c r="G26" i="146" s="1"/>
  <c r="G27" i="146" s="1"/>
  <c r="G28" i="146" s="1"/>
  <c r="G29" i="146" s="1"/>
  <c r="G30" i="146" s="1"/>
  <c r="G31" i="146" s="1"/>
  <c r="G32" i="146" s="1"/>
  <c r="G33" i="146" s="1"/>
  <c r="G34" i="146" s="1"/>
  <c r="G35" i="146" s="1"/>
  <c r="G36" i="146" s="1"/>
  <c r="G37" i="146" s="1"/>
  <c r="G38" i="146" s="1"/>
  <c r="G39" i="146" s="1"/>
  <c r="G40" i="146" s="1"/>
  <c r="G41" i="146" s="1"/>
  <c r="G42" i="146" s="1"/>
  <c r="G43" i="146" s="1"/>
  <c r="G44" i="146" s="1"/>
  <c r="G45" i="146" s="1"/>
  <c r="G46" i="146" s="1"/>
  <c r="G47" i="146" s="1"/>
  <c r="G48" i="146" s="1"/>
  <c r="G49" i="146" s="1"/>
  <c r="G50" i="146" s="1"/>
  <c r="G51" i="146" s="1"/>
  <c r="G52" i="146" s="1"/>
  <c r="G53" i="146" s="1"/>
  <c r="G54" i="146" s="1"/>
  <c r="G55" i="146" s="1"/>
  <c r="G56" i="146" s="1"/>
  <c r="G57" i="146" s="1"/>
  <c r="G58" i="146" s="1"/>
  <c r="G59" i="146" s="1"/>
  <c r="G60" i="146" s="1"/>
  <c r="G61" i="146" s="1"/>
  <c r="G62" i="146" s="1"/>
  <c r="G63" i="146" s="1"/>
  <c r="G64" i="146" s="1"/>
  <c r="G65" i="146" s="1"/>
  <c r="G66" i="146" s="1"/>
  <c r="G67" i="146" s="1"/>
  <c r="G68" i="146" s="1"/>
  <c r="G69" i="146" s="1"/>
  <c r="G70" i="146" s="1"/>
  <c r="G71" i="146" s="1"/>
  <c r="G72" i="146" s="1"/>
  <c r="G73" i="146" s="1"/>
  <c r="G74" i="146" s="1"/>
  <c r="G75" i="146" s="1"/>
  <c r="G76" i="146" s="1"/>
  <c r="G77" i="146" s="1"/>
  <c r="G78" i="146" s="1"/>
  <c r="G79" i="146" s="1"/>
  <c r="G80" i="146" s="1"/>
  <c r="G81" i="146" s="1"/>
  <c r="G82" i="146" s="1"/>
  <c r="G83" i="146" s="1"/>
  <c r="G84" i="146" s="1"/>
  <c r="G85" i="146" s="1"/>
  <c r="G86" i="146" s="1"/>
  <c r="G87" i="146" s="1"/>
  <c r="G88" i="146" s="1"/>
  <c r="G89" i="146" s="1"/>
  <c r="G90" i="146" s="1"/>
  <c r="G91" i="146" s="1"/>
  <c r="G92" i="146" s="1"/>
  <c r="G93" i="146" s="1"/>
  <c r="G94" i="146" s="1"/>
  <c r="G95" i="146" s="1"/>
  <c r="G96" i="146" s="1"/>
  <c r="G97" i="146" s="1"/>
  <c r="G98" i="146" s="1"/>
  <c r="G99" i="146" s="1"/>
  <c r="G100" i="146" s="1"/>
  <c r="G101" i="146" s="1"/>
  <c r="G102" i="146" s="1"/>
  <c r="G103" i="146" s="1"/>
  <c r="G104" i="146" s="1"/>
  <c r="G105" i="146" s="1"/>
  <c r="G106" i="146" s="1"/>
  <c r="G107" i="146" s="1"/>
  <c r="G108" i="146" s="1"/>
  <c r="G109" i="146" s="1"/>
  <c r="G110" i="146" s="1"/>
  <c r="G111" i="146" s="1"/>
  <c r="G112" i="146" s="1"/>
  <c r="G113" i="146" s="1"/>
  <c r="G114" i="146" s="1"/>
  <c r="G115" i="146" s="1"/>
  <c r="G116" i="146" s="1"/>
  <c r="G117" i="146" s="1"/>
  <c r="G118" i="146" s="1"/>
  <c r="G119" i="146" s="1"/>
  <c r="G120" i="146" s="1"/>
  <c r="G121" i="146" s="1"/>
  <c r="G122" i="146" s="1"/>
  <c r="G123" i="146" s="1"/>
  <c r="G124" i="146" s="1"/>
  <c r="G125" i="146" s="1"/>
  <c r="G126" i="146" s="1"/>
  <c r="G127" i="146" s="1"/>
  <c r="G128" i="146" s="1"/>
  <c r="G129" i="146" s="1"/>
  <c r="G130" i="146" s="1"/>
  <c r="G131" i="146" s="1"/>
  <c r="G132" i="146" s="1"/>
  <c r="G133" i="146" s="1"/>
  <c r="G134" i="146" s="1"/>
  <c r="G135" i="146" s="1"/>
  <c r="G136" i="146" s="1"/>
  <c r="G137" i="146" s="1"/>
  <c r="G138" i="146" s="1"/>
  <c r="G139" i="146" s="1"/>
  <c r="G140" i="146" s="1"/>
  <c r="G141" i="146" s="1"/>
  <c r="G142" i="146" s="1"/>
  <c r="G143" i="146" s="1"/>
  <c r="G144" i="146" s="1"/>
  <c r="G145" i="146" s="1"/>
  <c r="G146" i="146" s="1"/>
  <c r="G147" i="146" s="1"/>
  <c r="G148" i="146" s="1"/>
  <c r="G149" i="146" s="1"/>
  <c r="G150" i="146" s="1"/>
  <c r="G151" i="146" s="1"/>
  <c r="G152" i="146" s="1"/>
  <c r="G153" i="146" s="1"/>
  <c r="G9" i="146"/>
  <c r="A4" i="146"/>
  <c r="F97" i="145"/>
  <c r="E97" i="145"/>
  <c r="A11" i="145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A60" i="145" s="1"/>
  <c r="A61" i="145" s="1"/>
  <c r="A62" i="145" s="1"/>
  <c r="A63" i="145" s="1"/>
  <c r="A64" i="145" s="1"/>
  <c r="A65" i="145" s="1"/>
  <c r="A66" i="145" s="1"/>
  <c r="A67" i="145" s="1"/>
  <c r="A68" i="145" s="1"/>
  <c r="A69" i="145" s="1"/>
  <c r="A70" i="145" s="1"/>
  <c r="A71" i="145" s="1"/>
  <c r="A72" i="145" s="1"/>
  <c r="A73" i="145" s="1"/>
  <c r="A74" i="145" s="1"/>
  <c r="A75" i="145" s="1"/>
  <c r="A76" i="145" s="1"/>
  <c r="A77" i="145" s="1"/>
  <c r="A78" i="145" s="1"/>
  <c r="A79" i="145" s="1"/>
  <c r="A80" i="145" s="1"/>
  <c r="A81" i="145" s="1"/>
  <c r="A82" i="145" s="1"/>
  <c r="A83" i="145" s="1"/>
  <c r="A84" i="145" s="1"/>
  <c r="A85" i="145" s="1"/>
  <c r="A86" i="145" s="1"/>
  <c r="A87" i="145" s="1"/>
  <c r="A88" i="145" s="1"/>
  <c r="A89" i="145" s="1"/>
  <c r="A90" i="145" s="1"/>
  <c r="A91" i="145" s="1"/>
  <c r="A92" i="145" s="1"/>
  <c r="A93" i="145" s="1"/>
  <c r="A94" i="145" s="1"/>
  <c r="A95" i="145" s="1"/>
  <c r="A96" i="145" s="1"/>
  <c r="A97" i="145" s="1"/>
  <c r="A10" i="145"/>
  <c r="G9" i="145"/>
  <c r="G10" i="145" s="1"/>
  <c r="G11" i="145" s="1"/>
  <c r="G12" i="145" s="1"/>
  <c r="G13" i="145" s="1"/>
  <c r="G14" i="145" s="1"/>
  <c r="G15" i="145" s="1"/>
  <c r="G16" i="145" s="1"/>
  <c r="G17" i="145" s="1"/>
  <c r="G18" i="145" s="1"/>
  <c r="G19" i="145" s="1"/>
  <c r="G20" i="145" s="1"/>
  <c r="G21" i="145" s="1"/>
  <c r="G22" i="145" s="1"/>
  <c r="G23" i="145" s="1"/>
  <c r="G24" i="145" s="1"/>
  <c r="G25" i="145" s="1"/>
  <c r="G26" i="145" s="1"/>
  <c r="G27" i="145" s="1"/>
  <c r="G28" i="145" s="1"/>
  <c r="G29" i="145" s="1"/>
  <c r="G30" i="145" s="1"/>
  <c r="G31" i="145" s="1"/>
  <c r="G32" i="145" s="1"/>
  <c r="G33" i="145" s="1"/>
  <c r="G34" i="145" s="1"/>
  <c r="G35" i="145" s="1"/>
  <c r="G36" i="145" s="1"/>
  <c r="G37" i="145" s="1"/>
  <c r="G38" i="145" s="1"/>
  <c r="G39" i="145" s="1"/>
  <c r="G40" i="145" s="1"/>
  <c r="G41" i="145" s="1"/>
  <c r="G42" i="145" s="1"/>
  <c r="G43" i="145" s="1"/>
  <c r="G44" i="145" s="1"/>
  <c r="G45" i="145" s="1"/>
  <c r="G46" i="145" s="1"/>
  <c r="G47" i="145" s="1"/>
  <c r="G48" i="145" s="1"/>
  <c r="G49" i="145" s="1"/>
  <c r="G50" i="145" s="1"/>
  <c r="G51" i="145" s="1"/>
  <c r="G52" i="145" s="1"/>
  <c r="G53" i="145" s="1"/>
  <c r="G54" i="145" s="1"/>
  <c r="G55" i="145" s="1"/>
  <c r="G56" i="145" s="1"/>
  <c r="G57" i="145" s="1"/>
  <c r="G58" i="145" s="1"/>
  <c r="G59" i="145" s="1"/>
  <c r="G60" i="145" s="1"/>
  <c r="G61" i="145" s="1"/>
  <c r="G62" i="145" s="1"/>
  <c r="G63" i="145" s="1"/>
  <c r="G64" i="145" s="1"/>
  <c r="G65" i="145" s="1"/>
  <c r="G66" i="145" s="1"/>
  <c r="G67" i="145" s="1"/>
  <c r="G68" i="145" s="1"/>
  <c r="G69" i="145" s="1"/>
  <c r="G70" i="145" s="1"/>
  <c r="G71" i="145" s="1"/>
  <c r="G72" i="145" s="1"/>
  <c r="G73" i="145" s="1"/>
  <c r="G74" i="145" s="1"/>
  <c r="G75" i="145" s="1"/>
  <c r="G76" i="145" s="1"/>
  <c r="G77" i="145" s="1"/>
  <c r="G78" i="145" s="1"/>
  <c r="G79" i="145" s="1"/>
  <c r="G80" i="145" s="1"/>
  <c r="G81" i="145" s="1"/>
  <c r="G82" i="145" s="1"/>
  <c r="G83" i="145" s="1"/>
  <c r="G84" i="145" s="1"/>
  <c r="G85" i="145" s="1"/>
  <c r="G86" i="145" s="1"/>
  <c r="G87" i="145" s="1"/>
  <c r="G88" i="145" s="1"/>
  <c r="G89" i="145" s="1"/>
  <c r="G90" i="145" s="1"/>
  <c r="G91" i="145" s="1"/>
  <c r="G92" i="145" s="1"/>
  <c r="G93" i="145" s="1"/>
  <c r="G94" i="145" s="1"/>
  <c r="G95" i="145" s="1"/>
  <c r="G96" i="145" s="1"/>
  <c r="A4" i="145"/>
  <c r="F97" i="144"/>
  <c r="E97" i="144"/>
  <c r="A13" i="144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11" i="144"/>
  <c r="A12" i="144" s="1"/>
  <c r="A10" i="144"/>
  <c r="G9" i="144"/>
  <c r="G10" i="144" s="1"/>
  <c r="G11" i="144" s="1"/>
  <c r="G12" i="144" s="1"/>
  <c r="G13" i="144" s="1"/>
  <c r="G14" i="144" s="1"/>
  <c r="G15" i="144" s="1"/>
  <c r="G16" i="144" s="1"/>
  <c r="G17" i="144" s="1"/>
  <c r="G18" i="144" s="1"/>
  <c r="G19" i="144" s="1"/>
  <c r="G20" i="144" s="1"/>
  <c r="G21" i="144" s="1"/>
  <c r="G22" i="144" s="1"/>
  <c r="G23" i="144" s="1"/>
  <c r="G24" i="144" s="1"/>
  <c r="G25" i="144" s="1"/>
  <c r="G26" i="144" s="1"/>
  <c r="G27" i="144" s="1"/>
  <c r="G28" i="144" s="1"/>
  <c r="G29" i="144" s="1"/>
  <c r="G30" i="144" s="1"/>
  <c r="G31" i="144" s="1"/>
  <c r="G32" i="144" s="1"/>
  <c r="G33" i="144" s="1"/>
  <c r="G34" i="144" s="1"/>
  <c r="G35" i="144" s="1"/>
  <c r="G36" i="144" s="1"/>
  <c r="G37" i="144" s="1"/>
  <c r="G38" i="144" s="1"/>
  <c r="G39" i="144" s="1"/>
  <c r="G40" i="144" s="1"/>
  <c r="G41" i="144" s="1"/>
  <c r="G42" i="144" s="1"/>
  <c r="G43" i="144" s="1"/>
  <c r="G44" i="144" s="1"/>
  <c r="G45" i="144" s="1"/>
  <c r="G46" i="144" s="1"/>
  <c r="G47" i="144" s="1"/>
  <c r="G48" i="144" s="1"/>
  <c r="G49" i="144" s="1"/>
  <c r="G50" i="144" s="1"/>
  <c r="G51" i="144" s="1"/>
  <c r="G52" i="144" s="1"/>
  <c r="G53" i="144" s="1"/>
  <c r="G54" i="144" s="1"/>
  <c r="G55" i="144" s="1"/>
  <c r="G56" i="144" s="1"/>
  <c r="G57" i="144" s="1"/>
  <c r="G58" i="144" s="1"/>
  <c r="G59" i="144" s="1"/>
  <c r="G60" i="144" s="1"/>
  <c r="G61" i="144" s="1"/>
  <c r="G62" i="144" s="1"/>
  <c r="G63" i="144" s="1"/>
  <c r="G64" i="144" s="1"/>
  <c r="G65" i="144" s="1"/>
  <c r="G66" i="144" s="1"/>
  <c r="G67" i="144" s="1"/>
  <c r="G68" i="144" s="1"/>
  <c r="G69" i="144" s="1"/>
  <c r="G70" i="144" s="1"/>
  <c r="G71" i="144" s="1"/>
  <c r="G72" i="144" s="1"/>
  <c r="G73" i="144" s="1"/>
  <c r="G74" i="144" s="1"/>
  <c r="G75" i="144" s="1"/>
  <c r="G76" i="144" s="1"/>
  <c r="G77" i="144" s="1"/>
  <c r="G78" i="144" s="1"/>
  <c r="G79" i="144" s="1"/>
  <c r="G80" i="144" s="1"/>
  <c r="G81" i="144" s="1"/>
  <c r="G82" i="144" s="1"/>
  <c r="G83" i="144" s="1"/>
  <c r="G84" i="144" s="1"/>
  <c r="G85" i="144" s="1"/>
  <c r="G86" i="144" s="1"/>
  <c r="G87" i="144" s="1"/>
  <c r="G88" i="144" s="1"/>
  <c r="G89" i="144" s="1"/>
  <c r="G90" i="144" s="1"/>
  <c r="G91" i="144" s="1"/>
  <c r="G92" i="144" s="1"/>
  <c r="G93" i="144" s="1"/>
  <c r="G94" i="144" s="1"/>
  <c r="G95" i="144" s="1"/>
  <c r="G96" i="144" s="1"/>
  <c r="A4" i="144"/>
  <c r="I19" i="132"/>
  <c r="I46" i="81"/>
  <c r="P30" i="46"/>
  <c r="K38" i="17"/>
  <c r="G154" i="146" l="1"/>
  <c r="G97" i="145"/>
  <c r="G97" i="144"/>
  <c r="A58" i="39"/>
  <c r="A59" i="39"/>
  <c r="A60" i="39"/>
  <c r="A61" i="39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G58" i="39"/>
  <c r="G59" i="39" s="1"/>
  <c r="G60" i="39" s="1"/>
  <c r="G61" i="39" s="1"/>
  <c r="G62" i="39" s="1"/>
  <c r="G63" i="39" s="1"/>
  <c r="G64" i="39" s="1"/>
  <c r="G65" i="39" s="1"/>
  <c r="G66" i="39" s="1"/>
  <c r="G67" i="39" s="1"/>
  <c r="G68" i="39" s="1"/>
  <c r="G69" i="39" s="1"/>
  <c r="G70" i="39" s="1"/>
  <c r="G71" i="39" s="1"/>
  <c r="G72" i="39" s="1"/>
  <c r="G73" i="39" s="1"/>
  <c r="G74" i="39" s="1"/>
  <c r="G75" i="39" s="1"/>
  <c r="G76" i="39" s="1"/>
  <c r="G77" i="39" s="1"/>
  <c r="G78" i="39" s="1"/>
  <c r="G79" i="39" s="1"/>
  <c r="G80" i="39" s="1"/>
  <c r="G81" i="39" s="1"/>
  <c r="G82" i="39" s="1"/>
  <c r="G83" i="39" s="1"/>
  <c r="G84" i="39" s="1"/>
  <c r="G85" i="39" s="1"/>
  <c r="G86" i="39" s="1"/>
  <c r="G87" i="39" s="1"/>
  <c r="G88" i="39" s="1"/>
  <c r="G89" i="39" s="1"/>
  <c r="G90" i="39" s="1"/>
  <c r="G91" i="39" s="1"/>
  <c r="G92" i="39" s="1"/>
  <c r="G93" i="39" s="1"/>
  <c r="G94" i="39" s="1"/>
  <c r="G95" i="39" s="1"/>
  <c r="G96" i="39" s="1"/>
  <c r="G97" i="39" s="1"/>
  <c r="G98" i="39" s="1"/>
  <c r="G99" i="39" s="1"/>
  <c r="G100" i="39" s="1"/>
  <c r="G101" i="39" s="1"/>
  <c r="G102" i="39" s="1"/>
  <c r="G103" i="39" s="1"/>
  <c r="G104" i="39" s="1"/>
  <c r="G105" i="39" s="1"/>
  <c r="G106" i="39" s="1"/>
  <c r="G107" i="39" s="1"/>
  <c r="G108" i="39" s="1"/>
  <c r="G109" i="39" s="1"/>
  <c r="G110" i="39" s="1"/>
  <c r="G111" i="39" s="1"/>
  <c r="G112" i="39" s="1"/>
  <c r="G113" i="39" s="1"/>
  <c r="G114" i="39" s="1"/>
  <c r="G115" i="39" s="1"/>
  <c r="G116" i="39" s="1"/>
  <c r="G117" i="39" s="1"/>
  <c r="G118" i="39" s="1"/>
  <c r="G119" i="39" s="1"/>
  <c r="G120" i="39" s="1"/>
  <c r="G121" i="39" s="1"/>
  <c r="G122" i="39" s="1"/>
  <c r="G123" i="39" s="1"/>
  <c r="G124" i="39" s="1"/>
  <c r="G125" i="39" s="1"/>
  <c r="G126" i="39" s="1"/>
  <c r="G127" i="39" s="1"/>
  <c r="G128" i="39" s="1"/>
  <c r="G129" i="39" s="1"/>
  <c r="G130" i="39" s="1"/>
  <c r="G131" i="39" s="1"/>
  <c r="G132" i="39" s="1"/>
  <c r="G133" i="39" s="1"/>
  <c r="G134" i="39" s="1"/>
  <c r="G135" i="39" s="1"/>
  <c r="G136" i="39" s="1"/>
  <c r="G137" i="39" s="1"/>
  <c r="G138" i="39" s="1"/>
  <c r="G139" i="39" s="1"/>
  <c r="P44" i="55"/>
  <c r="G38" i="52"/>
  <c r="G39" i="52" s="1"/>
  <c r="G40" i="52" s="1"/>
  <c r="G41" i="52" s="1"/>
  <c r="G42" i="52" s="1"/>
  <c r="G43" i="52" s="1"/>
  <c r="G44" i="52" s="1"/>
  <c r="G45" i="52" s="1"/>
  <c r="G46" i="52" s="1"/>
  <c r="G47" i="52" s="1"/>
  <c r="G48" i="52" s="1"/>
  <c r="G49" i="52" s="1"/>
  <c r="G50" i="52" s="1"/>
  <c r="G51" i="52" s="1"/>
  <c r="G52" i="52" s="1"/>
  <c r="G53" i="52" s="1"/>
  <c r="G54" i="52" s="1"/>
  <c r="G55" i="52" s="1"/>
  <c r="G56" i="52" s="1"/>
  <c r="G57" i="52" s="1"/>
  <c r="G58" i="52" s="1"/>
  <c r="G59" i="52" s="1"/>
  <c r="G60" i="52" s="1"/>
  <c r="G61" i="52" s="1"/>
  <c r="G62" i="52" s="1"/>
  <c r="G63" i="52" s="1"/>
  <c r="G64" i="52" s="1"/>
  <c r="G65" i="52" s="1"/>
  <c r="G66" i="52" s="1"/>
  <c r="G67" i="52" s="1"/>
  <c r="G68" i="52" s="1"/>
  <c r="G69" i="52" s="1"/>
  <c r="G70" i="52" s="1"/>
  <c r="G71" i="52" s="1"/>
  <c r="G72" i="52" s="1"/>
  <c r="G73" i="52" s="1"/>
  <c r="G74" i="52" s="1"/>
  <c r="G75" i="52" s="1"/>
  <c r="G76" i="52" s="1"/>
  <c r="G77" i="52" s="1"/>
  <c r="G78" i="52" s="1"/>
  <c r="G79" i="52" s="1"/>
  <c r="G80" i="52" s="1"/>
  <c r="G81" i="52" s="1"/>
  <c r="G82" i="52" s="1"/>
  <c r="G83" i="52" s="1"/>
  <c r="G84" i="52" s="1"/>
  <c r="G85" i="52" s="1"/>
  <c r="G86" i="52" s="1"/>
  <c r="G87" i="52" s="1"/>
  <c r="G88" i="52" s="1"/>
  <c r="G89" i="52" s="1"/>
  <c r="G90" i="52" s="1"/>
  <c r="G91" i="52" s="1"/>
  <c r="G92" i="52" s="1"/>
  <c r="G93" i="52" s="1"/>
  <c r="G94" i="52" s="1"/>
  <c r="G95" i="52" s="1"/>
  <c r="G96" i="52" s="1"/>
  <c r="G97" i="52" s="1"/>
  <c r="G98" i="52" s="1"/>
  <c r="G99" i="52" s="1"/>
  <c r="G100" i="52" s="1"/>
  <c r="G101" i="52" s="1"/>
  <c r="G102" i="52" s="1"/>
  <c r="G103" i="52" s="1"/>
  <c r="G104" i="52" s="1"/>
  <c r="G105" i="52" s="1"/>
  <c r="G106" i="52" s="1"/>
  <c r="G107" i="52" s="1"/>
  <c r="G108" i="52" s="1"/>
  <c r="G109" i="52" s="1"/>
  <c r="G110" i="52" s="1"/>
  <c r="G111" i="52" s="1"/>
  <c r="G112" i="52" s="1"/>
  <c r="K26" i="89"/>
  <c r="G20" i="10"/>
  <c r="G21" i="10"/>
  <c r="G22" i="10"/>
  <c r="G23" i="10"/>
  <c r="G24" i="10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K26" i="76"/>
  <c r="K25" i="76"/>
  <c r="F109" i="143"/>
  <c r="E109" i="143"/>
  <c r="G109" i="143" s="1"/>
  <c r="K39" i="143"/>
  <c r="K38" i="143"/>
  <c r="J13" i="143"/>
  <c r="A12" i="143"/>
  <c r="A13" i="143" s="1"/>
  <c r="A14" i="143" s="1"/>
  <c r="A15" i="143" s="1"/>
  <c r="A16" i="143" s="1"/>
  <c r="A17" i="143" s="1"/>
  <c r="A18" i="143" s="1"/>
  <c r="A19" i="143" s="1"/>
  <c r="A20" i="143" s="1"/>
  <c r="A21" i="143" s="1"/>
  <c r="A22" i="143" s="1"/>
  <c r="A23" i="143" s="1"/>
  <c r="A24" i="143" s="1"/>
  <c r="A25" i="143" s="1"/>
  <c r="A26" i="143" s="1"/>
  <c r="A27" i="143" s="1"/>
  <c r="A28" i="143" s="1"/>
  <c r="A29" i="143" s="1"/>
  <c r="A30" i="143" s="1"/>
  <c r="A31" i="143" s="1"/>
  <c r="A32" i="143" s="1"/>
  <c r="A33" i="143" s="1"/>
  <c r="A34" i="143" s="1"/>
  <c r="A35" i="143" s="1"/>
  <c r="A36" i="143" s="1"/>
  <c r="A37" i="143" s="1"/>
  <c r="A38" i="143" s="1"/>
  <c r="A39" i="143" s="1"/>
  <c r="A40" i="143" s="1"/>
  <c r="A41" i="143" s="1"/>
  <c r="A42" i="143" s="1"/>
  <c r="A43" i="143" s="1"/>
  <c r="A44" i="143" s="1"/>
  <c r="A45" i="143" s="1"/>
  <c r="A46" i="143" s="1"/>
  <c r="A47" i="143" s="1"/>
  <c r="A48" i="143" s="1"/>
  <c r="A49" i="143" s="1"/>
  <c r="A50" i="143" s="1"/>
  <c r="A51" i="143" s="1"/>
  <c r="A52" i="143" s="1"/>
  <c r="A53" i="143" s="1"/>
  <c r="A54" i="143" s="1"/>
  <c r="A55" i="143" s="1"/>
  <c r="A56" i="143" s="1"/>
  <c r="A57" i="143" s="1"/>
  <c r="A58" i="143" s="1"/>
  <c r="A59" i="143" s="1"/>
  <c r="A60" i="143" s="1"/>
  <c r="A61" i="143" s="1"/>
  <c r="A62" i="143" s="1"/>
  <c r="A63" i="143" s="1"/>
  <c r="A64" i="143" s="1"/>
  <c r="A65" i="143" s="1"/>
  <c r="A66" i="143" s="1"/>
  <c r="A67" i="143" s="1"/>
  <c r="A68" i="143" s="1"/>
  <c r="A69" i="143" s="1"/>
  <c r="A70" i="143" s="1"/>
  <c r="A71" i="143" s="1"/>
  <c r="A72" i="143" s="1"/>
  <c r="A73" i="143" s="1"/>
  <c r="A74" i="143" s="1"/>
  <c r="A75" i="143" s="1"/>
  <c r="A76" i="143" s="1"/>
  <c r="A77" i="143" s="1"/>
  <c r="A78" i="143" s="1"/>
  <c r="A79" i="143" s="1"/>
  <c r="A80" i="143" s="1"/>
  <c r="A81" i="143" s="1"/>
  <c r="A82" i="143" s="1"/>
  <c r="A83" i="143" s="1"/>
  <c r="A84" i="143" s="1"/>
  <c r="A85" i="143" s="1"/>
  <c r="A86" i="143" s="1"/>
  <c r="A87" i="143" s="1"/>
  <c r="A88" i="143" s="1"/>
  <c r="A89" i="143" s="1"/>
  <c r="A90" i="143" s="1"/>
  <c r="A91" i="143" s="1"/>
  <c r="A92" i="143" s="1"/>
  <c r="A93" i="143" s="1"/>
  <c r="A94" i="143" s="1"/>
  <c r="G10" i="143"/>
  <c r="G11" i="143" s="1"/>
  <c r="G12" i="143" s="1"/>
  <c r="G13" i="143" s="1"/>
  <c r="G14" i="143" s="1"/>
  <c r="G15" i="143" s="1"/>
  <c r="G16" i="143" s="1"/>
  <c r="G17" i="143" s="1"/>
  <c r="G18" i="143" s="1"/>
  <c r="G19" i="143" s="1"/>
  <c r="G20" i="143" s="1"/>
  <c r="G21" i="143" s="1"/>
  <c r="G22" i="143" s="1"/>
  <c r="G23" i="143" s="1"/>
  <c r="G24" i="143" s="1"/>
  <c r="G25" i="143" s="1"/>
  <c r="G26" i="143" s="1"/>
  <c r="G27" i="143" s="1"/>
  <c r="G28" i="143" s="1"/>
  <c r="G29" i="143" s="1"/>
  <c r="G30" i="143" s="1"/>
  <c r="G31" i="143" s="1"/>
  <c r="G32" i="143" s="1"/>
  <c r="G33" i="143" s="1"/>
  <c r="G34" i="143" s="1"/>
  <c r="G35" i="143" s="1"/>
  <c r="G36" i="143" s="1"/>
  <c r="G37" i="143" s="1"/>
  <c r="G38" i="143" s="1"/>
  <c r="G39" i="143" s="1"/>
  <c r="G40" i="143" s="1"/>
  <c r="G41" i="143" s="1"/>
  <c r="G42" i="143" s="1"/>
  <c r="G43" i="143" s="1"/>
  <c r="G44" i="143" s="1"/>
  <c r="G45" i="143" s="1"/>
  <c r="G46" i="143" s="1"/>
  <c r="G47" i="143" s="1"/>
  <c r="G48" i="143" s="1"/>
  <c r="G49" i="143" s="1"/>
  <c r="G50" i="143" s="1"/>
  <c r="G51" i="143" s="1"/>
  <c r="G52" i="143" s="1"/>
  <c r="G53" i="143" s="1"/>
  <c r="G54" i="143" s="1"/>
  <c r="G55" i="143" s="1"/>
  <c r="G56" i="143" s="1"/>
  <c r="G57" i="143" s="1"/>
  <c r="G58" i="143" s="1"/>
  <c r="G59" i="143" s="1"/>
  <c r="G60" i="143" s="1"/>
  <c r="G61" i="143" s="1"/>
  <c r="G62" i="143" s="1"/>
  <c r="G63" i="143" s="1"/>
  <c r="G64" i="143" s="1"/>
  <c r="G65" i="143" s="1"/>
  <c r="G66" i="143" s="1"/>
  <c r="G67" i="143" s="1"/>
  <c r="G68" i="143" s="1"/>
  <c r="G69" i="143" s="1"/>
  <c r="G70" i="143" s="1"/>
  <c r="G71" i="143" s="1"/>
  <c r="G72" i="143" s="1"/>
  <c r="G73" i="143" s="1"/>
  <c r="G74" i="143" s="1"/>
  <c r="G75" i="143" s="1"/>
  <c r="G76" i="143" s="1"/>
  <c r="G77" i="143" s="1"/>
  <c r="G78" i="143" s="1"/>
  <c r="G79" i="143" s="1"/>
  <c r="G80" i="143" s="1"/>
  <c r="G81" i="143" s="1"/>
  <c r="G82" i="143" s="1"/>
  <c r="G83" i="143" s="1"/>
  <c r="G84" i="143" s="1"/>
  <c r="G85" i="143" s="1"/>
  <c r="G86" i="143" s="1"/>
  <c r="G87" i="143" s="1"/>
  <c r="G88" i="143" s="1"/>
  <c r="G89" i="143" s="1"/>
  <c r="G90" i="143" s="1"/>
  <c r="G91" i="143" s="1"/>
  <c r="G92" i="143" s="1"/>
  <c r="G93" i="143" s="1"/>
  <c r="G94" i="143" s="1"/>
  <c r="G95" i="143" s="1"/>
  <c r="G96" i="143" s="1"/>
  <c r="G97" i="143" s="1"/>
  <c r="G98" i="143" s="1"/>
  <c r="G99" i="143" s="1"/>
  <c r="G100" i="143" s="1"/>
  <c r="G101" i="143" s="1"/>
  <c r="G102" i="143" s="1"/>
  <c r="G103" i="143" s="1"/>
  <c r="G104" i="143" s="1"/>
  <c r="G105" i="143" s="1"/>
  <c r="G106" i="143" s="1"/>
  <c r="G107" i="143" s="1"/>
  <c r="G108" i="143" s="1"/>
  <c r="A10" i="143"/>
  <c r="A11" i="143" s="1"/>
  <c r="G9" i="143"/>
  <c r="A4" i="143"/>
  <c r="F109" i="142"/>
  <c r="E109" i="142"/>
  <c r="K39" i="142"/>
  <c r="K38" i="142"/>
  <c r="J13" i="142"/>
  <c r="A10" i="142"/>
  <c r="A11" i="142" s="1"/>
  <c r="A12" i="142" s="1"/>
  <c r="A13" i="142" s="1"/>
  <c r="A14" i="142" s="1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A60" i="142" s="1"/>
  <c r="A61" i="142" s="1"/>
  <c r="A62" i="142" s="1"/>
  <c r="A63" i="142" s="1"/>
  <c r="A64" i="142" s="1"/>
  <c r="A65" i="142" s="1"/>
  <c r="A66" i="142" s="1"/>
  <c r="A67" i="142" s="1"/>
  <c r="A68" i="142" s="1"/>
  <c r="A69" i="142" s="1"/>
  <c r="A70" i="142" s="1"/>
  <c r="A71" i="142" s="1"/>
  <c r="A72" i="142" s="1"/>
  <c r="A73" i="142" s="1"/>
  <c r="A74" i="142" s="1"/>
  <c r="A75" i="142" s="1"/>
  <c r="A76" i="142" s="1"/>
  <c r="A77" i="142" s="1"/>
  <c r="A78" i="142" s="1"/>
  <c r="A79" i="142" s="1"/>
  <c r="A80" i="142" s="1"/>
  <c r="A81" i="142" s="1"/>
  <c r="A82" i="142" s="1"/>
  <c r="A83" i="142" s="1"/>
  <c r="A84" i="142" s="1"/>
  <c r="A85" i="142" s="1"/>
  <c r="A86" i="142" s="1"/>
  <c r="A87" i="142" s="1"/>
  <c r="A88" i="142" s="1"/>
  <c r="A89" i="142" s="1"/>
  <c r="A90" i="142" s="1"/>
  <c r="A91" i="142" s="1"/>
  <c r="A92" i="142" s="1"/>
  <c r="A93" i="142" s="1"/>
  <c r="A94" i="142" s="1"/>
  <c r="G9" i="142"/>
  <c r="G10" i="142" s="1"/>
  <c r="G11" i="142" s="1"/>
  <c r="G12" i="142" s="1"/>
  <c r="G13" i="142" s="1"/>
  <c r="G14" i="142" s="1"/>
  <c r="G15" i="142" s="1"/>
  <c r="G16" i="142" s="1"/>
  <c r="G17" i="142" s="1"/>
  <c r="G18" i="142" s="1"/>
  <c r="G19" i="142" s="1"/>
  <c r="G20" i="142" s="1"/>
  <c r="G21" i="142" s="1"/>
  <c r="G22" i="142" s="1"/>
  <c r="G23" i="142" s="1"/>
  <c r="G24" i="142" s="1"/>
  <c r="G25" i="142" s="1"/>
  <c r="G26" i="142" s="1"/>
  <c r="G27" i="142" s="1"/>
  <c r="G28" i="142" s="1"/>
  <c r="G29" i="142" s="1"/>
  <c r="G30" i="142" s="1"/>
  <c r="G31" i="142" s="1"/>
  <c r="G32" i="142" s="1"/>
  <c r="G33" i="142" s="1"/>
  <c r="G34" i="142" s="1"/>
  <c r="G35" i="142" s="1"/>
  <c r="G36" i="142" s="1"/>
  <c r="G37" i="142" s="1"/>
  <c r="G38" i="142" s="1"/>
  <c r="G39" i="142" s="1"/>
  <c r="G40" i="142" s="1"/>
  <c r="G41" i="142" s="1"/>
  <c r="G42" i="142" s="1"/>
  <c r="G43" i="142" s="1"/>
  <c r="G44" i="142" s="1"/>
  <c r="G45" i="142" s="1"/>
  <c r="G46" i="142" s="1"/>
  <c r="G47" i="142" s="1"/>
  <c r="G48" i="142" s="1"/>
  <c r="G49" i="142" s="1"/>
  <c r="G50" i="142" s="1"/>
  <c r="G51" i="142" s="1"/>
  <c r="G52" i="142" s="1"/>
  <c r="G53" i="142" s="1"/>
  <c r="G54" i="142" s="1"/>
  <c r="G55" i="142" s="1"/>
  <c r="G56" i="142" s="1"/>
  <c r="G57" i="142" s="1"/>
  <c r="G58" i="142" s="1"/>
  <c r="G59" i="142" s="1"/>
  <c r="G60" i="142" s="1"/>
  <c r="G61" i="142" s="1"/>
  <c r="G62" i="142" s="1"/>
  <c r="G63" i="142" s="1"/>
  <c r="G64" i="142" s="1"/>
  <c r="G65" i="142" s="1"/>
  <c r="G66" i="142" s="1"/>
  <c r="G67" i="142" s="1"/>
  <c r="G68" i="142" s="1"/>
  <c r="G69" i="142" s="1"/>
  <c r="G70" i="142" s="1"/>
  <c r="G71" i="142" s="1"/>
  <c r="G72" i="142" s="1"/>
  <c r="G73" i="142" s="1"/>
  <c r="G74" i="142" s="1"/>
  <c r="G75" i="142" s="1"/>
  <c r="G76" i="142" s="1"/>
  <c r="G77" i="142" s="1"/>
  <c r="G78" i="142" s="1"/>
  <c r="G79" i="142" s="1"/>
  <c r="G80" i="142" s="1"/>
  <c r="G81" i="142" s="1"/>
  <c r="G82" i="142" s="1"/>
  <c r="G83" i="142" s="1"/>
  <c r="G84" i="142" s="1"/>
  <c r="G85" i="142" s="1"/>
  <c r="G86" i="142" s="1"/>
  <c r="G87" i="142" s="1"/>
  <c r="G88" i="142" s="1"/>
  <c r="G89" i="142" s="1"/>
  <c r="G90" i="142" s="1"/>
  <c r="G91" i="142" s="1"/>
  <c r="G92" i="142" s="1"/>
  <c r="G93" i="142" s="1"/>
  <c r="G94" i="142" s="1"/>
  <c r="G95" i="142" s="1"/>
  <c r="G96" i="142" s="1"/>
  <c r="G97" i="142" s="1"/>
  <c r="G98" i="142" s="1"/>
  <c r="G99" i="142" s="1"/>
  <c r="G100" i="142" s="1"/>
  <c r="G101" i="142" s="1"/>
  <c r="G102" i="142" s="1"/>
  <c r="G103" i="142" s="1"/>
  <c r="G104" i="142" s="1"/>
  <c r="G105" i="142" s="1"/>
  <c r="G106" i="142" s="1"/>
  <c r="G107" i="142" s="1"/>
  <c r="G108" i="142" s="1"/>
  <c r="A4" i="142"/>
  <c r="L24" i="105"/>
  <c r="L19" i="105"/>
  <c r="N31" i="86"/>
  <c r="N30" i="86"/>
  <c r="A15" i="48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84" i="48" s="1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G19" i="48"/>
  <c r="G20" i="48" s="1"/>
  <c r="G21" i="48" s="1"/>
  <c r="G22" i="48" s="1"/>
  <c r="G23" i="48" s="1"/>
  <c r="G24" i="48" s="1"/>
  <c r="G25" i="48" s="1"/>
  <c r="G26" i="48" s="1"/>
  <c r="G27" i="48" s="1"/>
  <c r="G28" i="48" s="1"/>
  <c r="G29" i="48" s="1"/>
  <c r="G30" i="48" s="1"/>
  <c r="G31" i="48" s="1"/>
  <c r="G32" i="48" s="1"/>
  <c r="G33" i="48" s="1"/>
  <c r="G34" i="48" s="1"/>
  <c r="G35" i="48" s="1"/>
  <c r="G36" i="48" s="1"/>
  <c r="G37" i="48" s="1"/>
  <c r="G38" i="48" s="1"/>
  <c r="G39" i="48" s="1"/>
  <c r="G40" i="48" s="1"/>
  <c r="G41" i="48" s="1"/>
  <c r="G42" i="48" s="1"/>
  <c r="G43" i="48" s="1"/>
  <c r="G44" i="48" s="1"/>
  <c r="G45" i="48" s="1"/>
  <c r="G46" i="48" s="1"/>
  <c r="G47" i="48" s="1"/>
  <c r="G48" i="48" s="1"/>
  <c r="G49" i="48" s="1"/>
  <c r="G50" i="48" s="1"/>
  <c r="G51" i="48" s="1"/>
  <c r="G52" i="48" s="1"/>
  <c r="G53" i="48" s="1"/>
  <c r="G54" i="48" s="1"/>
  <c r="G55" i="48" s="1"/>
  <c r="G56" i="48" s="1"/>
  <c r="G57" i="48" s="1"/>
  <c r="G58" i="48" s="1"/>
  <c r="G59" i="48" s="1"/>
  <c r="G60" i="48" s="1"/>
  <c r="G61" i="48" s="1"/>
  <c r="G62" i="48" s="1"/>
  <c r="G63" i="48" s="1"/>
  <c r="G64" i="48" s="1"/>
  <c r="G65" i="48" s="1"/>
  <c r="G66" i="48" s="1"/>
  <c r="G67" i="48" s="1"/>
  <c r="G68" i="48" s="1"/>
  <c r="G69" i="48" s="1"/>
  <c r="G70" i="48" s="1"/>
  <c r="G71" i="48" s="1"/>
  <c r="G72" i="48" s="1"/>
  <c r="G73" i="48" s="1"/>
  <c r="G74" i="48" s="1"/>
  <c r="G75" i="48" s="1"/>
  <c r="G76" i="48" s="1"/>
  <c r="G77" i="48" s="1"/>
  <c r="G78" i="48" s="1"/>
  <c r="G79" i="48" s="1"/>
  <c r="G80" i="48" s="1"/>
  <c r="G81" i="48" s="1"/>
  <c r="G82" i="48" s="1"/>
  <c r="G83" i="48" s="1"/>
  <c r="G84" i="48" s="1"/>
  <c r="G85" i="48" s="1"/>
  <c r="G86" i="48" s="1"/>
  <c r="G87" i="48" s="1"/>
  <c r="G88" i="48" s="1"/>
  <c r="G89" i="48" s="1"/>
  <c r="G90" i="48" s="1"/>
  <c r="G91" i="48" s="1"/>
  <c r="G92" i="48" s="1"/>
  <c r="G93" i="48" s="1"/>
  <c r="G94" i="48" s="1"/>
  <c r="G95" i="48" s="1"/>
  <c r="G96" i="48" s="1"/>
  <c r="G97" i="48" s="1"/>
  <c r="G98" i="48" s="1"/>
  <c r="G99" i="48" s="1"/>
  <c r="G100" i="48" s="1"/>
  <c r="G101" i="48" s="1"/>
  <c r="G102" i="48" s="1"/>
  <c r="G103" i="48" s="1"/>
  <c r="G104" i="48" s="1"/>
  <c r="G105" i="48" s="1"/>
  <c r="G106" i="48" s="1"/>
  <c r="G107" i="48" s="1"/>
  <c r="G108" i="48" s="1"/>
  <c r="G109" i="48" s="1"/>
  <c r="G110" i="48" s="1"/>
  <c r="M36" i="59"/>
  <c r="P22" i="132"/>
  <c r="R21" i="132"/>
  <c r="P21" i="132"/>
  <c r="O59" i="121"/>
  <c r="O58" i="121"/>
  <c r="O57" i="121"/>
  <c r="P54" i="121"/>
  <c r="Q58" i="121"/>
  <c r="Q57" i="121"/>
  <c r="O56" i="121"/>
  <c r="O55" i="121"/>
  <c r="F32" i="59"/>
  <c r="N132" i="24"/>
  <c r="N14" i="134"/>
  <c r="F97" i="141"/>
  <c r="E97" i="141"/>
  <c r="A11" i="14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10" i="141"/>
  <c r="G9" i="141"/>
  <c r="G10" i="141" s="1"/>
  <c r="G11" i="141" s="1"/>
  <c r="G12" i="141" s="1"/>
  <c r="G13" i="141" s="1"/>
  <c r="G14" i="141" s="1"/>
  <c r="G15" i="141" s="1"/>
  <c r="G16" i="141" s="1"/>
  <c r="G17" i="141" s="1"/>
  <c r="G18" i="141" s="1"/>
  <c r="G19" i="141" s="1"/>
  <c r="G20" i="141" s="1"/>
  <c r="G21" i="141" s="1"/>
  <c r="G22" i="141" s="1"/>
  <c r="G23" i="141" s="1"/>
  <c r="G24" i="141" s="1"/>
  <c r="G25" i="141" s="1"/>
  <c r="G26" i="141" s="1"/>
  <c r="G27" i="141" s="1"/>
  <c r="G28" i="141" s="1"/>
  <c r="G29" i="141" s="1"/>
  <c r="G30" i="141" s="1"/>
  <c r="G31" i="141" s="1"/>
  <c r="G32" i="141" s="1"/>
  <c r="G33" i="141" s="1"/>
  <c r="G34" i="141" s="1"/>
  <c r="G35" i="141" s="1"/>
  <c r="G36" i="141" s="1"/>
  <c r="G37" i="141" s="1"/>
  <c r="G38" i="141" s="1"/>
  <c r="G39" i="141" s="1"/>
  <c r="G40" i="141" s="1"/>
  <c r="G41" i="141" s="1"/>
  <c r="G42" i="141" s="1"/>
  <c r="G43" i="141" s="1"/>
  <c r="G44" i="141" s="1"/>
  <c r="G45" i="141" s="1"/>
  <c r="G46" i="141" s="1"/>
  <c r="G47" i="141" s="1"/>
  <c r="G48" i="141" s="1"/>
  <c r="G49" i="141" s="1"/>
  <c r="G50" i="141" s="1"/>
  <c r="G51" i="141" s="1"/>
  <c r="G52" i="141" s="1"/>
  <c r="G53" i="141" s="1"/>
  <c r="G54" i="141" s="1"/>
  <c r="G55" i="141" s="1"/>
  <c r="G56" i="141" s="1"/>
  <c r="G57" i="141" s="1"/>
  <c r="G58" i="141" s="1"/>
  <c r="G59" i="141" s="1"/>
  <c r="G60" i="141" s="1"/>
  <c r="G61" i="141" s="1"/>
  <c r="G62" i="141" s="1"/>
  <c r="G63" i="141" s="1"/>
  <c r="G64" i="141" s="1"/>
  <c r="G65" i="141" s="1"/>
  <c r="G66" i="141" s="1"/>
  <c r="G67" i="141" s="1"/>
  <c r="G68" i="141" s="1"/>
  <c r="G69" i="141" s="1"/>
  <c r="G70" i="141" s="1"/>
  <c r="G71" i="141" s="1"/>
  <c r="G72" i="141" s="1"/>
  <c r="G73" i="141" s="1"/>
  <c r="G74" i="141" s="1"/>
  <c r="G75" i="141" s="1"/>
  <c r="G76" i="141" s="1"/>
  <c r="G77" i="141" s="1"/>
  <c r="G78" i="141" s="1"/>
  <c r="G79" i="141" s="1"/>
  <c r="G80" i="141" s="1"/>
  <c r="G81" i="141" s="1"/>
  <c r="G82" i="141" s="1"/>
  <c r="G83" i="141" s="1"/>
  <c r="G84" i="141" s="1"/>
  <c r="G85" i="141" s="1"/>
  <c r="G86" i="141" s="1"/>
  <c r="G87" i="141" s="1"/>
  <c r="G88" i="141" s="1"/>
  <c r="G89" i="141" s="1"/>
  <c r="G90" i="141" s="1"/>
  <c r="G91" i="141" s="1"/>
  <c r="G92" i="141" s="1"/>
  <c r="G93" i="141" s="1"/>
  <c r="G94" i="141" s="1"/>
  <c r="G95" i="141" s="1"/>
  <c r="G96" i="141" s="1"/>
  <c r="A4" i="141"/>
  <c r="F92" i="140"/>
  <c r="E92" i="140"/>
  <c r="J16" i="140"/>
  <c r="A12" i="140"/>
  <c r="A13" i="140" s="1"/>
  <c r="A14" i="140" s="1"/>
  <c r="A15" i="140" s="1"/>
  <c r="A16" i="140" s="1"/>
  <c r="A17" i="140" s="1"/>
  <c r="A18" i="140" s="1"/>
  <c r="A19" i="140" s="1"/>
  <c r="A20" i="140" s="1"/>
  <c r="A21" i="140" s="1"/>
  <c r="A22" i="140" s="1"/>
  <c r="A23" i="140" s="1"/>
  <c r="A24" i="140" s="1"/>
  <c r="A25" i="140" s="1"/>
  <c r="A26" i="140" s="1"/>
  <c r="A27" i="140" s="1"/>
  <c r="A28" i="140" s="1"/>
  <c r="A29" i="140" s="1"/>
  <c r="A30" i="140" s="1"/>
  <c r="A31" i="140" s="1"/>
  <c r="A32" i="140" s="1"/>
  <c r="A33" i="140" s="1"/>
  <c r="A34" i="140" s="1"/>
  <c r="A35" i="140" s="1"/>
  <c r="A36" i="140" s="1"/>
  <c r="A37" i="140" s="1"/>
  <c r="A38" i="140" s="1"/>
  <c r="A39" i="140" s="1"/>
  <c r="A40" i="140" s="1"/>
  <c r="A41" i="140" s="1"/>
  <c r="A42" i="140" s="1"/>
  <c r="A43" i="140" s="1"/>
  <c r="A44" i="140" s="1"/>
  <c r="A45" i="140" s="1"/>
  <c r="A46" i="140" s="1"/>
  <c r="A47" i="140" s="1"/>
  <c r="A48" i="140" s="1"/>
  <c r="A49" i="140" s="1"/>
  <c r="A50" i="140" s="1"/>
  <c r="A51" i="140" s="1"/>
  <c r="A52" i="140" s="1"/>
  <c r="A53" i="140" s="1"/>
  <c r="A54" i="140" s="1"/>
  <c r="A55" i="140" s="1"/>
  <c r="A56" i="140" s="1"/>
  <c r="A57" i="140" s="1"/>
  <c r="A58" i="140" s="1"/>
  <c r="A59" i="140" s="1"/>
  <c r="A60" i="140" s="1"/>
  <c r="A61" i="140" s="1"/>
  <c r="A62" i="140" s="1"/>
  <c r="A63" i="140" s="1"/>
  <c r="A64" i="140" s="1"/>
  <c r="A65" i="140" s="1"/>
  <c r="A66" i="140" s="1"/>
  <c r="A67" i="140" s="1"/>
  <c r="A68" i="140" s="1"/>
  <c r="A69" i="140" s="1"/>
  <c r="A70" i="140" s="1"/>
  <c r="A71" i="140" s="1"/>
  <c r="A72" i="140" s="1"/>
  <c r="A73" i="140" s="1"/>
  <c r="A74" i="140" s="1"/>
  <c r="A75" i="140" s="1"/>
  <c r="A76" i="140" s="1"/>
  <c r="A77" i="140" s="1"/>
  <c r="A78" i="140" s="1"/>
  <c r="A79" i="140" s="1"/>
  <c r="A80" i="140" s="1"/>
  <c r="A81" i="140" s="1"/>
  <c r="A82" i="140" s="1"/>
  <c r="A83" i="140" s="1"/>
  <c r="A84" i="140" s="1"/>
  <c r="A85" i="140" s="1"/>
  <c r="A86" i="140" s="1"/>
  <c r="A87" i="140" s="1"/>
  <c r="A88" i="140" s="1"/>
  <c r="A89" i="140" s="1"/>
  <c r="A90" i="140" s="1"/>
  <c r="A91" i="140" s="1"/>
  <c r="A11" i="140"/>
  <c r="G10" i="140"/>
  <c r="G11" i="140" s="1"/>
  <c r="G12" i="140" s="1"/>
  <c r="G13" i="140" s="1"/>
  <c r="G14" i="140" s="1"/>
  <c r="G15" i="140" s="1"/>
  <c r="G16" i="140" s="1"/>
  <c r="G17" i="140" s="1"/>
  <c r="G18" i="140" s="1"/>
  <c r="G19" i="140" s="1"/>
  <c r="G20" i="140" s="1"/>
  <c r="G21" i="140" s="1"/>
  <c r="G22" i="140" s="1"/>
  <c r="G23" i="140" s="1"/>
  <c r="G24" i="140" s="1"/>
  <c r="G25" i="140" s="1"/>
  <c r="G26" i="140" s="1"/>
  <c r="G27" i="140" s="1"/>
  <c r="G28" i="140" s="1"/>
  <c r="G29" i="140" s="1"/>
  <c r="G30" i="140" s="1"/>
  <c r="G31" i="140" s="1"/>
  <c r="G32" i="140" s="1"/>
  <c r="G33" i="140" s="1"/>
  <c r="G34" i="140" s="1"/>
  <c r="G35" i="140" s="1"/>
  <c r="G36" i="140" s="1"/>
  <c r="G37" i="140" s="1"/>
  <c r="G38" i="140" s="1"/>
  <c r="G39" i="140" s="1"/>
  <c r="G40" i="140" s="1"/>
  <c r="G41" i="140" s="1"/>
  <c r="G42" i="140" s="1"/>
  <c r="G43" i="140" s="1"/>
  <c r="G44" i="140" s="1"/>
  <c r="G45" i="140" s="1"/>
  <c r="G46" i="140" s="1"/>
  <c r="G47" i="140" s="1"/>
  <c r="G48" i="140" s="1"/>
  <c r="G49" i="140" s="1"/>
  <c r="G50" i="140" s="1"/>
  <c r="G51" i="140" s="1"/>
  <c r="G52" i="140" s="1"/>
  <c r="G53" i="140" s="1"/>
  <c r="G54" i="140" s="1"/>
  <c r="G55" i="140" s="1"/>
  <c r="G56" i="140" s="1"/>
  <c r="G57" i="140" s="1"/>
  <c r="G58" i="140" s="1"/>
  <c r="G59" i="140" s="1"/>
  <c r="G60" i="140" s="1"/>
  <c r="G61" i="140" s="1"/>
  <c r="G62" i="140" s="1"/>
  <c r="G63" i="140" s="1"/>
  <c r="G64" i="140" s="1"/>
  <c r="G65" i="140" s="1"/>
  <c r="G66" i="140" s="1"/>
  <c r="G67" i="140" s="1"/>
  <c r="G68" i="140" s="1"/>
  <c r="G69" i="140" s="1"/>
  <c r="G70" i="140" s="1"/>
  <c r="G71" i="140" s="1"/>
  <c r="G72" i="140" s="1"/>
  <c r="G73" i="140" s="1"/>
  <c r="G74" i="140" s="1"/>
  <c r="G75" i="140" s="1"/>
  <c r="G76" i="140" s="1"/>
  <c r="G77" i="140" s="1"/>
  <c r="G78" i="140" s="1"/>
  <c r="G79" i="140" s="1"/>
  <c r="G80" i="140" s="1"/>
  <c r="G81" i="140" s="1"/>
  <c r="G82" i="140" s="1"/>
  <c r="G83" i="140" s="1"/>
  <c r="G84" i="140" s="1"/>
  <c r="G85" i="140" s="1"/>
  <c r="G86" i="140" s="1"/>
  <c r="G87" i="140" s="1"/>
  <c r="G88" i="140" s="1"/>
  <c r="G89" i="140" s="1"/>
  <c r="G90" i="140" s="1"/>
  <c r="G91" i="140" s="1"/>
  <c r="J9" i="140"/>
  <c r="R128" i="24"/>
  <c r="R127" i="24"/>
  <c r="P125" i="24"/>
  <c r="P126" i="24" s="1"/>
  <c r="P127" i="24" s="1"/>
  <c r="I18" i="132"/>
  <c r="I17" i="132"/>
  <c r="I16" i="132"/>
  <c r="J110" i="139"/>
  <c r="F110" i="139"/>
  <c r="E110" i="139"/>
  <c r="O30" i="139"/>
  <c r="O19" i="139"/>
  <c r="O18" i="139"/>
  <c r="L10" i="139"/>
  <c r="A10" i="139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4" i="139"/>
  <c r="R28" i="132"/>
  <c r="Q28" i="132"/>
  <c r="O28" i="132"/>
  <c r="O27" i="132"/>
  <c r="I15" i="121"/>
  <c r="N29" i="121"/>
  <c r="N28" i="121"/>
  <c r="N27" i="121"/>
  <c r="G17" i="21"/>
  <c r="G18" i="21" s="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P19" i="139" l="1"/>
  <c r="A106" i="143"/>
  <c r="A107" i="143" s="1"/>
  <c r="A108" i="143" s="1"/>
  <c r="A95" i="143"/>
  <c r="A96" i="143" s="1"/>
  <c r="A97" i="143" s="1"/>
  <c r="A98" i="143" s="1"/>
  <c r="A99" i="143" s="1"/>
  <c r="A100" i="143" s="1"/>
  <c r="A101" i="143" s="1"/>
  <c r="A102" i="143" s="1"/>
  <c r="A103" i="143" s="1"/>
  <c r="A104" i="143" s="1"/>
  <c r="A105" i="143" s="1"/>
  <c r="G109" i="142"/>
  <c r="A106" i="142"/>
  <c r="A107" i="142" s="1"/>
  <c r="A108" i="142" s="1"/>
  <c r="A95" i="142"/>
  <c r="A96" i="142" s="1"/>
  <c r="A97" i="142" s="1"/>
  <c r="A98" i="142" s="1"/>
  <c r="A99" i="142" s="1"/>
  <c r="A100" i="142" s="1"/>
  <c r="A101" i="142" s="1"/>
  <c r="A102" i="142" s="1"/>
  <c r="A103" i="142" s="1"/>
  <c r="A104" i="142" s="1"/>
  <c r="A105" i="142" s="1"/>
  <c r="G97" i="141"/>
  <c r="G92" i="140"/>
  <c r="G110" i="139"/>
  <c r="I14" i="121"/>
  <c r="I13" i="121"/>
  <c r="I15" i="132" l="1"/>
  <c r="K21" i="91"/>
  <c r="A11" i="74" l="1"/>
  <c r="A12" i="74" s="1"/>
  <c r="A13" i="74" s="1"/>
  <c r="A14" i="74" s="1"/>
  <c r="A15" i="74" s="1"/>
  <c r="A16" i="74" s="1"/>
  <c r="A17" i="74" s="1"/>
  <c r="A18" i="74" s="1"/>
  <c r="A19" i="74" s="1"/>
  <c r="A20" i="74" s="1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A58" i="74" s="1"/>
  <c r="A59" i="74" s="1"/>
  <c r="A60" i="74" s="1"/>
  <c r="A61" i="74" s="1"/>
  <c r="A62" i="74" s="1"/>
  <c r="A63" i="74" s="1"/>
  <c r="A64" i="74" s="1"/>
  <c r="A65" i="74" s="1"/>
  <c r="A66" i="74" s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84" i="74" s="1"/>
  <c r="A85" i="74" s="1"/>
  <c r="A86" i="74" s="1"/>
  <c r="A87" i="74" s="1"/>
  <c r="A88" i="74" s="1"/>
  <c r="A89" i="74" s="1"/>
  <c r="A90" i="74" s="1"/>
  <c r="A91" i="74" s="1"/>
  <c r="A92" i="74" s="1"/>
  <c r="A93" i="74" s="1"/>
  <c r="A94" i="74" s="1"/>
  <c r="A95" i="74" s="1"/>
  <c r="A96" i="74" s="1"/>
  <c r="A97" i="74" s="1"/>
  <c r="A98" i="74" s="1"/>
  <c r="A99" i="74" s="1"/>
  <c r="A100" i="74" s="1"/>
  <c r="A101" i="74" s="1"/>
  <c r="A102" i="74" s="1"/>
  <c r="A103" i="74" s="1"/>
  <c r="A104" i="74" s="1"/>
  <c r="A105" i="74" s="1"/>
  <c r="A106" i="74" s="1"/>
  <c r="A107" i="74" s="1"/>
  <c r="A108" i="74" s="1"/>
  <c r="A109" i="74" s="1"/>
  <c r="A110" i="74" s="1"/>
  <c r="A111" i="74" s="1"/>
  <c r="A112" i="74" s="1"/>
  <c r="A113" i="74" s="1"/>
  <c r="A114" i="74" s="1"/>
  <c r="A115" i="74" s="1"/>
  <c r="A116" i="74" s="1"/>
  <c r="A117" i="74" s="1"/>
  <c r="A118" i="74" s="1"/>
  <c r="N77" i="31" l="1"/>
  <c r="D38" i="33"/>
  <c r="D47" i="33"/>
  <c r="I12" i="137"/>
  <c r="M32" i="11"/>
  <c r="J109" i="138"/>
  <c r="F109" i="138"/>
  <c r="E109" i="138"/>
  <c r="G109" i="138" s="1"/>
  <c r="M38" i="138"/>
  <c r="M39" i="138" s="1"/>
  <c r="N34" i="138"/>
  <c r="N35" i="138" s="1"/>
  <c r="N36" i="138" s="1"/>
  <c r="N29" i="138"/>
  <c r="N30" i="138" s="1"/>
  <c r="N24" i="138"/>
  <c r="N22" i="138"/>
  <c r="N21" i="138"/>
  <c r="M19" i="138"/>
  <c r="N13" i="138"/>
  <c r="N15" i="138" s="1"/>
  <c r="L12" i="138"/>
  <c r="A10" i="138"/>
  <c r="A11" i="138" s="1"/>
  <c r="A12" i="138" s="1"/>
  <c r="A13" i="138" s="1"/>
  <c r="A14" i="138" s="1"/>
  <c r="A15" i="138" s="1"/>
  <c r="A16" i="138" s="1"/>
  <c r="A17" i="138" s="1"/>
  <c r="A18" i="138" s="1"/>
  <c r="A19" i="138" s="1"/>
  <c r="A20" i="138" s="1"/>
  <c r="A21" i="138" s="1"/>
  <c r="A22" i="138" s="1"/>
  <c r="A23" i="138" s="1"/>
  <c r="A24" i="138" s="1"/>
  <c r="A25" i="138" s="1"/>
  <c r="A26" i="138" s="1"/>
  <c r="A27" i="138" s="1"/>
  <c r="A28" i="138" s="1"/>
  <c r="A29" i="138" s="1"/>
  <c r="A30" i="138" s="1"/>
  <c r="A31" i="138" s="1"/>
  <c r="A32" i="138" s="1"/>
  <c r="A33" i="138" s="1"/>
  <c r="A34" i="138" s="1"/>
  <c r="A35" i="138" s="1"/>
  <c r="A36" i="138" s="1"/>
  <c r="A37" i="138" s="1"/>
  <c r="A38" i="138" s="1"/>
  <c r="A39" i="138" s="1"/>
  <c r="A40" i="138" s="1"/>
  <c r="A41" i="138" s="1"/>
  <c r="A42" i="138" s="1"/>
  <c r="A43" i="138" s="1"/>
  <c r="A44" i="138" s="1"/>
  <c r="A45" i="138" s="1"/>
  <c r="A46" i="138" s="1"/>
  <c r="A47" i="138" s="1"/>
  <c r="A48" i="138" s="1"/>
  <c r="A49" i="138" s="1"/>
  <c r="A50" i="138" s="1"/>
  <c r="A51" i="138" s="1"/>
  <c r="A52" i="138" s="1"/>
  <c r="A53" i="138" s="1"/>
  <c r="A54" i="138" s="1"/>
  <c r="A55" i="138" s="1"/>
  <c r="A56" i="138" s="1"/>
  <c r="A57" i="138" s="1"/>
  <c r="A58" i="138" s="1"/>
  <c r="A59" i="138" s="1"/>
  <c r="A60" i="138" s="1"/>
  <c r="A61" i="138" s="1"/>
  <c r="A62" i="138" s="1"/>
  <c r="A63" i="138" s="1"/>
  <c r="A64" i="138" s="1"/>
  <c r="A65" i="138" s="1"/>
  <c r="A66" i="138" s="1"/>
  <c r="A67" i="138" s="1"/>
  <c r="A68" i="138" s="1"/>
  <c r="A69" i="138" s="1"/>
  <c r="A70" i="138" s="1"/>
  <c r="A71" i="138" s="1"/>
  <c r="A72" i="138" s="1"/>
  <c r="A73" i="138" s="1"/>
  <c r="A74" i="138" s="1"/>
  <c r="A75" i="138" s="1"/>
  <c r="A76" i="138" s="1"/>
  <c r="A77" i="138" s="1"/>
  <c r="A78" i="138" s="1"/>
  <c r="A79" i="138" s="1"/>
  <c r="A80" i="138" s="1"/>
  <c r="A81" i="138" s="1"/>
  <c r="A82" i="138" s="1"/>
  <c r="A83" i="138" s="1"/>
  <c r="A84" i="138" s="1"/>
  <c r="A85" i="138" s="1"/>
  <c r="A86" i="138" s="1"/>
  <c r="A87" i="138" s="1"/>
  <c r="A88" i="138" s="1"/>
  <c r="A89" i="138" s="1"/>
  <c r="A90" i="138" s="1"/>
  <c r="A91" i="138" s="1"/>
  <c r="A92" i="138" s="1"/>
  <c r="A93" i="138" s="1"/>
  <c r="A94" i="138" s="1"/>
  <c r="A95" i="138" s="1"/>
  <c r="A96" i="138" s="1"/>
  <c r="A97" i="138" s="1"/>
  <c r="A98" i="138" s="1"/>
  <c r="A99" i="138" s="1"/>
  <c r="A100" i="138" s="1"/>
  <c r="A101" i="138" s="1"/>
  <c r="A102" i="138" s="1"/>
  <c r="A103" i="138" s="1"/>
  <c r="A104" i="138" s="1"/>
  <c r="A105" i="138" s="1"/>
  <c r="A106" i="138" s="1"/>
  <c r="A107" i="138" s="1"/>
  <c r="A108" i="138" s="1"/>
  <c r="G9" i="138"/>
  <c r="G10" i="138" s="1"/>
  <c r="G11" i="138" s="1"/>
  <c r="G12" i="138" s="1"/>
  <c r="G13" i="138" s="1"/>
  <c r="G14" i="138" s="1"/>
  <c r="G15" i="138" s="1"/>
  <c r="G16" i="138" s="1"/>
  <c r="G17" i="138" s="1"/>
  <c r="G18" i="138" s="1"/>
  <c r="G19" i="138" s="1"/>
  <c r="G20" i="138" s="1"/>
  <c r="G21" i="138" s="1"/>
  <c r="G22" i="138" s="1"/>
  <c r="G23" i="138" s="1"/>
  <c r="G24" i="138" s="1"/>
  <c r="G25" i="138" s="1"/>
  <c r="G26" i="138" s="1"/>
  <c r="G27" i="138" s="1"/>
  <c r="G28" i="138" s="1"/>
  <c r="G29" i="138" s="1"/>
  <c r="G30" i="138" s="1"/>
  <c r="G31" i="138" s="1"/>
  <c r="G32" i="138" s="1"/>
  <c r="G33" i="138" s="1"/>
  <c r="G34" i="138" s="1"/>
  <c r="G35" i="138" s="1"/>
  <c r="G36" i="138" s="1"/>
  <c r="G37" i="138" s="1"/>
  <c r="G38" i="138" s="1"/>
  <c r="G39" i="138" s="1"/>
  <c r="G40" i="138" s="1"/>
  <c r="G41" i="138" s="1"/>
  <c r="G42" i="138" s="1"/>
  <c r="G43" i="138" s="1"/>
  <c r="G44" i="138" s="1"/>
  <c r="G45" i="138" s="1"/>
  <c r="G46" i="138" s="1"/>
  <c r="G47" i="138" s="1"/>
  <c r="G48" i="138" s="1"/>
  <c r="G49" i="138" s="1"/>
  <c r="G50" i="138" s="1"/>
  <c r="G51" i="138" s="1"/>
  <c r="G52" i="138" s="1"/>
  <c r="G53" i="138" s="1"/>
  <c r="G54" i="138" s="1"/>
  <c r="G55" i="138" s="1"/>
  <c r="G56" i="138" s="1"/>
  <c r="G57" i="138" s="1"/>
  <c r="G58" i="138" s="1"/>
  <c r="G59" i="138" s="1"/>
  <c r="G60" i="138" s="1"/>
  <c r="G61" i="138" s="1"/>
  <c r="G62" i="138" s="1"/>
  <c r="G63" i="138" s="1"/>
  <c r="G64" i="138" s="1"/>
  <c r="G65" i="138" s="1"/>
  <c r="G66" i="138" s="1"/>
  <c r="G67" i="138" s="1"/>
  <c r="G68" i="138" s="1"/>
  <c r="G69" i="138" s="1"/>
  <c r="G70" i="138" s="1"/>
  <c r="G71" i="138" s="1"/>
  <c r="G72" i="138" s="1"/>
  <c r="G73" i="138" s="1"/>
  <c r="G74" i="138" s="1"/>
  <c r="G75" i="138" s="1"/>
  <c r="G76" i="138" s="1"/>
  <c r="G77" i="138" s="1"/>
  <c r="G78" i="138" s="1"/>
  <c r="G79" i="138" s="1"/>
  <c r="G80" i="138" s="1"/>
  <c r="G81" i="138" s="1"/>
  <c r="G82" i="138" s="1"/>
  <c r="G83" i="138" s="1"/>
  <c r="G84" i="138" s="1"/>
  <c r="G85" i="138" s="1"/>
  <c r="G86" i="138" s="1"/>
  <c r="G87" i="138" s="1"/>
  <c r="G88" i="138" s="1"/>
  <c r="G89" i="138" s="1"/>
  <c r="G90" i="138" s="1"/>
  <c r="G91" i="138" s="1"/>
  <c r="G92" i="138" s="1"/>
  <c r="G93" i="138" s="1"/>
  <c r="G94" i="138" s="1"/>
  <c r="G95" i="138" s="1"/>
  <c r="G96" i="138" s="1"/>
  <c r="G97" i="138" s="1"/>
  <c r="G98" i="138" s="1"/>
  <c r="G99" i="138" s="1"/>
  <c r="G100" i="138" s="1"/>
  <c r="G101" i="138" s="1"/>
  <c r="G102" i="138" s="1"/>
  <c r="G103" i="138" s="1"/>
  <c r="G104" i="138" s="1"/>
  <c r="G105" i="138" s="1"/>
  <c r="G106" i="138" s="1"/>
  <c r="G107" i="138" s="1"/>
  <c r="G108" i="138" s="1"/>
  <c r="A4" i="138"/>
  <c r="I11" i="137"/>
  <c r="I10" i="137"/>
  <c r="N24" i="102"/>
  <c r="F110" i="137"/>
  <c r="E110" i="137"/>
  <c r="N59" i="137"/>
  <c r="N58" i="137"/>
  <c r="N54" i="137"/>
  <c r="N55" i="137" s="1"/>
  <c r="N46" i="137"/>
  <c r="N47" i="137" s="1"/>
  <c r="N48" i="137" s="1"/>
  <c r="I46" i="137"/>
  <c r="I45" i="137"/>
  <c r="I44" i="137"/>
  <c r="I43" i="137"/>
  <c r="I42" i="137"/>
  <c r="I41" i="137"/>
  <c r="M40" i="137"/>
  <c r="I40" i="137"/>
  <c r="R39" i="137"/>
  <c r="O39" i="137"/>
  <c r="O40" i="137" s="1"/>
  <c r="M39" i="137"/>
  <c r="R35" i="137"/>
  <c r="R36" i="137" s="1"/>
  <c r="N32" i="137"/>
  <c r="I20" i="137"/>
  <c r="I19" i="137"/>
  <c r="I18" i="137"/>
  <c r="A11" i="137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34" i="137" s="1"/>
  <c r="A35" i="137" s="1"/>
  <c r="A36" i="137" s="1"/>
  <c r="A37" i="137" s="1"/>
  <c r="A38" i="137" s="1"/>
  <c r="A39" i="137" s="1"/>
  <c r="A40" i="137" s="1"/>
  <c r="A41" i="137" s="1"/>
  <c r="A42" i="137" s="1"/>
  <c r="A43" i="137" s="1"/>
  <c r="A44" i="137" s="1"/>
  <c r="A45" i="137" s="1"/>
  <c r="A46" i="137" s="1"/>
  <c r="A47" i="137" s="1"/>
  <c r="A48" i="137" s="1"/>
  <c r="A49" i="137" s="1"/>
  <c r="A50" i="137" s="1"/>
  <c r="A51" i="137" s="1"/>
  <c r="A52" i="137" s="1"/>
  <c r="A53" i="137" s="1"/>
  <c r="A54" i="137" s="1"/>
  <c r="A55" i="137" s="1"/>
  <c r="A56" i="137" s="1"/>
  <c r="A57" i="137" s="1"/>
  <c r="A58" i="137" s="1"/>
  <c r="A59" i="137" s="1"/>
  <c r="A60" i="137" s="1"/>
  <c r="A61" i="137" s="1"/>
  <c r="A62" i="137" s="1"/>
  <c r="A63" i="137" s="1"/>
  <c r="A64" i="137" s="1"/>
  <c r="A65" i="137" s="1"/>
  <c r="A66" i="137" s="1"/>
  <c r="A67" i="137" s="1"/>
  <c r="A68" i="137" s="1"/>
  <c r="A69" i="137" s="1"/>
  <c r="A70" i="137" s="1"/>
  <c r="A71" i="137" s="1"/>
  <c r="A72" i="137" s="1"/>
  <c r="A73" i="137" s="1"/>
  <c r="A74" i="137" s="1"/>
  <c r="A75" i="137" s="1"/>
  <c r="A76" i="137" s="1"/>
  <c r="A77" i="137" s="1"/>
  <c r="A78" i="137" s="1"/>
  <c r="A79" i="137" s="1"/>
  <c r="A80" i="137" s="1"/>
  <c r="A81" i="137" s="1"/>
  <c r="A82" i="137" s="1"/>
  <c r="A83" i="137" s="1"/>
  <c r="A84" i="137" s="1"/>
  <c r="A85" i="137" s="1"/>
  <c r="A86" i="137" s="1"/>
  <c r="A87" i="137" s="1"/>
  <c r="A88" i="137" s="1"/>
  <c r="A89" i="137" s="1"/>
  <c r="A90" i="137" s="1"/>
  <c r="A91" i="137" s="1"/>
  <c r="A92" i="137" s="1"/>
  <c r="A93" i="137" s="1"/>
  <c r="A94" i="137" s="1"/>
  <c r="A95" i="137" s="1"/>
  <c r="A96" i="137" s="1"/>
  <c r="A97" i="137" s="1"/>
  <c r="A98" i="137" s="1"/>
  <c r="A99" i="137" s="1"/>
  <c r="A100" i="137" s="1"/>
  <c r="A101" i="137" s="1"/>
  <c r="A102" i="137" s="1"/>
  <c r="A103" i="137" s="1"/>
  <c r="A104" i="137" s="1"/>
  <c r="A105" i="137" s="1"/>
  <c r="A106" i="137" s="1"/>
  <c r="A107" i="137" s="1"/>
  <c r="A108" i="137" s="1"/>
  <c r="A109" i="137" s="1"/>
  <c r="L9" i="137"/>
  <c r="G9" i="137"/>
  <c r="G10" i="137" s="1"/>
  <c r="G11" i="137" s="1"/>
  <c r="G12" i="137" s="1"/>
  <c r="G13" i="137" s="1"/>
  <c r="G14" i="137" s="1"/>
  <c r="G15" i="137" s="1"/>
  <c r="G16" i="137" s="1"/>
  <c r="G17" i="137" s="1"/>
  <c r="G18" i="137" s="1"/>
  <c r="G19" i="137" s="1"/>
  <c r="G20" i="137" s="1"/>
  <c r="G21" i="137" s="1"/>
  <c r="G22" i="137" s="1"/>
  <c r="G23" i="137" s="1"/>
  <c r="G24" i="137" s="1"/>
  <c r="G25" i="137" s="1"/>
  <c r="G26" i="137" s="1"/>
  <c r="G27" i="137" s="1"/>
  <c r="G28" i="137" s="1"/>
  <c r="G29" i="137" s="1"/>
  <c r="G30" i="137" s="1"/>
  <c r="G31" i="137" s="1"/>
  <c r="G32" i="137" s="1"/>
  <c r="G33" i="137" s="1"/>
  <c r="G34" i="137" s="1"/>
  <c r="G35" i="137" s="1"/>
  <c r="G36" i="137" s="1"/>
  <c r="G37" i="137" s="1"/>
  <c r="G38" i="137" s="1"/>
  <c r="G39" i="137" s="1"/>
  <c r="G40" i="137" s="1"/>
  <c r="G41" i="137" s="1"/>
  <c r="G42" i="137" s="1"/>
  <c r="G43" i="137" s="1"/>
  <c r="G44" i="137" s="1"/>
  <c r="G45" i="137" s="1"/>
  <c r="G46" i="137" s="1"/>
  <c r="G47" i="137" s="1"/>
  <c r="G48" i="137" s="1"/>
  <c r="G49" i="137" s="1"/>
  <c r="G50" i="137" s="1"/>
  <c r="G51" i="137" s="1"/>
  <c r="G52" i="137" s="1"/>
  <c r="G53" i="137" s="1"/>
  <c r="G54" i="137" s="1"/>
  <c r="G55" i="137" s="1"/>
  <c r="G56" i="137" s="1"/>
  <c r="G57" i="137" s="1"/>
  <c r="G58" i="137" s="1"/>
  <c r="G59" i="137" s="1"/>
  <c r="G60" i="137" s="1"/>
  <c r="G61" i="137" s="1"/>
  <c r="G62" i="137" s="1"/>
  <c r="G63" i="137" s="1"/>
  <c r="G64" i="137" s="1"/>
  <c r="G65" i="137" s="1"/>
  <c r="G66" i="137" s="1"/>
  <c r="G67" i="137" s="1"/>
  <c r="G68" i="137" s="1"/>
  <c r="G69" i="137" s="1"/>
  <c r="G70" i="137" s="1"/>
  <c r="G71" i="137" s="1"/>
  <c r="G72" i="137" s="1"/>
  <c r="G73" i="137" s="1"/>
  <c r="G74" i="137" s="1"/>
  <c r="G75" i="137" s="1"/>
  <c r="G76" i="137" s="1"/>
  <c r="G77" i="137" s="1"/>
  <c r="G78" i="137" s="1"/>
  <c r="G79" i="137" s="1"/>
  <c r="G80" i="137" s="1"/>
  <c r="G81" i="137" s="1"/>
  <c r="G82" i="137" s="1"/>
  <c r="G83" i="137" s="1"/>
  <c r="G84" i="137" s="1"/>
  <c r="G85" i="137" s="1"/>
  <c r="G86" i="137" s="1"/>
  <c r="G87" i="137" s="1"/>
  <c r="G88" i="137" s="1"/>
  <c r="G89" i="137" s="1"/>
  <c r="G90" i="137" s="1"/>
  <c r="G91" i="137" s="1"/>
  <c r="G92" i="137" s="1"/>
  <c r="G93" i="137" s="1"/>
  <c r="G94" i="137" s="1"/>
  <c r="G95" i="137" s="1"/>
  <c r="G96" i="137" s="1"/>
  <c r="G97" i="137" s="1"/>
  <c r="G98" i="137" s="1"/>
  <c r="G99" i="137" s="1"/>
  <c r="G100" i="137" s="1"/>
  <c r="G101" i="137" s="1"/>
  <c r="G102" i="137" s="1"/>
  <c r="G103" i="137" s="1"/>
  <c r="G104" i="137" s="1"/>
  <c r="G105" i="137" s="1"/>
  <c r="G106" i="137" s="1"/>
  <c r="G107" i="137" s="1"/>
  <c r="G108" i="137" s="1"/>
  <c r="G109" i="137" s="1"/>
  <c r="A4" i="137"/>
  <c r="J108" i="136"/>
  <c r="F108" i="136"/>
  <c r="E108" i="136"/>
  <c r="G108" i="136" s="1"/>
  <c r="A11" i="136"/>
  <c r="A12" i="136" s="1"/>
  <c r="A13" i="136" s="1"/>
  <c r="A14" i="136" s="1"/>
  <c r="A15" i="136" s="1"/>
  <c r="A16" i="136" s="1"/>
  <c r="A17" i="136" s="1"/>
  <c r="A18" i="136" s="1"/>
  <c r="A19" i="136" s="1"/>
  <c r="A20" i="136" s="1"/>
  <c r="A21" i="136" s="1"/>
  <c r="A22" i="136" s="1"/>
  <c r="A23" i="136" s="1"/>
  <c r="A24" i="136" s="1"/>
  <c r="A25" i="136" s="1"/>
  <c r="A26" i="136" s="1"/>
  <c r="A27" i="136" s="1"/>
  <c r="A28" i="136" s="1"/>
  <c r="A29" i="136" s="1"/>
  <c r="A30" i="136" s="1"/>
  <c r="A31" i="136" s="1"/>
  <c r="A32" i="136" s="1"/>
  <c r="A33" i="136" s="1"/>
  <c r="A34" i="136" s="1"/>
  <c r="A35" i="136" s="1"/>
  <c r="A36" i="136" s="1"/>
  <c r="A37" i="136" s="1"/>
  <c r="A38" i="136" s="1"/>
  <c r="A39" i="136" s="1"/>
  <c r="A40" i="136" s="1"/>
  <c r="A41" i="136" s="1"/>
  <c r="A42" i="136" s="1"/>
  <c r="A43" i="136" s="1"/>
  <c r="A44" i="136" s="1"/>
  <c r="A45" i="136" s="1"/>
  <c r="A46" i="136" s="1"/>
  <c r="A47" i="136" s="1"/>
  <c r="A48" i="136" s="1"/>
  <c r="A49" i="136" s="1"/>
  <c r="A50" i="136" s="1"/>
  <c r="A51" i="136" s="1"/>
  <c r="A52" i="136" s="1"/>
  <c r="A53" i="136" s="1"/>
  <c r="A54" i="136" s="1"/>
  <c r="A55" i="136" s="1"/>
  <c r="A56" i="136" s="1"/>
  <c r="A57" i="136" s="1"/>
  <c r="A58" i="136" s="1"/>
  <c r="A59" i="136" s="1"/>
  <c r="A60" i="136" s="1"/>
  <c r="A61" i="136" s="1"/>
  <c r="A62" i="136" s="1"/>
  <c r="A63" i="136" s="1"/>
  <c r="A64" i="136" s="1"/>
  <c r="A65" i="136" s="1"/>
  <c r="A66" i="136" s="1"/>
  <c r="A67" i="136" s="1"/>
  <c r="A68" i="136" s="1"/>
  <c r="A69" i="136" s="1"/>
  <c r="A70" i="136" s="1"/>
  <c r="A71" i="136" s="1"/>
  <c r="A72" i="136" s="1"/>
  <c r="A73" i="136" s="1"/>
  <c r="A74" i="136" s="1"/>
  <c r="A75" i="136" s="1"/>
  <c r="A76" i="136" s="1"/>
  <c r="A77" i="136" s="1"/>
  <c r="A78" i="136" s="1"/>
  <c r="A79" i="136" s="1"/>
  <c r="A80" i="136" s="1"/>
  <c r="A81" i="136" s="1"/>
  <c r="A82" i="136" s="1"/>
  <c r="A83" i="136" s="1"/>
  <c r="A84" i="136" s="1"/>
  <c r="A85" i="136" s="1"/>
  <c r="A86" i="136" s="1"/>
  <c r="A87" i="136" s="1"/>
  <c r="A88" i="136" s="1"/>
  <c r="A89" i="136" s="1"/>
  <c r="A90" i="136" s="1"/>
  <c r="A91" i="136" s="1"/>
  <c r="A92" i="136" s="1"/>
  <c r="A93" i="136" s="1"/>
  <c r="A105" i="136" s="1"/>
  <c r="A106" i="136" s="1"/>
  <c r="A107" i="136" s="1"/>
  <c r="L10" i="136"/>
  <c r="A10" i="136"/>
  <c r="G9" i="136"/>
  <c r="G10" i="136" s="1"/>
  <c r="G11" i="136" s="1"/>
  <c r="G12" i="136" s="1"/>
  <c r="G13" i="136" s="1"/>
  <c r="G14" i="136" s="1"/>
  <c r="G15" i="136" s="1"/>
  <c r="G16" i="136" s="1"/>
  <c r="G17" i="136" s="1"/>
  <c r="G18" i="136" s="1"/>
  <c r="G19" i="136" s="1"/>
  <c r="G20" i="136" s="1"/>
  <c r="G21" i="136" s="1"/>
  <c r="G22" i="136" s="1"/>
  <c r="G23" i="136" s="1"/>
  <c r="G24" i="136" s="1"/>
  <c r="G25" i="136" s="1"/>
  <c r="G26" i="136" s="1"/>
  <c r="G27" i="136" s="1"/>
  <c r="G28" i="136" s="1"/>
  <c r="G29" i="136" s="1"/>
  <c r="G30" i="136" s="1"/>
  <c r="G31" i="136" s="1"/>
  <c r="G32" i="136" s="1"/>
  <c r="G33" i="136" s="1"/>
  <c r="G34" i="136" s="1"/>
  <c r="G35" i="136" s="1"/>
  <c r="G36" i="136" s="1"/>
  <c r="G37" i="136" s="1"/>
  <c r="G38" i="136" s="1"/>
  <c r="G39" i="136" s="1"/>
  <c r="G40" i="136" s="1"/>
  <c r="G41" i="136" s="1"/>
  <c r="G42" i="136" s="1"/>
  <c r="G43" i="136" s="1"/>
  <c r="G44" i="136" s="1"/>
  <c r="G45" i="136" s="1"/>
  <c r="G46" i="136" s="1"/>
  <c r="G47" i="136" s="1"/>
  <c r="G48" i="136" s="1"/>
  <c r="G49" i="136" s="1"/>
  <c r="G50" i="136" s="1"/>
  <c r="G51" i="136" s="1"/>
  <c r="G52" i="136" s="1"/>
  <c r="G53" i="136" s="1"/>
  <c r="G54" i="136" s="1"/>
  <c r="G55" i="136" s="1"/>
  <c r="G56" i="136" s="1"/>
  <c r="G57" i="136" s="1"/>
  <c r="G58" i="136" s="1"/>
  <c r="G59" i="136" s="1"/>
  <c r="G60" i="136" s="1"/>
  <c r="G61" i="136" s="1"/>
  <c r="G62" i="136" s="1"/>
  <c r="G63" i="136" s="1"/>
  <c r="G64" i="136" s="1"/>
  <c r="G65" i="136" s="1"/>
  <c r="G66" i="136" s="1"/>
  <c r="G67" i="136" s="1"/>
  <c r="G68" i="136" s="1"/>
  <c r="G69" i="136" s="1"/>
  <c r="G70" i="136" s="1"/>
  <c r="G71" i="136" s="1"/>
  <c r="G72" i="136" s="1"/>
  <c r="G73" i="136" s="1"/>
  <c r="G74" i="136" s="1"/>
  <c r="G75" i="136" s="1"/>
  <c r="G76" i="136" s="1"/>
  <c r="G77" i="136" s="1"/>
  <c r="G78" i="136" s="1"/>
  <c r="G79" i="136" s="1"/>
  <c r="G80" i="136" s="1"/>
  <c r="G81" i="136" s="1"/>
  <c r="G82" i="136" s="1"/>
  <c r="G83" i="136" s="1"/>
  <c r="G84" i="136" s="1"/>
  <c r="G85" i="136" s="1"/>
  <c r="G86" i="136" s="1"/>
  <c r="G87" i="136" s="1"/>
  <c r="G88" i="136" s="1"/>
  <c r="G89" i="136" s="1"/>
  <c r="G90" i="136" s="1"/>
  <c r="G91" i="136" s="1"/>
  <c r="G92" i="136" s="1"/>
  <c r="G93" i="136" s="1"/>
  <c r="G94" i="136" s="1"/>
  <c r="G95" i="136" s="1"/>
  <c r="G96" i="136" s="1"/>
  <c r="G97" i="136" s="1"/>
  <c r="G98" i="136" s="1"/>
  <c r="G99" i="136" s="1"/>
  <c r="G100" i="136" s="1"/>
  <c r="G101" i="136" s="1"/>
  <c r="G102" i="136" s="1"/>
  <c r="G103" i="136" s="1"/>
  <c r="G104" i="136" s="1"/>
  <c r="G105" i="136" s="1"/>
  <c r="G106" i="136" s="1"/>
  <c r="G107" i="136" s="1"/>
  <c r="A4" i="136"/>
  <c r="K109" i="135"/>
  <c r="F109" i="135"/>
  <c r="E109" i="135"/>
  <c r="M37" i="135"/>
  <c r="L32" i="135"/>
  <c r="L28" i="135"/>
  <c r="Q21" i="135"/>
  <c r="M11" i="135"/>
  <c r="A10" i="135"/>
  <c r="A11" i="135" s="1"/>
  <c r="A12" i="135" s="1"/>
  <c r="A13" i="135" s="1"/>
  <c r="A14" i="135" s="1"/>
  <c r="A15" i="135" s="1"/>
  <c r="A16" i="135" s="1"/>
  <c r="A17" i="135" s="1"/>
  <c r="G9" i="135"/>
  <c r="G10" i="135" s="1"/>
  <c r="G11" i="135" s="1"/>
  <c r="G12" i="135" s="1"/>
  <c r="G13" i="135" s="1"/>
  <c r="G14" i="135" s="1"/>
  <c r="G15" i="135" s="1"/>
  <c r="G16" i="135" s="1"/>
  <c r="G17" i="135" s="1"/>
  <c r="A4" i="135"/>
  <c r="F110" i="134"/>
  <c r="E110" i="134"/>
  <c r="N58" i="134"/>
  <c r="N59" i="134" s="1"/>
  <c r="N55" i="134"/>
  <c r="N54" i="134"/>
  <c r="N48" i="134"/>
  <c r="N47" i="134"/>
  <c r="N46" i="134"/>
  <c r="I46" i="134"/>
  <c r="I45" i="134"/>
  <c r="I44" i="134"/>
  <c r="I43" i="134"/>
  <c r="I42" i="134"/>
  <c r="I41" i="134"/>
  <c r="I40" i="134"/>
  <c r="R39" i="134"/>
  <c r="O39" i="134"/>
  <c r="O40" i="134" s="1"/>
  <c r="M39" i="134"/>
  <c r="M40" i="134" s="1"/>
  <c r="R36" i="134"/>
  <c r="R35" i="134"/>
  <c r="N32" i="134"/>
  <c r="N31" i="134"/>
  <c r="I20" i="134"/>
  <c r="I19" i="134"/>
  <c r="I18" i="134"/>
  <c r="A12" i="134"/>
  <c r="A13" i="134" s="1"/>
  <c r="A14" i="134" s="1"/>
  <c r="A15" i="134" s="1"/>
  <c r="A16" i="134" s="1"/>
  <c r="A17" i="134" s="1"/>
  <c r="A18" i="134" s="1"/>
  <c r="A19" i="134" s="1"/>
  <c r="A20" i="134" s="1"/>
  <c r="A21" i="134" s="1"/>
  <c r="A22" i="134" s="1"/>
  <c r="A23" i="134" s="1"/>
  <c r="A24" i="134" s="1"/>
  <c r="A25" i="134" s="1"/>
  <c r="A26" i="134" s="1"/>
  <c r="A27" i="134" s="1"/>
  <c r="A28" i="134" s="1"/>
  <c r="A29" i="134" s="1"/>
  <c r="A30" i="134" s="1"/>
  <c r="A31" i="134" s="1"/>
  <c r="A32" i="134" s="1"/>
  <c r="A33" i="134" s="1"/>
  <c r="A34" i="134" s="1"/>
  <c r="A35" i="134" s="1"/>
  <c r="A36" i="134" s="1"/>
  <c r="A37" i="134" s="1"/>
  <c r="A38" i="134" s="1"/>
  <c r="A39" i="134" s="1"/>
  <c r="A40" i="134" s="1"/>
  <c r="A41" i="134" s="1"/>
  <c r="A42" i="134" s="1"/>
  <c r="A43" i="134" s="1"/>
  <c r="A44" i="134" s="1"/>
  <c r="A45" i="134" s="1"/>
  <c r="A46" i="134" s="1"/>
  <c r="A47" i="134" s="1"/>
  <c r="A48" i="134" s="1"/>
  <c r="A49" i="134" s="1"/>
  <c r="A50" i="134" s="1"/>
  <c r="A51" i="134" s="1"/>
  <c r="A52" i="134" s="1"/>
  <c r="A53" i="134" s="1"/>
  <c r="A54" i="134" s="1"/>
  <c r="A55" i="134" s="1"/>
  <c r="A56" i="134" s="1"/>
  <c r="A57" i="134" s="1"/>
  <c r="A58" i="134" s="1"/>
  <c r="A59" i="134" s="1"/>
  <c r="A60" i="134" s="1"/>
  <c r="A61" i="134" s="1"/>
  <c r="A62" i="134" s="1"/>
  <c r="A63" i="134" s="1"/>
  <c r="A64" i="134" s="1"/>
  <c r="A65" i="134" s="1"/>
  <c r="A66" i="134" s="1"/>
  <c r="A67" i="134" s="1"/>
  <c r="A68" i="134" s="1"/>
  <c r="A69" i="134" s="1"/>
  <c r="A70" i="134" s="1"/>
  <c r="A71" i="134" s="1"/>
  <c r="A72" i="134" s="1"/>
  <c r="A73" i="134" s="1"/>
  <c r="A74" i="134" s="1"/>
  <c r="A75" i="134" s="1"/>
  <c r="A76" i="134" s="1"/>
  <c r="A77" i="134" s="1"/>
  <c r="A78" i="134" s="1"/>
  <c r="A79" i="134" s="1"/>
  <c r="A80" i="134" s="1"/>
  <c r="A81" i="134" s="1"/>
  <c r="A82" i="134" s="1"/>
  <c r="A83" i="134" s="1"/>
  <c r="A84" i="134" s="1"/>
  <c r="A85" i="134" s="1"/>
  <c r="A86" i="134" s="1"/>
  <c r="A87" i="134" s="1"/>
  <c r="A88" i="134" s="1"/>
  <c r="A89" i="134" s="1"/>
  <c r="A90" i="134" s="1"/>
  <c r="A91" i="134" s="1"/>
  <c r="A92" i="134" s="1"/>
  <c r="A93" i="134" s="1"/>
  <c r="A94" i="134" s="1"/>
  <c r="A95" i="134" s="1"/>
  <c r="A96" i="134" s="1"/>
  <c r="A97" i="134" s="1"/>
  <c r="A98" i="134" s="1"/>
  <c r="A99" i="134" s="1"/>
  <c r="A100" i="134" s="1"/>
  <c r="A101" i="134" s="1"/>
  <c r="A102" i="134" s="1"/>
  <c r="A103" i="134" s="1"/>
  <c r="A104" i="134" s="1"/>
  <c r="A105" i="134" s="1"/>
  <c r="A106" i="134" s="1"/>
  <c r="A107" i="134" s="1"/>
  <c r="A108" i="134" s="1"/>
  <c r="A109" i="134" s="1"/>
  <c r="A11" i="134"/>
  <c r="L9" i="134"/>
  <c r="J12" i="134" s="1"/>
  <c r="G9" i="134"/>
  <c r="G10" i="134" s="1"/>
  <c r="G11" i="134" s="1"/>
  <c r="G12" i="134" s="1"/>
  <c r="G13" i="134" s="1"/>
  <c r="G14" i="134" s="1"/>
  <c r="G15" i="134" s="1"/>
  <c r="G16" i="134" s="1"/>
  <c r="G17" i="134" s="1"/>
  <c r="G18" i="134" s="1"/>
  <c r="G19" i="134" s="1"/>
  <c r="G20" i="134" s="1"/>
  <c r="G21" i="134" s="1"/>
  <c r="G22" i="134" s="1"/>
  <c r="G23" i="134" s="1"/>
  <c r="G24" i="134" s="1"/>
  <c r="G25" i="134" s="1"/>
  <c r="G26" i="134" s="1"/>
  <c r="G27" i="134" s="1"/>
  <c r="G28" i="134" s="1"/>
  <c r="G29" i="134" s="1"/>
  <c r="G30" i="134" s="1"/>
  <c r="G31" i="134" s="1"/>
  <c r="G32" i="134" s="1"/>
  <c r="G33" i="134" s="1"/>
  <c r="G34" i="134" s="1"/>
  <c r="G35" i="134" s="1"/>
  <c r="G36" i="134" s="1"/>
  <c r="G37" i="134" s="1"/>
  <c r="G38" i="134" s="1"/>
  <c r="G39" i="134" s="1"/>
  <c r="G40" i="134" s="1"/>
  <c r="G41" i="134" s="1"/>
  <c r="G42" i="134" s="1"/>
  <c r="G43" i="134" s="1"/>
  <c r="G44" i="134" s="1"/>
  <c r="G45" i="134" s="1"/>
  <c r="G46" i="134" s="1"/>
  <c r="G47" i="134" s="1"/>
  <c r="G48" i="134" s="1"/>
  <c r="G49" i="134" s="1"/>
  <c r="G50" i="134" s="1"/>
  <c r="G51" i="134" s="1"/>
  <c r="G52" i="134" s="1"/>
  <c r="G53" i="134" s="1"/>
  <c r="G54" i="134" s="1"/>
  <c r="G55" i="134" s="1"/>
  <c r="G56" i="134" s="1"/>
  <c r="G57" i="134" s="1"/>
  <c r="G58" i="134" s="1"/>
  <c r="G59" i="134" s="1"/>
  <c r="G60" i="134" s="1"/>
  <c r="G61" i="134" s="1"/>
  <c r="G62" i="134" s="1"/>
  <c r="G63" i="134" s="1"/>
  <c r="G64" i="134" s="1"/>
  <c r="G65" i="134" s="1"/>
  <c r="G66" i="134" s="1"/>
  <c r="G67" i="134" s="1"/>
  <c r="G68" i="134" s="1"/>
  <c r="G69" i="134" s="1"/>
  <c r="G70" i="134" s="1"/>
  <c r="G71" i="134" s="1"/>
  <c r="G72" i="134" s="1"/>
  <c r="G73" i="134" s="1"/>
  <c r="G74" i="134" s="1"/>
  <c r="G75" i="134" s="1"/>
  <c r="G76" i="134" s="1"/>
  <c r="G77" i="134" s="1"/>
  <c r="G78" i="134" s="1"/>
  <c r="G79" i="134" s="1"/>
  <c r="G80" i="134" s="1"/>
  <c r="G81" i="134" s="1"/>
  <c r="G82" i="134" s="1"/>
  <c r="G83" i="134" s="1"/>
  <c r="G84" i="134" s="1"/>
  <c r="G85" i="134" s="1"/>
  <c r="G86" i="134" s="1"/>
  <c r="G87" i="134" s="1"/>
  <c r="G88" i="134" s="1"/>
  <c r="G89" i="134" s="1"/>
  <c r="G90" i="134" s="1"/>
  <c r="G91" i="134" s="1"/>
  <c r="G92" i="134" s="1"/>
  <c r="G93" i="134" s="1"/>
  <c r="G94" i="134" s="1"/>
  <c r="G95" i="134" s="1"/>
  <c r="G96" i="134" s="1"/>
  <c r="G97" i="134" s="1"/>
  <c r="G98" i="134" s="1"/>
  <c r="G99" i="134" s="1"/>
  <c r="G100" i="134" s="1"/>
  <c r="G101" i="134" s="1"/>
  <c r="G102" i="134" s="1"/>
  <c r="G103" i="134" s="1"/>
  <c r="G104" i="134" s="1"/>
  <c r="G105" i="134" s="1"/>
  <c r="G106" i="134" s="1"/>
  <c r="G107" i="134" s="1"/>
  <c r="G108" i="134" s="1"/>
  <c r="G109" i="134" s="1"/>
  <c r="A4" i="134"/>
  <c r="O41" i="133"/>
  <c r="O40" i="133"/>
  <c r="M30" i="133"/>
  <c r="M26" i="133"/>
  <c r="M27" i="133" s="1"/>
  <c r="F116" i="133"/>
  <c r="M20" i="133"/>
  <c r="M17" i="133"/>
  <c r="E116" i="133"/>
  <c r="A11" i="133"/>
  <c r="A12" i="133" s="1"/>
  <c r="A13" i="133" s="1"/>
  <c r="A14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A60" i="133" s="1"/>
  <c r="A61" i="133" s="1"/>
  <c r="A62" i="133" s="1"/>
  <c r="A63" i="133" s="1"/>
  <c r="A64" i="133" s="1"/>
  <c r="A65" i="133" s="1"/>
  <c r="A66" i="133" s="1"/>
  <c r="A67" i="133" s="1"/>
  <c r="A68" i="133" s="1"/>
  <c r="A69" i="133" s="1"/>
  <c r="A70" i="133" s="1"/>
  <c r="A71" i="133" s="1"/>
  <c r="A72" i="133" s="1"/>
  <c r="A73" i="133" s="1"/>
  <c r="A74" i="133" s="1"/>
  <c r="A75" i="133" s="1"/>
  <c r="A76" i="133" s="1"/>
  <c r="A77" i="133" s="1"/>
  <c r="A78" i="133" s="1"/>
  <c r="A79" i="133" s="1"/>
  <c r="A80" i="133" s="1"/>
  <c r="A81" i="133" s="1"/>
  <c r="A82" i="133" s="1"/>
  <c r="A83" i="133" s="1"/>
  <c r="A84" i="133" s="1"/>
  <c r="A85" i="133" s="1"/>
  <c r="A86" i="133" s="1"/>
  <c r="A87" i="133" s="1"/>
  <c r="A88" i="133" s="1"/>
  <c r="A89" i="133" s="1"/>
  <c r="A90" i="133" s="1"/>
  <c r="A91" i="133" s="1"/>
  <c r="A92" i="133" s="1"/>
  <c r="A93" i="133" s="1"/>
  <c r="A94" i="133" s="1"/>
  <c r="A95" i="133" s="1"/>
  <c r="A96" i="133" s="1"/>
  <c r="A97" i="133" s="1"/>
  <c r="A98" i="133" s="1"/>
  <c r="A99" i="133" s="1"/>
  <c r="A100" i="133" s="1"/>
  <c r="A101" i="133" s="1"/>
  <c r="A102" i="133" s="1"/>
  <c r="A103" i="133" s="1"/>
  <c r="A104" i="133" s="1"/>
  <c r="A105" i="133" s="1"/>
  <c r="A106" i="133" s="1"/>
  <c r="A107" i="133" s="1"/>
  <c r="A108" i="133" s="1"/>
  <c r="A109" i="133" s="1"/>
  <c r="A110" i="133" s="1"/>
  <c r="A111" i="133" s="1"/>
  <c r="A112" i="133" s="1"/>
  <c r="A113" i="133" s="1"/>
  <c r="A114" i="133" s="1"/>
  <c r="A115" i="133" s="1"/>
  <c r="A10" i="133"/>
  <c r="K9" i="133"/>
  <c r="G9" i="133"/>
  <c r="G10" i="133" s="1"/>
  <c r="G11" i="133" s="1"/>
  <c r="G12" i="133" s="1"/>
  <c r="G13" i="133" s="1"/>
  <c r="G14" i="133" s="1"/>
  <c r="G15" i="133" s="1"/>
  <c r="G16" i="133" s="1"/>
  <c r="G17" i="133" s="1"/>
  <c r="G18" i="133" s="1"/>
  <c r="G19" i="133" s="1"/>
  <c r="G20" i="133" s="1"/>
  <c r="G21" i="133" s="1"/>
  <c r="G22" i="133" s="1"/>
  <c r="G23" i="133" s="1"/>
  <c r="G24" i="133" s="1"/>
  <c r="A4" i="133"/>
  <c r="I20" i="78"/>
  <c r="I33" i="107"/>
  <c r="I32" i="107"/>
  <c r="I31" i="107"/>
  <c r="J10" i="132"/>
  <c r="G10" i="132"/>
  <c r="G11" i="132" s="1"/>
  <c r="G12" i="132" s="1"/>
  <c r="G13" i="132" s="1"/>
  <c r="G14" i="132" s="1"/>
  <c r="G15" i="132" s="1"/>
  <c r="G16" i="132" s="1"/>
  <c r="G17" i="132" s="1"/>
  <c r="G18" i="132" s="1"/>
  <c r="G19" i="132" s="1"/>
  <c r="G20" i="132" s="1"/>
  <c r="F32" i="107"/>
  <c r="I19" i="78"/>
  <c r="J11" i="132"/>
  <c r="Q15" i="129"/>
  <c r="Q14" i="129"/>
  <c r="N23" i="129"/>
  <c r="P22" i="129"/>
  <c r="O22" i="129"/>
  <c r="N22" i="129"/>
  <c r="N21" i="129"/>
  <c r="N20" i="129"/>
  <c r="N19" i="129"/>
  <c r="L9" i="132"/>
  <c r="J12" i="132" s="1"/>
  <c r="F110" i="132"/>
  <c r="E110" i="132"/>
  <c r="N58" i="132"/>
  <c r="N59" i="132" s="1"/>
  <c r="N54" i="132"/>
  <c r="N55" i="132" s="1"/>
  <c r="N46" i="132"/>
  <c r="N47" i="132" s="1"/>
  <c r="N48" i="132" s="1"/>
  <c r="I46" i="132"/>
  <c r="I45" i="132"/>
  <c r="I44" i="132"/>
  <c r="I43" i="132"/>
  <c r="I42" i="132"/>
  <c r="I41" i="132"/>
  <c r="I40" i="132"/>
  <c r="R39" i="132"/>
  <c r="O39" i="132"/>
  <c r="O40" i="132" s="1"/>
  <c r="M39" i="132"/>
  <c r="M40" i="132" s="1"/>
  <c r="R35" i="132"/>
  <c r="R36" i="132" s="1"/>
  <c r="N31" i="132"/>
  <c r="N32" i="132" s="1"/>
  <c r="I20" i="132"/>
  <c r="A11" i="132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A60" i="132" s="1"/>
  <c r="A61" i="132" s="1"/>
  <c r="A62" i="132" s="1"/>
  <c r="A63" i="132" s="1"/>
  <c r="A64" i="132" s="1"/>
  <c r="A65" i="132" s="1"/>
  <c r="A66" i="132" s="1"/>
  <c r="A67" i="132" s="1"/>
  <c r="A68" i="132" s="1"/>
  <c r="A69" i="132" s="1"/>
  <c r="A70" i="132" s="1"/>
  <c r="A71" i="132" s="1"/>
  <c r="A72" i="132" s="1"/>
  <c r="A73" i="132" s="1"/>
  <c r="A74" i="132" s="1"/>
  <c r="A75" i="132" s="1"/>
  <c r="A76" i="132" s="1"/>
  <c r="A77" i="132" s="1"/>
  <c r="A78" i="132" s="1"/>
  <c r="A79" i="132" s="1"/>
  <c r="A80" i="132" s="1"/>
  <c r="A81" i="132" s="1"/>
  <c r="A82" i="132" s="1"/>
  <c r="A83" i="132" s="1"/>
  <c r="A84" i="132" s="1"/>
  <c r="A85" i="132" s="1"/>
  <c r="A86" i="132" s="1"/>
  <c r="A87" i="132" s="1"/>
  <c r="A88" i="132" s="1"/>
  <c r="A89" i="132" s="1"/>
  <c r="A90" i="132" s="1"/>
  <c r="A91" i="132" s="1"/>
  <c r="A92" i="132" s="1"/>
  <c r="A93" i="132" s="1"/>
  <c r="A94" i="132" s="1"/>
  <c r="A95" i="132" s="1"/>
  <c r="A96" i="132" s="1"/>
  <c r="A97" i="132" s="1"/>
  <c r="A98" i="132" s="1"/>
  <c r="A99" i="132" s="1"/>
  <c r="A100" i="132" s="1"/>
  <c r="A101" i="132" s="1"/>
  <c r="A102" i="132" s="1"/>
  <c r="A103" i="132" s="1"/>
  <c r="A104" i="132" s="1"/>
  <c r="A105" i="132" s="1"/>
  <c r="A106" i="132" s="1"/>
  <c r="A107" i="132" s="1"/>
  <c r="A108" i="132" s="1"/>
  <c r="A109" i="132" s="1"/>
  <c r="G9" i="132"/>
  <c r="A4" i="132"/>
  <c r="I18" i="78"/>
  <c r="I17" i="78"/>
  <c r="M20" i="120"/>
  <c r="F154" i="131"/>
  <c r="E154" i="131"/>
  <c r="N23" i="131"/>
  <c r="N24" i="131" s="1"/>
  <c r="N25" i="131" s="1"/>
  <c r="N26" i="131" s="1"/>
  <c r="N22" i="131"/>
  <c r="G9" i="131"/>
  <c r="G10" i="131" s="1"/>
  <c r="G11" i="131" s="1"/>
  <c r="G12" i="131" s="1"/>
  <c r="G13" i="131" s="1"/>
  <c r="G14" i="131" s="1"/>
  <c r="G15" i="131" s="1"/>
  <c r="G16" i="131" s="1"/>
  <c r="G17" i="131" s="1"/>
  <c r="G18" i="131" s="1"/>
  <c r="G19" i="131" s="1"/>
  <c r="G20" i="131" s="1"/>
  <c r="G21" i="131" s="1"/>
  <c r="G22" i="131" s="1"/>
  <c r="G23" i="131" s="1"/>
  <c r="G24" i="131" s="1"/>
  <c r="G25" i="131" s="1"/>
  <c r="G26" i="131" s="1"/>
  <c r="G27" i="131" s="1"/>
  <c r="G28" i="131" s="1"/>
  <c r="G29" i="131" s="1"/>
  <c r="G30" i="131" s="1"/>
  <c r="G31" i="131" s="1"/>
  <c r="G32" i="131" s="1"/>
  <c r="G33" i="131" s="1"/>
  <c r="G34" i="131" s="1"/>
  <c r="G35" i="131" s="1"/>
  <c r="G36" i="131" s="1"/>
  <c r="G37" i="131" s="1"/>
  <c r="G38" i="131" s="1"/>
  <c r="G39" i="131" s="1"/>
  <c r="G40" i="131" s="1"/>
  <c r="G41" i="131" s="1"/>
  <c r="G42" i="131" s="1"/>
  <c r="G43" i="131" s="1"/>
  <c r="G44" i="131" s="1"/>
  <c r="G45" i="131" s="1"/>
  <c r="G46" i="131" s="1"/>
  <c r="G47" i="131" s="1"/>
  <c r="G48" i="131" s="1"/>
  <c r="G49" i="131" s="1"/>
  <c r="G50" i="131" s="1"/>
  <c r="G51" i="131" s="1"/>
  <c r="G52" i="131" s="1"/>
  <c r="G53" i="131" s="1"/>
  <c r="G54" i="131" s="1"/>
  <c r="G55" i="131" s="1"/>
  <c r="G56" i="131" s="1"/>
  <c r="G57" i="131" s="1"/>
  <c r="G58" i="131" s="1"/>
  <c r="G59" i="131" s="1"/>
  <c r="G60" i="131" s="1"/>
  <c r="G61" i="131" s="1"/>
  <c r="G62" i="131" s="1"/>
  <c r="G63" i="131" s="1"/>
  <c r="G64" i="131" s="1"/>
  <c r="G65" i="131" s="1"/>
  <c r="G66" i="131" s="1"/>
  <c r="G67" i="131" s="1"/>
  <c r="G68" i="131" s="1"/>
  <c r="G69" i="131" s="1"/>
  <c r="G70" i="131" s="1"/>
  <c r="G71" i="131" s="1"/>
  <c r="G72" i="131" s="1"/>
  <c r="G73" i="131" s="1"/>
  <c r="G74" i="131" s="1"/>
  <c r="G75" i="131" s="1"/>
  <c r="G76" i="131" s="1"/>
  <c r="G77" i="131" s="1"/>
  <c r="G78" i="131" s="1"/>
  <c r="G79" i="131" s="1"/>
  <c r="G80" i="131" s="1"/>
  <c r="G81" i="131" s="1"/>
  <c r="G82" i="131" s="1"/>
  <c r="G83" i="131" s="1"/>
  <c r="G84" i="131" s="1"/>
  <c r="G85" i="131" s="1"/>
  <c r="G86" i="131" s="1"/>
  <c r="G87" i="131" s="1"/>
  <c r="G88" i="131" s="1"/>
  <c r="G89" i="131" s="1"/>
  <c r="G90" i="131" s="1"/>
  <c r="G91" i="131" s="1"/>
  <c r="G92" i="131" s="1"/>
  <c r="G93" i="131" s="1"/>
  <c r="G94" i="131" s="1"/>
  <c r="G95" i="131" s="1"/>
  <c r="G96" i="131" s="1"/>
  <c r="G97" i="131" s="1"/>
  <c r="G98" i="131" s="1"/>
  <c r="G99" i="131" s="1"/>
  <c r="G100" i="131" s="1"/>
  <c r="G101" i="131" s="1"/>
  <c r="G102" i="131" s="1"/>
  <c r="G103" i="131" s="1"/>
  <c r="G104" i="131" s="1"/>
  <c r="G105" i="131" s="1"/>
  <c r="G106" i="131" s="1"/>
  <c r="G107" i="131" s="1"/>
  <c r="G108" i="131" s="1"/>
  <c r="G109" i="131" s="1"/>
  <c r="G110" i="131" s="1"/>
  <c r="G111" i="131" s="1"/>
  <c r="G112" i="131" s="1"/>
  <c r="G113" i="131" s="1"/>
  <c r="G114" i="131" s="1"/>
  <c r="G115" i="131" s="1"/>
  <c r="G116" i="131" s="1"/>
  <c r="G117" i="131" s="1"/>
  <c r="G118" i="131" s="1"/>
  <c r="G119" i="131" s="1"/>
  <c r="G120" i="131" s="1"/>
  <c r="G121" i="131" s="1"/>
  <c r="G122" i="131" s="1"/>
  <c r="G123" i="131" s="1"/>
  <c r="G124" i="131" s="1"/>
  <c r="G125" i="131" s="1"/>
  <c r="G126" i="131" s="1"/>
  <c r="G127" i="131" s="1"/>
  <c r="G128" i="131" s="1"/>
  <c r="G129" i="131" s="1"/>
  <c r="G130" i="131" s="1"/>
  <c r="G131" i="131" s="1"/>
  <c r="G132" i="131" s="1"/>
  <c r="G133" i="131" s="1"/>
  <c r="G134" i="131" s="1"/>
  <c r="G135" i="131" s="1"/>
  <c r="G136" i="131" s="1"/>
  <c r="G137" i="131" s="1"/>
  <c r="G138" i="131" s="1"/>
  <c r="G139" i="131" s="1"/>
  <c r="G140" i="131" s="1"/>
  <c r="G141" i="131" s="1"/>
  <c r="G142" i="131" s="1"/>
  <c r="G143" i="131" s="1"/>
  <c r="G144" i="131" s="1"/>
  <c r="G145" i="131" s="1"/>
  <c r="G146" i="131" s="1"/>
  <c r="G147" i="131" s="1"/>
  <c r="G148" i="131" s="1"/>
  <c r="G149" i="131" s="1"/>
  <c r="G150" i="131" s="1"/>
  <c r="G151" i="131" s="1"/>
  <c r="G152" i="131" s="1"/>
  <c r="G153" i="131" s="1"/>
  <c r="A4" i="131"/>
  <c r="G25" i="133" l="1"/>
  <c r="G26" i="133" s="1"/>
  <c r="G27" i="133" s="1"/>
  <c r="G28" i="133" s="1"/>
  <c r="G29" i="133" s="1"/>
  <c r="G30" i="133" s="1"/>
  <c r="G31" i="133" s="1"/>
  <c r="G32" i="133" s="1"/>
  <c r="G33" i="133" s="1"/>
  <c r="G110" i="134"/>
  <c r="G109" i="135"/>
  <c r="I27" i="138"/>
  <c r="I20" i="138"/>
  <c r="I19" i="138"/>
  <c r="I14" i="138"/>
  <c r="I13" i="138"/>
  <c r="I12" i="138"/>
  <c r="I23" i="138"/>
  <c r="I22" i="138"/>
  <c r="I21" i="138"/>
  <c r="I16" i="138"/>
  <c r="I15" i="138"/>
  <c r="I25" i="138"/>
  <c r="I24" i="138"/>
  <c r="I17" i="138"/>
  <c r="I10" i="138"/>
  <c r="I18" i="138"/>
  <c r="I11" i="138"/>
  <c r="I26" i="138"/>
  <c r="G110" i="137"/>
  <c r="J11" i="134"/>
  <c r="J10" i="134"/>
  <c r="J110" i="134"/>
  <c r="G116" i="133"/>
  <c r="G21" i="132"/>
  <c r="G22" i="132" s="1"/>
  <c r="G23" i="132" s="1"/>
  <c r="G24" i="132" s="1"/>
  <c r="G25" i="132" s="1"/>
  <c r="G26" i="132" s="1"/>
  <c r="G27" i="132" s="1"/>
  <c r="G28" i="132" s="1"/>
  <c r="G29" i="132" s="1"/>
  <c r="G30" i="132" s="1"/>
  <c r="G31" i="132" s="1"/>
  <c r="G32" i="132" s="1"/>
  <c r="G33" i="132" s="1"/>
  <c r="G34" i="132" s="1"/>
  <c r="G35" i="132" s="1"/>
  <c r="G36" i="132" s="1"/>
  <c r="G37" i="132" s="1"/>
  <c r="G38" i="132" s="1"/>
  <c r="G39" i="132" s="1"/>
  <c r="G40" i="132" s="1"/>
  <c r="G41" i="132" s="1"/>
  <c r="G42" i="132" s="1"/>
  <c r="G43" i="132" s="1"/>
  <c r="G44" i="132" s="1"/>
  <c r="G45" i="132" s="1"/>
  <c r="G46" i="132" s="1"/>
  <c r="G47" i="132" s="1"/>
  <c r="G48" i="132" s="1"/>
  <c r="G49" i="132" s="1"/>
  <c r="G50" i="132" s="1"/>
  <c r="G51" i="132" s="1"/>
  <c r="G52" i="132" s="1"/>
  <c r="G53" i="132" s="1"/>
  <c r="G54" i="132" s="1"/>
  <c r="G55" i="132" s="1"/>
  <c r="G56" i="132" s="1"/>
  <c r="G57" i="132" s="1"/>
  <c r="G58" i="132" s="1"/>
  <c r="G59" i="132" s="1"/>
  <c r="G60" i="132" s="1"/>
  <c r="G61" i="132" s="1"/>
  <c r="G62" i="132" s="1"/>
  <c r="G63" i="132" s="1"/>
  <c r="G64" i="132" s="1"/>
  <c r="G65" i="132" s="1"/>
  <c r="G66" i="132" s="1"/>
  <c r="G67" i="132" s="1"/>
  <c r="G68" i="132" s="1"/>
  <c r="G69" i="132" s="1"/>
  <c r="G70" i="132" s="1"/>
  <c r="G71" i="132" s="1"/>
  <c r="G72" i="132" s="1"/>
  <c r="G73" i="132" s="1"/>
  <c r="G74" i="132" s="1"/>
  <c r="G75" i="132" s="1"/>
  <c r="G76" i="132" s="1"/>
  <c r="G77" i="132" s="1"/>
  <c r="G78" i="132" s="1"/>
  <c r="G79" i="132" s="1"/>
  <c r="G80" i="132" s="1"/>
  <c r="G81" i="132" s="1"/>
  <c r="G82" i="132" s="1"/>
  <c r="G83" i="132" s="1"/>
  <c r="G84" i="132" s="1"/>
  <c r="G85" i="132" s="1"/>
  <c r="G86" i="132" s="1"/>
  <c r="G87" i="132" s="1"/>
  <c r="G88" i="132" s="1"/>
  <c r="G89" i="132" s="1"/>
  <c r="G90" i="132" s="1"/>
  <c r="G91" i="132" s="1"/>
  <c r="G92" i="132" s="1"/>
  <c r="G93" i="132" s="1"/>
  <c r="G94" i="132" s="1"/>
  <c r="G95" i="132" s="1"/>
  <c r="G96" i="132" s="1"/>
  <c r="G97" i="132" s="1"/>
  <c r="G98" i="132" s="1"/>
  <c r="G99" i="132" s="1"/>
  <c r="G100" i="132" s="1"/>
  <c r="G101" i="132" s="1"/>
  <c r="G102" i="132" s="1"/>
  <c r="G103" i="132" s="1"/>
  <c r="G104" i="132" s="1"/>
  <c r="G105" i="132" s="1"/>
  <c r="G106" i="132" s="1"/>
  <c r="G107" i="132" s="1"/>
  <c r="G108" i="132" s="1"/>
  <c r="G109" i="132" s="1"/>
  <c r="J110" i="132"/>
  <c r="G110" i="132"/>
  <c r="G154" i="131"/>
  <c r="I30" i="107"/>
  <c r="P15" i="76"/>
  <c r="A19" i="1"/>
  <c r="A20" i="1"/>
  <c r="A21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G19" i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I29" i="107"/>
  <c r="F37" i="52"/>
  <c r="G16" i="46"/>
  <c r="G17" i="46" s="1"/>
  <c r="G18" i="46" s="1"/>
  <c r="G19" i="46" s="1"/>
  <c r="G20" i="46" s="1"/>
  <c r="G21" i="46" s="1"/>
  <c r="G22" i="46" s="1"/>
  <c r="G23" i="46" s="1"/>
  <c r="G24" i="46" s="1"/>
  <c r="G25" i="46" s="1"/>
  <c r="G26" i="46" s="1"/>
  <c r="G27" i="46" s="1"/>
  <c r="G28" i="46" s="1"/>
  <c r="G29" i="46" s="1"/>
  <c r="G30" i="46" s="1"/>
  <c r="G31" i="46" s="1"/>
  <c r="G32" i="46" s="1"/>
  <c r="G33" i="46" s="1"/>
  <c r="G34" i="46" s="1"/>
  <c r="G35" i="46" s="1"/>
  <c r="G36" i="46" s="1"/>
  <c r="G37" i="46" s="1"/>
  <c r="G38" i="46" s="1"/>
  <c r="G39" i="46" s="1"/>
  <c r="G40" i="46" s="1"/>
  <c r="G41" i="46" s="1"/>
  <c r="G42" i="46" s="1"/>
  <c r="G43" i="46" s="1"/>
  <c r="G44" i="46" s="1"/>
  <c r="G45" i="46" s="1"/>
  <c r="G46" i="46" s="1"/>
  <c r="G47" i="46" s="1"/>
  <c r="G48" i="46" s="1"/>
  <c r="G49" i="46" s="1"/>
  <c r="G50" i="46" s="1"/>
  <c r="G51" i="46" s="1"/>
  <c r="G52" i="46" s="1"/>
  <c r="G53" i="46" s="1"/>
  <c r="G54" i="46" s="1"/>
  <c r="G55" i="46" s="1"/>
  <c r="G56" i="46" s="1"/>
  <c r="G57" i="46" s="1"/>
  <c r="G58" i="46" s="1"/>
  <c r="G59" i="46" s="1"/>
  <c r="G60" i="46" s="1"/>
  <c r="G61" i="46" s="1"/>
  <c r="G62" i="46" s="1"/>
  <c r="G63" i="46" s="1"/>
  <c r="G64" i="46" s="1"/>
  <c r="G65" i="46" s="1"/>
  <c r="G66" i="46" s="1"/>
  <c r="G67" i="46" s="1"/>
  <c r="G68" i="46" s="1"/>
  <c r="G69" i="46" s="1"/>
  <c r="G70" i="46" s="1"/>
  <c r="G71" i="46" s="1"/>
  <c r="G72" i="46" s="1"/>
  <c r="G73" i="46" s="1"/>
  <c r="G74" i="46" s="1"/>
  <c r="G75" i="46" s="1"/>
  <c r="G76" i="46" s="1"/>
  <c r="G77" i="46" s="1"/>
  <c r="G78" i="46" s="1"/>
  <c r="G79" i="46" s="1"/>
  <c r="G80" i="46" s="1"/>
  <c r="G81" i="46" s="1"/>
  <c r="G82" i="46" s="1"/>
  <c r="G83" i="46" s="1"/>
  <c r="G84" i="46" s="1"/>
  <c r="G85" i="46" s="1"/>
  <c r="G86" i="46" s="1"/>
  <c r="G87" i="46" s="1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G100" i="46" s="1"/>
  <c r="G101" i="46" s="1"/>
  <c r="G102" i="46" s="1"/>
  <c r="G103" i="46" s="1"/>
  <c r="G104" i="46" s="1"/>
  <c r="G105" i="46" s="1"/>
  <c r="G106" i="46" s="1"/>
  <c r="G107" i="46" s="1"/>
  <c r="G108" i="46" s="1"/>
  <c r="A16" i="46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O38" i="52"/>
  <c r="J110" i="137" l="1"/>
  <c r="E17" i="52"/>
  <c r="M20" i="52"/>
  <c r="E31" i="52"/>
  <c r="F25" i="17"/>
  <c r="F18" i="1"/>
  <c r="F74" i="24"/>
  <c r="I15" i="78"/>
  <c r="L12" i="78"/>
  <c r="I14" i="78" s="1"/>
  <c r="F18" i="99"/>
  <c r="I14" i="119"/>
  <c r="N30" i="119"/>
  <c r="N29" i="119"/>
  <c r="N36" i="119"/>
  <c r="N35" i="119"/>
  <c r="N34" i="119"/>
  <c r="I13" i="78" l="1"/>
  <c r="I45" i="81"/>
  <c r="O50" i="81"/>
  <c r="O49" i="81"/>
  <c r="O48" i="81"/>
  <c r="O47" i="81"/>
  <c r="I44" i="81"/>
  <c r="L43" i="81"/>
  <c r="P31" i="126"/>
  <c r="F97" i="130"/>
  <c r="G97" i="130" s="1"/>
  <c r="E97" i="130"/>
  <c r="A11" i="130"/>
  <c r="A12" i="130" s="1"/>
  <c r="A13" i="130" s="1"/>
  <c r="A14" i="130" s="1"/>
  <c r="A15" i="130" s="1"/>
  <c r="A16" i="130" s="1"/>
  <c r="A17" i="130" s="1"/>
  <c r="A18" i="130" s="1"/>
  <c r="A19" i="130" s="1"/>
  <c r="A20" i="130" s="1"/>
  <c r="A21" i="130" s="1"/>
  <c r="A22" i="130" s="1"/>
  <c r="A23" i="130" s="1"/>
  <c r="A24" i="130" s="1"/>
  <c r="A25" i="130" s="1"/>
  <c r="A26" i="130" s="1"/>
  <c r="A27" i="130" s="1"/>
  <c r="A28" i="130" s="1"/>
  <c r="A29" i="130" s="1"/>
  <c r="A30" i="130" s="1"/>
  <c r="A31" i="130" s="1"/>
  <c r="A32" i="130" s="1"/>
  <c r="A33" i="130" s="1"/>
  <c r="A34" i="130" s="1"/>
  <c r="A35" i="130" s="1"/>
  <c r="A36" i="130" s="1"/>
  <c r="A37" i="130" s="1"/>
  <c r="A38" i="130" s="1"/>
  <c r="A39" i="130" s="1"/>
  <c r="A40" i="130" s="1"/>
  <c r="A41" i="130" s="1"/>
  <c r="A42" i="130" s="1"/>
  <c r="A43" i="130" s="1"/>
  <c r="A44" i="130" s="1"/>
  <c r="A45" i="130" s="1"/>
  <c r="A46" i="130" s="1"/>
  <c r="A47" i="130" s="1"/>
  <c r="A48" i="130" s="1"/>
  <c r="A49" i="130" s="1"/>
  <c r="A50" i="130" s="1"/>
  <c r="A51" i="130" s="1"/>
  <c r="A52" i="130" s="1"/>
  <c r="A53" i="130" s="1"/>
  <c r="A54" i="130" s="1"/>
  <c r="A55" i="130" s="1"/>
  <c r="A56" i="130" s="1"/>
  <c r="A57" i="130" s="1"/>
  <c r="A58" i="130" s="1"/>
  <c r="A59" i="130" s="1"/>
  <c r="A60" i="130" s="1"/>
  <c r="A61" i="130" s="1"/>
  <c r="A62" i="130" s="1"/>
  <c r="A63" i="130" s="1"/>
  <c r="A64" i="130" s="1"/>
  <c r="A65" i="130" s="1"/>
  <c r="A66" i="130" s="1"/>
  <c r="A67" i="130" s="1"/>
  <c r="A68" i="130" s="1"/>
  <c r="A69" i="130" s="1"/>
  <c r="A70" i="130" s="1"/>
  <c r="A71" i="130" s="1"/>
  <c r="A72" i="130" s="1"/>
  <c r="A73" i="130" s="1"/>
  <c r="A74" i="130" s="1"/>
  <c r="A75" i="130" s="1"/>
  <c r="A76" i="130" s="1"/>
  <c r="A77" i="130" s="1"/>
  <c r="A78" i="130" s="1"/>
  <c r="A79" i="130" s="1"/>
  <c r="A80" i="130" s="1"/>
  <c r="A81" i="130" s="1"/>
  <c r="A82" i="130" s="1"/>
  <c r="A83" i="130" s="1"/>
  <c r="A84" i="130" s="1"/>
  <c r="A85" i="130" s="1"/>
  <c r="A86" i="130" s="1"/>
  <c r="A87" i="130" s="1"/>
  <c r="A88" i="130" s="1"/>
  <c r="A89" i="130" s="1"/>
  <c r="A90" i="130" s="1"/>
  <c r="A91" i="130" s="1"/>
  <c r="A92" i="130" s="1"/>
  <c r="A93" i="130" s="1"/>
  <c r="A94" i="130" s="1"/>
  <c r="A95" i="130" s="1"/>
  <c r="A96" i="130" s="1"/>
  <c r="A97" i="130" s="1"/>
  <c r="A10" i="130"/>
  <c r="G9" i="130"/>
  <c r="G10" i="130" s="1"/>
  <c r="G11" i="130" s="1"/>
  <c r="G12" i="130" s="1"/>
  <c r="G13" i="130" s="1"/>
  <c r="G14" i="130" s="1"/>
  <c r="G15" i="130" s="1"/>
  <c r="G16" i="130" s="1"/>
  <c r="G17" i="130" s="1"/>
  <c r="G18" i="130" s="1"/>
  <c r="G19" i="130" s="1"/>
  <c r="G20" i="130" s="1"/>
  <c r="G21" i="130" s="1"/>
  <c r="G22" i="130" s="1"/>
  <c r="G23" i="130" s="1"/>
  <c r="G24" i="130" s="1"/>
  <c r="G25" i="130" s="1"/>
  <c r="G26" i="130" s="1"/>
  <c r="G27" i="130" s="1"/>
  <c r="G28" i="130" s="1"/>
  <c r="G29" i="130" s="1"/>
  <c r="G30" i="130" s="1"/>
  <c r="G31" i="130" s="1"/>
  <c r="G32" i="130" s="1"/>
  <c r="G33" i="130" s="1"/>
  <c r="G34" i="130" s="1"/>
  <c r="G35" i="130" s="1"/>
  <c r="G36" i="130" s="1"/>
  <c r="G37" i="130" s="1"/>
  <c r="G38" i="130" s="1"/>
  <c r="G39" i="130" s="1"/>
  <c r="G40" i="130" s="1"/>
  <c r="G41" i="130" s="1"/>
  <c r="G42" i="130" s="1"/>
  <c r="G43" i="130" s="1"/>
  <c r="G44" i="130" s="1"/>
  <c r="G45" i="130" s="1"/>
  <c r="G46" i="130" s="1"/>
  <c r="G47" i="130" s="1"/>
  <c r="G48" i="130" s="1"/>
  <c r="G49" i="130" s="1"/>
  <c r="G50" i="130" s="1"/>
  <c r="G51" i="130" s="1"/>
  <c r="G52" i="130" s="1"/>
  <c r="G53" i="130" s="1"/>
  <c r="G54" i="130" s="1"/>
  <c r="G55" i="130" s="1"/>
  <c r="G56" i="130" s="1"/>
  <c r="G57" i="130" s="1"/>
  <c r="G58" i="130" s="1"/>
  <c r="G59" i="130" s="1"/>
  <c r="G60" i="130" s="1"/>
  <c r="G61" i="130" s="1"/>
  <c r="G62" i="130" s="1"/>
  <c r="G63" i="130" s="1"/>
  <c r="G64" i="130" s="1"/>
  <c r="G65" i="130" s="1"/>
  <c r="G66" i="130" s="1"/>
  <c r="G67" i="130" s="1"/>
  <c r="G68" i="130" s="1"/>
  <c r="G69" i="130" s="1"/>
  <c r="G70" i="130" s="1"/>
  <c r="G71" i="130" s="1"/>
  <c r="G72" i="130" s="1"/>
  <c r="G73" i="130" s="1"/>
  <c r="G74" i="130" s="1"/>
  <c r="G75" i="130" s="1"/>
  <c r="G76" i="130" s="1"/>
  <c r="G77" i="130" s="1"/>
  <c r="G78" i="130" s="1"/>
  <c r="G79" i="130" s="1"/>
  <c r="G80" i="130" s="1"/>
  <c r="G81" i="130" s="1"/>
  <c r="G82" i="130" s="1"/>
  <c r="G83" i="130" s="1"/>
  <c r="G84" i="130" s="1"/>
  <c r="G85" i="130" s="1"/>
  <c r="G86" i="130" s="1"/>
  <c r="G87" i="130" s="1"/>
  <c r="G88" i="130" s="1"/>
  <c r="G89" i="130" s="1"/>
  <c r="G90" i="130" s="1"/>
  <c r="G91" i="130" s="1"/>
  <c r="G92" i="130" s="1"/>
  <c r="G93" i="130" s="1"/>
  <c r="G94" i="130" s="1"/>
  <c r="G95" i="130" s="1"/>
  <c r="G96" i="130" s="1"/>
  <c r="A4" i="130"/>
  <c r="E97" i="129"/>
  <c r="A11" i="129"/>
  <c r="A12" i="129" s="1"/>
  <c r="A13" i="129" s="1"/>
  <c r="A14" i="129" s="1"/>
  <c r="A15" i="129" s="1"/>
  <c r="A16" i="129" s="1"/>
  <c r="A17" i="129" s="1"/>
  <c r="A18" i="129" s="1"/>
  <c r="A19" i="129" s="1"/>
  <c r="A20" i="129" s="1"/>
  <c r="A21" i="129" s="1"/>
  <c r="A22" i="129" s="1"/>
  <c r="A23" i="129" s="1"/>
  <c r="A24" i="129" s="1"/>
  <c r="A25" i="129" s="1"/>
  <c r="A26" i="129" s="1"/>
  <c r="A27" i="129" s="1"/>
  <c r="A28" i="129" s="1"/>
  <c r="A29" i="129" s="1"/>
  <c r="A30" i="129" s="1"/>
  <c r="A31" i="129" s="1"/>
  <c r="A32" i="129" s="1"/>
  <c r="A33" i="129" s="1"/>
  <c r="A34" i="129" s="1"/>
  <c r="A35" i="129" s="1"/>
  <c r="A36" i="129" s="1"/>
  <c r="A37" i="129" s="1"/>
  <c r="A38" i="129" s="1"/>
  <c r="A39" i="129" s="1"/>
  <c r="A40" i="129" s="1"/>
  <c r="A41" i="129" s="1"/>
  <c r="A42" i="129" s="1"/>
  <c r="A43" i="129" s="1"/>
  <c r="A44" i="129" s="1"/>
  <c r="A45" i="129" s="1"/>
  <c r="A46" i="129" s="1"/>
  <c r="A47" i="129" s="1"/>
  <c r="A48" i="129" s="1"/>
  <c r="A49" i="129" s="1"/>
  <c r="A50" i="129" s="1"/>
  <c r="A51" i="129" s="1"/>
  <c r="A52" i="129" s="1"/>
  <c r="A53" i="129" s="1"/>
  <c r="A54" i="129" s="1"/>
  <c r="A55" i="129" s="1"/>
  <c r="A56" i="129" s="1"/>
  <c r="A57" i="129" s="1"/>
  <c r="A58" i="129" s="1"/>
  <c r="A59" i="129" s="1"/>
  <c r="A60" i="129" s="1"/>
  <c r="A61" i="129" s="1"/>
  <c r="A62" i="129" s="1"/>
  <c r="A63" i="129" s="1"/>
  <c r="A64" i="129" s="1"/>
  <c r="A65" i="129" s="1"/>
  <c r="A66" i="129" s="1"/>
  <c r="A67" i="129" s="1"/>
  <c r="A68" i="129" s="1"/>
  <c r="A69" i="129" s="1"/>
  <c r="A70" i="129" s="1"/>
  <c r="A71" i="129" s="1"/>
  <c r="A72" i="129" s="1"/>
  <c r="A73" i="129" s="1"/>
  <c r="A74" i="129" s="1"/>
  <c r="A75" i="129" s="1"/>
  <c r="A76" i="129" s="1"/>
  <c r="A77" i="129" s="1"/>
  <c r="A78" i="129" s="1"/>
  <c r="A79" i="129" s="1"/>
  <c r="A80" i="129" s="1"/>
  <c r="A81" i="129" s="1"/>
  <c r="A82" i="129" s="1"/>
  <c r="A83" i="129" s="1"/>
  <c r="A84" i="129" s="1"/>
  <c r="A85" i="129" s="1"/>
  <c r="A86" i="129" s="1"/>
  <c r="A87" i="129" s="1"/>
  <c r="A88" i="129" s="1"/>
  <c r="A89" i="129" s="1"/>
  <c r="A90" i="129" s="1"/>
  <c r="A91" i="129" s="1"/>
  <c r="A92" i="129" s="1"/>
  <c r="A93" i="129" s="1"/>
  <c r="A94" i="129" s="1"/>
  <c r="A95" i="129" s="1"/>
  <c r="A96" i="129" s="1"/>
  <c r="A97" i="129" s="1"/>
  <c r="F97" i="129"/>
  <c r="G97" i="129" s="1"/>
  <c r="A10" i="129"/>
  <c r="G9" i="129"/>
  <c r="G10" i="129" s="1"/>
  <c r="G11" i="129" s="1"/>
  <c r="G12" i="129" s="1"/>
  <c r="G13" i="129" s="1"/>
  <c r="G14" i="129" s="1"/>
  <c r="G15" i="129" s="1"/>
  <c r="G16" i="129" s="1"/>
  <c r="G17" i="129" s="1"/>
  <c r="G18" i="129" s="1"/>
  <c r="G19" i="129" s="1"/>
  <c r="G20" i="129" s="1"/>
  <c r="G21" i="129" s="1"/>
  <c r="G22" i="129" s="1"/>
  <c r="G23" i="129" s="1"/>
  <c r="G24" i="129" s="1"/>
  <c r="G25" i="129" s="1"/>
  <c r="G26" i="129" s="1"/>
  <c r="G27" i="129" s="1"/>
  <c r="G28" i="129" s="1"/>
  <c r="G29" i="129" s="1"/>
  <c r="G30" i="129" s="1"/>
  <c r="G31" i="129" s="1"/>
  <c r="G32" i="129" s="1"/>
  <c r="G33" i="129" s="1"/>
  <c r="G34" i="129" s="1"/>
  <c r="G35" i="129" s="1"/>
  <c r="G36" i="129" s="1"/>
  <c r="G37" i="129" s="1"/>
  <c r="G38" i="129" s="1"/>
  <c r="G39" i="129" s="1"/>
  <c r="G40" i="129" s="1"/>
  <c r="G41" i="129" s="1"/>
  <c r="G42" i="129" s="1"/>
  <c r="G43" i="129" s="1"/>
  <c r="G44" i="129" s="1"/>
  <c r="G45" i="129" s="1"/>
  <c r="G46" i="129" s="1"/>
  <c r="G47" i="129" s="1"/>
  <c r="G48" i="129" s="1"/>
  <c r="G49" i="129" s="1"/>
  <c r="G50" i="129" s="1"/>
  <c r="G51" i="129" s="1"/>
  <c r="G52" i="129" s="1"/>
  <c r="G53" i="129" s="1"/>
  <c r="G54" i="129" s="1"/>
  <c r="G55" i="129" s="1"/>
  <c r="G56" i="129" s="1"/>
  <c r="G57" i="129" s="1"/>
  <c r="G58" i="129" s="1"/>
  <c r="G59" i="129" s="1"/>
  <c r="G60" i="129" s="1"/>
  <c r="G61" i="129" s="1"/>
  <c r="G62" i="129" s="1"/>
  <c r="G63" i="129" s="1"/>
  <c r="G64" i="129" s="1"/>
  <c r="G65" i="129" s="1"/>
  <c r="G66" i="129" s="1"/>
  <c r="G67" i="129" s="1"/>
  <c r="G68" i="129" s="1"/>
  <c r="G69" i="129" s="1"/>
  <c r="G70" i="129" s="1"/>
  <c r="G71" i="129" s="1"/>
  <c r="G72" i="129" s="1"/>
  <c r="G73" i="129" s="1"/>
  <c r="G74" i="129" s="1"/>
  <c r="G75" i="129" s="1"/>
  <c r="G76" i="129" s="1"/>
  <c r="G77" i="129" s="1"/>
  <c r="G78" i="129" s="1"/>
  <c r="G79" i="129" s="1"/>
  <c r="G80" i="129" s="1"/>
  <c r="G81" i="129" s="1"/>
  <c r="G82" i="129" s="1"/>
  <c r="G83" i="129" s="1"/>
  <c r="G84" i="129" s="1"/>
  <c r="G85" i="129" s="1"/>
  <c r="G86" i="129" s="1"/>
  <c r="G87" i="129" s="1"/>
  <c r="G88" i="129" s="1"/>
  <c r="G89" i="129" s="1"/>
  <c r="G90" i="129" s="1"/>
  <c r="G91" i="129" s="1"/>
  <c r="G92" i="129" s="1"/>
  <c r="G93" i="129" s="1"/>
  <c r="G94" i="129" s="1"/>
  <c r="G95" i="129" s="1"/>
  <c r="G96" i="129" s="1"/>
  <c r="A4" i="129"/>
  <c r="P23" i="51"/>
  <c r="P22" i="51"/>
  <c r="I17" i="46"/>
  <c r="I18" i="46"/>
  <c r="I19" i="46"/>
  <c r="I14" i="46"/>
  <c r="M14" i="46"/>
  <c r="I15" i="46" s="1"/>
  <c r="M29" i="52"/>
  <c r="K108" i="128"/>
  <c r="J108" i="128"/>
  <c r="L108" i="128" s="1"/>
  <c r="F108" i="128"/>
  <c r="A10" i="128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A38" i="128" s="1"/>
  <c r="A39" i="128" s="1"/>
  <c r="A40" i="128" s="1"/>
  <c r="A41" i="128" s="1"/>
  <c r="A42" i="128" s="1"/>
  <c r="A43" i="128" s="1"/>
  <c r="A44" i="128" s="1"/>
  <c r="A45" i="128" s="1"/>
  <c r="A46" i="128" s="1"/>
  <c r="A47" i="128" s="1"/>
  <c r="A48" i="128" s="1"/>
  <c r="A49" i="128" s="1"/>
  <c r="A50" i="128" s="1"/>
  <c r="A51" i="128" s="1"/>
  <c r="A52" i="128" s="1"/>
  <c r="A53" i="128" s="1"/>
  <c r="A54" i="128" s="1"/>
  <c r="A55" i="128" s="1"/>
  <c r="A56" i="128" s="1"/>
  <c r="A57" i="128" s="1"/>
  <c r="A58" i="128" s="1"/>
  <c r="A59" i="128" s="1"/>
  <c r="A60" i="128" s="1"/>
  <c r="A61" i="128" s="1"/>
  <c r="A62" i="128" s="1"/>
  <c r="A63" i="128" s="1"/>
  <c r="A64" i="128" s="1"/>
  <c r="A65" i="128" s="1"/>
  <c r="A66" i="128" s="1"/>
  <c r="A67" i="128" s="1"/>
  <c r="A68" i="128" s="1"/>
  <c r="A69" i="128" s="1"/>
  <c r="A70" i="128" s="1"/>
  <c r="A71" i="128" s="1"/>
  <c r="A72" i="128" s="1"/>
  <c r="A73" i="128" s="1"/>
  <c r="A74" i="128" s="1"/>
  <c r="A75" i="128" s="1"/>
  <c r="A76" i="128" s="1"/>
  <c r="A77" i="128" s="1"/>
  <c r="A78" i="128" s="1"/>
  <c r="A79" i="128" s="1"/>
  <c r="A80" i="128" s="1"/>
  <c r="A81" i="128" s="1"/>
  <c r="A82" i="128" s="1"/>
  <c r="A83" i="128" s="1"/>
  <c r="A84" i="128" s="1"/>
  <c r="A85" i="128" s="1"/>
  <c r="A86" i="128" s="1"/>
  <c r="A87" i="128" s="1"/>
  <c r="A88" i="128" s="1"/>
  <c r="A89" i="128" s="1"/>
  <c r="A90" i="128" s="1"/>
  <c r="A91" i="128" s="1"/>
  <c r="A92" i="128" s="1"/>
  <c r="A93" i="128" s="1"/>
  <c r="A105" i="128" s="1"/>
  <c r="A106" i="128" s="1"/>
  <c r="A107" i="128" s="1"/>
  <c r="N9" i="128"/>
  <c r="M9" i="128"/>
  <c r="G9" i="128"/>
  <c r="G10" i="128" s="1"/>
  <c r="G11" i="128" s="1"/>
  <c r="G12" i="128" s="1"/>
  <c r="G13" i="128" s="1"/>
  <c r="G14" i="128" s="1"/>
  <c r="G15" i="128" s="1"/>
  <c r="G16" i="128" s="1"/>
  <c r="G17" i="128" s="1"/>
  <c r="G18" i="128" s="1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31" i="128" s="1"/>
  <c r="G32" i="128" s="1"/>
  <c r="G33" i="128" s="1"/>
  <c r="G34" i="128" s="1"/>
  <c r="G35" i="128" s="1"/>
  <c r="G36" i="128" s="1"/>
  <c r="G37" i="128" s="1"/>
  <c r="G38" i="128" s="1"/>
  <c r="G39" i="128" s="1"/>
  <c r="G40" i="128" s="1"/>
  <c r="G41" i="128" s="1"/>
  <c r="G42" i="128" s="1"/>
  <c r="G43" i="128" s="1"/>
  <c r="G44" i="128" s="1"/>
  <c r="G45" i="128" s="1"/>
  <c r="G46" i="128" s="1"/>
  <c r="G47" i="128" s="1"/>
  <c r="G48" i="128" s="1"/>
  <c r="G49" i="128" s="1"/>
  <c r="G50" i="128" s="1"/>
  <c r="G51" i="128" s="1"/>
  <c r="G52" i="128" s="1"/>
  <c r="G53" i="128" s="1"/>
  <c r="G54" i="128" s="1"/>
  <c r="G55" i="128" s="1"/>
  <c r="G56" i="128" s="1"/>
  <c r="G57" i="128" s="1"/>
  <c r="G58" i="128" s="1"/>
  <c r="G59" i="128" s="1"/>
  <c r="G60" i="128" s="1"/>
  <c r="G61" i="128" s="1"/>
  <c r="G62" i="128" s="1"/>
  <c r="G63" i="128" s="1"/>
  <c r="G64" i="128" s="1"/>
  <c r="G65" i="128" s="1"/>
  <c r="G66" i="128" s="1"/>
  <c r="G67" i="128" s="1"/>
  <c r="G68" i="128" s="1"/>
  <c r="G69" i="128" s="1"/>
  <c r="G70" i="128" s="1"/>
  <c r="G71" i="128" s="1"/>
  <c r="G72" i="128" s="1"/>
  <c r="G73" i="128" s="1"/>
  <c r="G74" i="128" s="1"/>
  <c r="G75" i="128" s="1"/>
  <c r="G76" i="128" s="1"/>
  <c r="G77" i="128" s="1"/>
  <c r="G78" i="128" s="1"/>
  <c r="G79" i="128" s="1"/>
  <c r="G80" i="128" s="1"/>
  <c r="G81" i="128" s="1"/>
  <c r="G82" i="128" s="1"/>
  <c r="G83" i="128" s="1"/>
  <c r="G84" i="128" s="1"/>
  <c r="G85" i="128" s="1"/>
  <c r="G86" i="128" s="1"/>
  <c r="G87" i="128" s="1"/>
  <c r="G88" i="128" s="1"/>
  <c r="G89" i="128" s="1"/>
  <c r="G90" i="128" s="1"/>
  <c r="G91" i="128" s="1"/>
  <c r="G92" i="128" s="1"/>
  <c r="G93" i="128" s="1"/>
  <c r="G94" i="128" s="1"/>
  <c r="G95" i="128" s="1"/>
  <c r="G96" i="128" s="1"/>
  <c r="G97" i="128" s="1"/>
  <c r="G98" i="128" s="1"/>
  <c r="G99" i="128" s="1"/>
  <c r="G100" i="128" s="1"/>
  <c r="G101" i="128" s="1"/>
  <c r="G102" i="128" s="1"/>
  <c r="G103" i="128" s="1"/>
  <c r="G104" i="128" s="1"/>
  <c r="G105" i="128" s="1"/>
  <c r="G106" i="128" s="1"/>
  <c r="G107" i="128" s="1"/>
  <c r="A4" i="128"/>
  <c r="M17" i="98"/>
  <c r="E108" i="128" l="1"/>
  <c r="G108" i="128" s="1"/>
  <c r="F35" i="127"/>
  <c r="E35" i="127"/>
  <c r="A10" i="127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G9" i="127"/>
  <c r="G10" i="127" s="1"/>
  <c r="G11" i="127" s="1"/>
  <c r="G12" i="127" s="1"/>
  <c r="G13" i="127" s="1"/>
  <c r="G14" i="127" s="1"/>
  <c r="G15" i="127" s="1"/>
  <c r="G16" i="127" s="1"/>
  <c r="G17" i="127" s="1"/>
  <c r="G18" i="127" s="1"/>
  <c r="G19" i="127" s="1"/>
  <c r="G20" i="127" s="1"/>
  <c r="G21" i="127" s="1"/>
  <c r="G22" i="127" s="1"/>
  <c r="G23" i="127" s="1"/>
  <c r="G24" i="127" s="1"/>
  <c r="G25" i="127" s="1"/>
  <c r="G26" i="127" s="1"/>
  <c r="G27" i="127" s="1"/>
  <c r="G28" i="127" s="1"/>
  <c r="G29" i="127" s="1"/>
  <c r="G30" i="127" s="1"/>
  <c r="G31" i="127" s="1"/>
  <c r="G32" i="127" s="1"/>
  <c r="G33" i="127" s="1"/>
  <c r="G34" i="127" s="1"/>
  <c r="A4" i="127"/>
  <c r="F21" i="52"/>
  <c r="E21" i="52"/>
  <c r="F15" i="126"/>
  <c r="F109" i="126" s="1"/>
  <c r="I11" i="78"/>
  <c r="I10" i="78"/>
  <c r="L17" i="48"/>
  <c r="K109" i="126"/>
  <c r="E109" i="126"/>
  <c r="Q21" i="126"/>
  <c r="A14" i="126"/>
  <c r="A15" i="126" s="1"/>
  <c r="A16" i="126" s="1"/>
  <c r="A17" i="126" s="1"/>
  <c r="A18" i="126" s="1"/>
  <c r="A19" i="126" s="1"/>
  <c r="A20" i="126" s="1"/>
  <c r="A21" i="126" s="1"/>
  <c r="A22" i="126" s="1"/>
  <c r="A23" i="126" s="1"/>
  <c r="A24" i="126" s="1"/>
  <c r="A25" i="126" s="1"/>
  <c r="A26" i="126" s="1"/>
  <c r="A27" i="126" s="1"/>
  <c r="A28" i="126" s="1"/>
  <c r="A29" i="126" s="1"/>
  <c r="A30" i="126" s="1"/>
  <c r="A31" i="126" s="1"/>
  <c r="A32" i="126" s="1"/>
  <c r="A33" i="126" s="1"/>
  <c r="A34" i="126" s="1"/>
  <c r="A35" i="126" s="1"/>
  <c r="A36" i="126" s="1"/>
  <c r="A37" i="126" s="1"/>
  <c r="A38" i="126" s="1"/>
  <c r="A39" i="126" s="1"/>
  <c r="A40" i="126" s="1"/>
  <c r="A41" i="126" s="1"/>
  <c r="A42" i="126" s="1"/>
  <c r="A43" i="126" s="1"/>
  <c r="A44" i="126" s="1"/>
  <c r="A45" i="126" s="1"/>
  <c r="A46" i="126" s="1"/>
  <c r="A47" i="126" s="1"/>
  <c r="A48" i="126" s="1"/>
  <c r="A49" i="126" s="1"/>
  <c r="A50" i="126" s="1"/>
  <c r="A51" i="126" s="1"/>
  <c r="A52" i="126" s="1"/>
  <c r="A53" i="126" s="1"/>
  <c r="A54" i="126" s="1"/>
  <c r="A55" i="126" s="1"/>
  <c r="A56" i="126" s="1"/>
  <c r="A57" i="126" s="1"/>
  <c r="A58" i="126" s="1"/>
  <c r="A59" i="126" s="1"/>
  <c r="A60" i="126" s="1"/>
  <c r="A61" i="126" s="1"/>
  <c r="A62" i="126" s="1"/>
  <c r="A63" i="126" s="1"/>
  <c r="A64" i="126" s="1"/>
  <c r="A65" i="126" s="1"/>
  <c r="A66" i="126" s="1"/>
  <c r="A67" i="126" s="1"/>
  <c r="A68" i="126" s="1"/>
  <c r="A69" i="126" s="1"/>
  <c r="A70" i="126" s="1"/>
  <c r="A71" i="126" s="1"/>
  <c r="A72" i="126" s="1"/>
  <c r="A73" i="126" s="1"/>
  <c r="A74" i="126" s="1"/>
  <c r="A75" i="126" s="1"/>
  <c r="A76" i="126" s="1"/>
  <c r="A77" i="126" s="1"/>
  <c r="A78" i="126" s="1"/>
  <c r="A79" i="126" s="1"/>
  <c r="A80" i="126" s="1"/>
  <c r="A81" i="126" s="1"/>
  <c r="A82" i="126" s="1"/>
  <c r="A83" i="126" s="1"/>
  <c r="A84" i="126" s="1"/>
  <c r="A85" i="126" s="1"/>
  <c r="A86" i="126" s="1"/>
  <c r="A87" i="126" s="1"/>
  <c r="A88" i="126" s="1"/>
  <c r="A89" i="126" s="1"/>
  <c r="A90" i="126" s="1"/>
  <c r="A91" i="126" s="1"/>
  <c r="A92" i="126" s="1"/>
  <c r="A93" i="126" s="1"/>
  <c r="A94" i="126" s="1"/>
  <c r="A106" i="126" s="1"/>
  <c r="A107" i="126" s="1"/>
  <c r="A108" i="126" s="1"/>
  <c r="M12" i="126"/>
  <c r="A11" i="126"/>
  <c r="A12" i="126" s="1"/>
  <c r="A13" i="126" s="1"/>
  <c r="G9" i="126"/>
  <c r="G10" i="126" s="1"/>
  <c r="G11" i="126" s="1"/>
  <c r="A4" i="126"/>
  <c r="L12" i="121"/>
  <c r="I12" i="121" s="1"/>
  <c r="N22" i="58"/>
  <c r="N23" i="58" s="1"/>
  <c r="N24" i="58" s="1"/>
  <c r="N25" i="58" s="1"/>
  <c r="N26" i="58" s="1"/>
  <c r="G35" i="127" l="1"/>
  <c r="G12" i="126"/>
  <c r="G13" i="126" s="1"/>
  <c r="G14" i="126" s="1"/>
  <c r="G15" i="126" s="1"/>
  <c r="G16" i="126" s="1"/>
  <c r="G17" i="126" s="1"/>
  <c r="G18" i="126" s="1"/>
  <c r="G19" i="126" s="1"/>
  <c r="G20" i="126" s="1"/>
  <c r="G21" i="126" s="1"/>
  <c r="G22" i="126" s="1"/>
  <c r="G23" i="126" s="1"/>
  <c r="G24" i="126" s="1"/>
  <c r="G25" i="126" s="1"/>
  <c r="G26" i="126" s="1"/>
  <c r="G27" i="126" s="1"/>
  <c r="G28" i="126" s="1"/>
  <c r="G29" i="126" s="1"/>
  <c r="G30" i="126" s="1"/>
  <c r="G31" i="126" s="1"/>
  <c r="G32" i="126" s="1"/>
  <c r="G33" i="126" s="1"/>
  <c r="G34" i="126" s="1"/>
  <c r="G35" i="126" s="1"/>
  <c r="G36" i="126" s="1"/>
  <c r="G37" i="126" s="1"/>
  <c r="G38" i="126" s="1"/>
  <c r="G39" i="126" s="1"/>
  <c r="G40" i="126" s="1"/>
  <c r="G41" i="126" s="1"/>
  <c r="G42" i="126" s="1"/>
  <c r="G43" i="126" s="1"/>
  <c r="G44" i="126" s="1"/>
  <c r="G45" i="126" s="1"/>
  <c r="G46" i="126" s="1"/>
  <c r="G47" i="126" s="1"/>
  <c r="G48" i="126" s="1"/>
  <c r="G49" i="126" s="1"/>
  <c r="G50" i="126" s="1"/>
  <c r="G51" i="126" s="1"/>
  <c r="G52" i="126" s="1"/>
  <c r="G53" i="126" s="1"/>
  <c r="G54" i="126" s="1"/>
  <c r="G55" i="126" s="1"/>
  <c r="G56" i="126" s="1"/>
  <c r="G57" i="126" s="1"/>
  <c r="G58" i="126" s="1"/>
  <c r="G59" i="126" s="1"/>
  <c r="G60" i="126" s="1"/>
  <c r="G61" i="126" s="1"/>
  <c r="G62" i="126" s="1"/>
  <c r="G63" i="126" s="1"/>
  <c r="G64" i="126" s="1"/>
  <c r="G65" i="126" s="1"/>
  <c r="G66" i="126" s="1"/>
  <c r="G67" i="126" s="1"/>
  <c r="G68" i="126" s="1"/>
  <c r="G69" i="126" s="1"/>
  <c r="G70" i="126" s="1"/>
  <c r="G71" i="126" s="1"/>
  <c r="G72" i="126" s="1"/>
  <c r="G73" i="126" s="1"/>
  <c r="G74" i="126" s="1"/>
  <c r="G75" i="126" s="1"/>
  <c r="G76" i="126" s="1"/>
  <c r="G77" i="126" s="1"/>
  <c r="G78" i="126" s="1"/>
  <c r="G79" i="126" s="1"/>
  <c r="G80" i="126" s="1"/>
  <c r="G81" i="126" s="1"/>
  <c r="G82" i="126" s="1"/>
  <c r="G83" i="126" s="1"/>
  <c r="G84" i="126" s="1"/>
  <c r="G85" i="126" s="1"/>
  <c r="G86" i="126" s="1"/>
  <c r="G87" i="126" s="1"/>
  <c r="G88" i="126" s="1"/>
  <c r="G89" i="126" s="1"/>
  <c r="G90" i="126" s="1"/>
  <c r="G91" i="126" s="1"/>
  <c r="G92" i="126" s="1"/>
  <c r="G93" i="126" s="1"/>
  <c r="G94" i="126" s="1"/>
  <c r="G95" i="126" s="1"/>
  <c r="G96" i="126" s="1"/>
  <c r="G97" i="126" s="1"/>
  <c r="G98" i="126" s="1"/>
  <c r="G99" i="126" s="1"/>
  <c r="G100" i="126" s="1"/>
  <c r="G101" i="126" s="1"/>
  <c r="G102" i="126" s="1"/>
  <c r="G103" i="126" s="1"/>
  <c r="G104" i="126" s="1"/>
  <c r="G105" i="126" s="1"/>
  <c r="G106" i="126" s="1"/>
  <c r="G107" i="126" s="1"/>
  <c r="G108" i="126" s="1"/>
  <c r="G109" i="126"/>
  <c r="F11" i="125"/>
  <c r="F35" i="125" s="1"/>
  <c r="F11" i="80"/>
  <c r="N18" i="121"/>
  <c r="I10" i="121"/>
  <c r="I9" i="121"/>
  <c r="E9" i="125"/>
  <c r="E35" i="125" s="1"/>
  <c r="A10" i="125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G9" i="125"/>
  <c r="G10" i="125" s="1"/>
  <c r="G11" i="125" s="1"/>
  <c r="G12" i="125" s="1"/>
  <c r="G13" i="125" s="1"/>
  <c r="G14" i="125" s="1"/>
  <c r="G15" i="125" s="1"/>
  <c r="G16" i="125" s="1"/>
  <c r="G17" i="125" s="1"/>
  <c r="G18" i="125" s="1"/>
  <c r="G19" i="125" s="1"/>
  <c r="G20" i="125" s="1"/>
  <c r="G21" i="125" s="1"/>
  <c r="G22" i="125" s="1"/>
  <c r="G23" i="125" s="1"/>
  <c r="G24" i="125" s="1"/>
  <c r="G25" i="125" s="1"/>
  <c r="G26" i="125" s="1"/>
  <c r="G27" i="125" s="1"/>
  <c r="G28" i="125" s="1"/>
  <c r="G29" i="125" s="1"/>
  <c r="G30" i="125" s="1"/>
  <c r="G31" i="125" s="1"/>
  <c r="G32" i="125" s="1"/>
  <c r="G33" i="125" s="1"/>
  <c r="G34" i="125" s="1"/>
  <c r="A4" i="125"/>
  <c r="E10" i="80"/>
  <c r="F9" i="120"/>
  <c r="G35" i="125" l="1"/>
  <c r="L24" i="22"/>
  <c r="M17" i="52" l="1"/>
  <c r="I13" i="119"/>
  <c r="I12" i="119"/>
  <c r="I13" i="46"/>
  <c r="I11" i="119"/>
  <c r="F10" i="68"/>
  <c r="I10" i="119"/>
  <c r="D50" i="33"/>
  <c r="F140" i="124"/>
  <c r="F50" i="33" s="1"/>
  <c r="E140" i="124"/>
  <c r="E50" i="33" s="1"/>
  <c r="J15" i="124"/>
  <c r="A11" i="124"/>
  <c r="A12" i="124" s="1"/>
  <c r="A13" i="124" s="1"/>
  <c r="A14" i="124" s="1"/>
  <c r="A15" i="124" s="1"/>
  <c r="A17" i="124" s="1"/>
  <c r="A18" i="124" s="1"/>
  <c r="A19" i="124" s="1"/>
  <c r="A20" i="124" s="1"/>
  <c r="A21" i="124" s="1"/>
  <c r="G10" i="124"/>
  <c r="G11" i="124" s="1"/>
  <c r="G12" i="124" s="1"/>
  <c r="G13" i="124" s="1"/>
  <c r="G14" i="124" s="1"/>
  <c r="G15" i="124" s="1"/>
  <c r="G16" i="124" s="1"/>
  <c r="G17" i="124" s="1"/>
  <c r="G18" i="124" s="1"/>
  <c r="G19" i="124" s="1"/>
  <c r="G20" i="124" s="1"/>
  <c r="G21" i="124" s="1"/>
  <c r="J9" i="124"/>
  <c r="K111" i="108"/>
  <c r="J111" i="108"/>
  <c r="L12" i="46"/>
  <c r="I12" i="46" s="1"/>
  <c r="L9" i="46"/>
  <c r="I10" i="46" s="1"/>
  <c r="D85" i="33"/>
  <c r="E84" i="33"/>
  <c r="D84" i="33"/>
  <c r="D83" i="33"/>
  <c r="K108" i="123"/>
  <c r="F108" i="123"/>
  <c r="F85" i="33" s="1"/>
  <c r="E108" i="123"/>
  <c r="Q20" i="123"/>
  <c r="M11" i="123"/>
  <c r="A10" i="123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A37" i="123" s="1"/>
  <c r="A38" i="123" s="1"/>
  <c r="A39" i="123" s="1"/>
  <c r="A40" i="123" s="1"/>
  <c r="A41" i="123" s="1"/>
  <c r="A42" i="123" s="1"/>
  <c r="A43" i="123" s="1"/>
  <c r="A44" i="123" s="1"/>
  <c r="A45" i="123" s="1"/>
  <c r="A46" i="123" s="1"/>
  <c r="A47" i="123" s="1"/>
  <c r="A48" i="123" s="1"/>
  <c r="A49" i="123" s="1"/>
  <c r="A50" i="123" s="1"/>
  <c r="A51" i="123" s="1"/>
  <c r="A52" i="123" s="1"/>
  <c r="A53" i="123" s="1"/>
  <c r="A54" i="123" s="1"/>
  <c r="A55" i="123" s="1"/>
  <c r="A56" i="123" s="1"/>
  <c r="A57" i="123" s="1"/>
  <c r="A58" i="123" s="1"/>
  <c r="A59" i="123" s="1"/>
  <c r="A60" i="123" s="1"/>
  <c r="A61" i="123" s="1"/>
  <c r="A62" i="123" s="1"/>
  <c r="A63" i="123" s="1"/>
  <c r="A64" i="123" s="1"/>
  <c r="A65" i="123" s="1"/>
  <c r="A66" i="123" s="1"/>
  <c r="A67" i="123" s="1"/>
  <c r="A68" i="123" s="1"/>
  <c r="A69" i="123" s="1"/>
  <c r="A70" i="123" s="1"/>
  <c r="A71" i="123" s="1"/>
  <c r="A72" i="123" s="1"/>
  <c r="A73" i="123" s="1"/>
  <c r="A74" i="123" s="1"/>
  <c r="A75" i="123" s="1"/>
  <c r="A76" i="123" s="1"/>
  <c r="A77" i="123" s="1"/>
  <c r="A78" i="123" s="1"/>
  <c r="A79" i="123" s="1"/>
  <c r="A80" i="123" s="1"/>
  <c r="A81" i="123" s="1"/>
  <c r="A82" i="123" s="1"/>
  <c r="A83" i="123" s="1"/>
  <c r="A84" i="123" s="1"/>
  <c r="A85" i="123" s="1"/>
  <c r="A86" i="123" s="1"/>
  <c r="A87" i="123" s="1"/>
  <c r="A88" i="123" s="1"/>
  <c r="A89" i="123" s="1"/>
  <c r="A90" i="123" s="1"/>
  <c r="A91" i="123" s="1"/>
  <c r="A92" i="123" s="1"/>
  <c r="A93" i="123" s="1"/>
  <c r="A105" i="123" s="1"/>
  <c r="A106" i="123" s="1"/>
  <c r="A107" i="123" s="1"/>
  <c r="G9" i="123"/>
  <c r="G10" i="123" s="1"/>
  <c r="G11" i="123" s="1"/>
  <c r="G12" i="123" s="1"/>
  <c r="G13" i="123" s="1"/>
  <c r="G14" i="123" s="1"/>
  <c r="G15" i="123" s="1"/>
  <c r="G16" i="123" s="1"/>
  <c r="G17" i="123" s="1"/>
  <c r="G18" i="123" s="1"/>
  <c r="G19" i="123" s="1"/>
  <c r="G20" i="123" s="1"/>
  <c r="G21" i="123" s="1"/>
  <c r="G22" i="123" s="1"/>
  <c r="G23" i="123" s="1"/>
  <c r="G24" i="123" s="1"/>
  <c r="G25" i="123" s="1"/>
  <c r="G26" i="123" s="1"/>
  <c r="G27" i="123" s="1"/>
  <c r="G28" i="123" s="1"/>
  <c r="G29" i="123" s="1"/>
  <c r="G30" i="123" s="1"/>
  <c r="G31" i="123" s="1"/>
  <c r="G32" i="123" s="1"/>
  <c r="G33" i="123" s="1"/>
  <c r="G34" i="123" s="1"/>
  <c r="G35" i="123" s="1"/>
  <c r="G36" i="123" s="1"/>
  <c r="G37" i="123" s="1"/>
  <c r="G38" i="123" s="1"/>
  <c r="G39" i="123" s="1"/>
  <c r="G40" i="123" s="1"/>
  <c r="G41" i="123" s="1"/>
  <c r="G42" i="123" s="1"/>
  <c r="G43" i="123" s="1"/>
  <c r="G44" i="123" s="1"/>
  <c r="G45" i="123" s="1"/>
  <c r="G46" i="123" s="1"/>
  <c r="G47" i="123" s="1"/>
  <c r="G48" i="123" s="1"/>
  <c r="G49" i="123" s="1"/>
  <c r="G50" i="123" s="1"/>
  <c r="G51" i="123" s="1"/>
  <c r="G52" i="123" s="1"/>
  <c r="G53" i="123" s="1"/>
  <c r="G54" i="123" s="1"/>
  <c r="G55" i="123" s="1"/>
  <c r="G56" i="123" s="1"/>
  <c r="G57" i="123" s="1"/>
  <c r="G58" i="123" s="1"/>
  <c r="G59" i="123" s="1"/>
  <c r="G60" i="123" s="1"/>
  <c r="G61" i="123" s="1"/>
  <c r="G62" i="123" s="1"/>
  <c r="G63" i="123" s="1"/>
  <c r="G64" i="123" s="1"/>
  <c r="G65" i="123" s="1"/>
  <c r="G66" i="123" s="1"/>
  <c r="G67" i="123" s="1"/>
  <c r="G68" i="123" s="1"/>
  <c r="G69" i="123" s="1"/>
  <c r="G70" i="123" s="1"/>
  <c r="G71" i="123" s="1"/>
  <c r="G72" i="123" s="1"/>
  <c r="G73" i="123" s="1"/>
  <c r="G74" i="123" s="1"/>
  <c r="G75" i="123" s="1"/>
  <c r="G76" i="123" s="1"/>
  <c r="G77" i="123" s="1"/>
  <c r="G78" i="123" s="1"/>
  <c r="G79" i="123" s="1"/>
  <c r="G80" i="123" s="1"/>
  <c r="G81" i="123" s="1"/>
  <c r="G82" i="123" s="1"/>
  <c r="G83" i="123" s="1"/>
  <c r="G84" i="123" s="1"/>
  <c r="G85" i="123" s="1"/>
  <c r="G86" i="123" s="1"/>
  <c r="G87" i="123" s="1"/>
  <c r="G88" i="123" s="1"/>
  <c r="G89" i="123" s="1"/>
  <c r="G90" i="123" s="1"/>
  <c r="G91" i="123" s="1"/>
  <c r="G92" i="123" s="1"/>
  <c r="G93" i="123" s="1"/>
  <c r="G94" i="123" s="1"/>
  <c r="G95" i="123" s="1"/>
  <c r="G96" i="123" s="1"/>
  <c r="G97" i="123" s="1"/>
  <c r="G98" i="123" s="1"/>
  <c r="G99" i="123" s="1"/>
  <c r="G100" i="123" s="1"/>
  <c r="G101" i="123" s="1"/>
  <c r="G102" i="123" s="1"/>
  <c r="G103" i="123" s="1"/>
  <c r="G104" i="123" s="1"/>
  <c r="G105" i="123" s="1"/>
  <c r="G106" i="123" s="1"/>
  <c r="G107" i="123" s="1"/>
  <c r="A4" i="123"/>
  <c r="J108" i="122"/>
  <c r="F108" i="122"/>
  <c r="F84" i="33" s="1"/>
  <c r="E108" i="122"/>
  <c r="P20" i="122"/>
  <c r="L11" i="122"/>
  <c r="A10" i="122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A24" i="122" s="1"/>
  <c r="A25" i="122" s="1"/>
  <c r="A26" i="122" s="1"/>
  <c r="A27" i="122" s="1"/>
  <c r="A28" i="122" s="1"/>
  <c r="A29" i="122" s="1"/>
  <c r="A30" i="122" s="1"/>
  <c r="A31" i="122" s="1"/>
  <c r="A32" i="122" s="1"/>
  <c r="A33" i="122" s="1"/>
  <c r="A34" i="122" s="1"/>
  <c r="A35" i="122" s="1"/>
  <c r="A36" i="122" s="1"/>
  <c r="A37" i="122" s="1"/>
  <c r="A38" i="122" s="1"/>
  <c r="A39" i="122" s="1"/>
  <c r="A40" i="122" s="1"/>
  <c r="A41" i="122" s="1"/>
  <c r="A42" i="122" s="1"/>
  <c r="A43" i="122" s="1"/>
  <c r="A44" i="122" s="1"/>
  <c r="A45" i="122" s="1"/>
  <c r="A46" i="122" s="1"/>
  <c r="A47" i="122" s="1"/>
  <c r="A48" i="122" s="1"/>
  <c r="A49" i="122" s="1"/>
  <c r="A50" i="122" s="1"/>
  <c r="A51" i="122" s="1"/>
  <c r="A52" i="122" s="1"/>
  <c r="A53" i="122" s="1"/>
  <c r="A54" i="122" s="1"/>
  <c r="A55" i="122" s="1"/>
  <c r="A56" i="122" s="1"/>
  <c r="A57" i="122" s="1"/>
  <c r="A58" i="122" s="1"/>
  <c r="A59" i="122" s="1"/>
  <c r="A60" i="122" s="1"/>
  <c r="A61" i="122" s="1"/>
  <c r="A62" i="122" s="1"/>
  <c r="A63" i="122" s="1"/>
  <c r="A64" i="122" s="1"/>
  <c r="A65" i="122" s="1"/>
  <c r="A66" i="122" s="1"/>
  <c r="A67" i="122" s="1"/>
  <c r="A68" i="122" s="1"/>
  <c r="A69" i="122" s="1"/>
  <c r="A70" i="122" s="1"/>
  <c r="A71" i="122" s="1"/>
  <c r="A72" i="122" s="1"/>
  <c r="A73" i="122" s="1"/>
  <c r="A74" i="122" s="1"/>
  <c r="A75" i="122" s="1"/>
  <c r="A76" i="122" s="1"/>
  <c r="A77" i="122" s="1"/>
  <c r="A78" i="122" s="1"/>
  <c r="A79" i="122" s="1"/>
  <c r="A80" i="122" s="1"/>
  <c r="A81" i="122" s="1"/>
  <c r="A82" i="122" s="1"/>
  <c r="A83" i="122" s="1"/>
  <c r="A84" i="122" s="1"/>
  <c r="A85" i="122" s="1"/>
  <c r="A86" i="122" s="1"/>
  <c r="A87" i="122" s="1"/>
  <c r="A88" i="122" s="1"/>
  <c r="A89" i="122" s="1"/>
  <c r="A90" i="122" s="1"/>
  <c r="A91" i="122" s="1"/>
  <c r="A92" i="122" s="1"/>
  <c r="A93" i="122" s="1"/>
  <c r="A105" i="122" s="1"/>
  <c r="A106" i="122" s="1"/>
  <c r="A107" i="122" s="1"/>
  <c r="G9" i="122"/>
  <c r="G10" i="122" s="1"/>
  <c r="G11" i="122" s="1"/>
  <c r="G12" i="122" s="1"/>
  <c r="G13" i="122" s="1"/>
  <c r="G14" i="122" s="1"/>
  <c r="G15" i="122" s="1"/>
  <c r="G16" i="122" s="1"/>
  <c r="G17" i="122" s="1"/>
  <c r="G18" i="122" s="1"/>
  <c r="G19" i="122" s="1"/>
  <c r="G20" i="122" s="1"/>
  <c r="G21" i="122" s="1"/>
  <c r="G22" i="122" s="1"/>
  <c r="G23" i="122" s="1"/>
  <c r="G24" i="122" s="1"/>
  <c r="G25" i="122" s="1"/>
  <c r="G26" i="122" s="1"/>
  <c r="G27" i="122" s="1"/>
  <c r="G28" i="122" s="1"/>
  <c r="G29" i="122" s="1"/>
  <c r="G30" i="122" s="1"/>
  <c r="G31" i="122" s="1"/>
  <c r="G32" i="122" s="1"/>
  <c r="G33" i="122" s="1"/>
  <c r="G34" i="122" s="1"/>
  <c r="G35" i="122" s="1"/>
  <c r="G36" i="122" s="1"/>
  <c r="G37" i="122" s="1"/>
  <c r="G38" i="122" s="1"/>
  <c r="G39" i="122" s="1"/>
  <c r="G40" i="122" s="1"/>
  <c r="G41" i="122" s="1"/>
  <c r="G42" i="122" s="1"/>
  <c r="G43" i="122" s="1"/>
  <c r="G44" i="122" s="1"/>
  <c r="G45" i="122" s="1"/>
  <c r="G46" i="122" s="1"/>
  <c r="G47" i="122" s="1"/>
  <c r="G48" i="122" s="1"/>
  <c r="G49" i="122" s="1"/>
  <c r="G50" i="122" s="1"/>
  <c r="G51" i="122" s="1"/>
  <c r="G52" i="122" s="1"/>
  <c r="G53" i="122" s="1"/>
  <c r="G54" i="122" s="1"/>
  <c r="G55" i="122" s="1"/>
  <c r="G56" i="122" s="1"/>
  <c r="G57" i="122" s="1"/>
  <c r="G58" i="122" s="1"/>
  <c r="G59" i="122" s="1"/>
  <c r="G60" i="122" s="1"/>
  <c r="G61" i="122" s="1"/>
  <c r="G62" i="122" s="1"/>
  <c r="G63" i="122" s="1"/>
  <c r="G64" i="122" s="1"/>
  <c r="G65" i="122" s="1"/>
  <c r="G66" i="122" s="1"/>
  <c r="G67" i="122" s="1"/>
  <c r="G68" i="122" s="1"/>
  <c r="G69" i="122" s="1"/>
  <c r="G70" i="122" s="1"/>
  <c r="G71" i="122" s="1"/>
  <c r="G72" i="122" s="1"/>
  <c r="G73" i="122" s="1"/>
  <c r="G74" i="122" s="1"/>
  <c r="G75" i="122" s="1"/>
  <c r="G76" i="122" s="1"/>
  <c r="G77" i="122" s="1"/>
  <c r="G78" i="122" s="1"/>
  <c r="G79" i="122" s="1"/>
  <c r="G80" i="122" s="1"/>
  <c r="G81" i="122" s="1"/>
  <c r="G82" i="122" s="1"/>
  <c r="G83" i="122" s="1"/>
  <c r="G84" i="122" s="1"/>
  <c r="G85" i="122" s="1"/>
  <c r="G86" i="122" s="1"/>
  <c r="G87" i="122" s="1"/>
  <c r="G88" i="122" s="1"/>
  <c r="G89" i="122" s="1"/>
  <c r="G90" i="122" s="1"/>
  <c r="G91" i="122" s="1"/>
  <c r="G92" i="122" s="1"/>
  <c r="G93" i="122" s="1"/>
  <c r="G94" i="122" s="1"/>
  <c r="G95" i="122" s="1"/>
  <c r="G96" i="122" s="1"/>
  <c r="G97" i="122" s="1"/>
  <c r="G98" i="122" s="1"/>
  <c r="G99" i="122" s="1"/>
  <c r="G100" i="122" s="1"/>
  <c r="G101" i="122" s="1"/>
  <c r="G102" i="122" s="1"/>
  <c r="G103" i="122" s="1"/>
  <c r="G104" i="122" s="1"/>
  <c r="G105" i="122" s="1"/>
  <c r="G106" i="122" s="1"/>
  <c r="G107" i="122" s="1"/>
  <c r="A4" i="122"/>
  <c r="J110" i="121"/>
  <c r="F110" i="121"/>
  <c r="E110" i="121"/>
  <c r="M40" i="121"/>
  <c r="M39" i="121"/>
  <c r="O32" i="121"/>
  <c r="M32" i="121"/>
  <c r="I31" i="121"/>
  <c r="I30" i="121"/>
  <c r="A12" i="12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A38" i="121" s="1"/>
  <c r="A39" i="121" s="1"/>
  <c r="A40" i="121" s="1"/>
  <c r="A41" i="121" s="1"/>
  <c r="A42" i="121" s="1"/>
  <c r="A43" i="121" s="1"/>
  <c r="A44" i="121" s="1"/>
  <c r="A45" i="121" s="1"/>
  <c r="A46" i="121" s="1"/>
  <c r="A47" i="121" s="1"/>
  <c r="A48" i="121" s="1"/>
  <c r="A49" i="121" s="1"/>
  <c r="A50" i="121" s="1"/>
  <c r="A51" i="121" s="1"/>
  <c r="A52" i="121" s="1"/>
  <c r="A53" i="121" s="1"/>
  <c r="A54" i="121" s="1"/>
  <c r="A55" i="121" s="1"/>
  <c r="A56" i="121" s="1"/>
  <c r="A57" i="121" s="1"/>
  <c r="A58" i="121" s="1"/>
  <c r="A59" i="121" s="1"/>
  <c r="A60" i="121" s="1"/>
  <c r="A61" i="121" s="1"/>
  <c r="A62" i="121" s="1"/>
  <c r="A63" i="121" s="1"/>
  <c r="A64" i="121" s="1"/>
  <c r="A65" i="121" s="1"/>
  <c r="A66" i="121" s="1"/>
  <c r="A67" i="121" s="1"/>
  <c r="A68" i="121" s="1"/>
  <c r="A69" i="121" s="1"/>
  <c r="A70" i="121" s="1"/>
  <c r="A71" i="121" s="1"/>
  <c r="A72" i="121" s="1"/>
  <c r="A73" i="121" s="1"/>
  <c r="A74" i="121" s="1"/>
  <c r="A75" i="121" s="1"/>
  <c r="A76" i="121" s="1"/>
  <c r="A77" i="121" s="1"/>
  <c r="A78" i="121" s="1"/>
  <c r="A79" i="121" s="1"/>
  <c r="A80" i="121" s="1"/>
  <c r="A81" i="121" s="1"/>
  <c r="A82" i="121" s="1"/>
  <c r="A83" i="121" s="1"/>
  <c r="A84" i="121" s="1"/>
  <c r="A85" i="121" s="1"/>
  <c r="A86" i="121" s="1"/>
  <c r="A87" i="121" s="1"/>
  <c r="A88" i="121" s="1"/>
  <c r="A89" i="121" s="1"/>
  <c r="A90" i="121" s="1"/>
  <c r="A91" i="121" s="1"/>
  <c r="A92" i="121" s="1"/>
  <c r="A93" i="121" s="1"/>
  <c r="A94" i="121" s="1"/>
  <c r="A95" i="121" s="1"/>
  <c r="A96" i="121" s="1"/>
  <c r="A97" i="121" s="1"/>
  <c r="A98" i="121" s="1"/>
  <c r="A99" i="121" s="1"/>
  <c r="A100" i="121" s="1"/>
  <c r="A101" i="121" s="1"/>
  <c r="A102" i="121" s="1"/>
  <c r="A103" i="121" s="1"/>
  <c r="A104" i="121" s="1"/>
  <c r="A105" i="121" s="1"/>
  <c r="A106" i="121" s="1"/>
  <c r="A107" i="121" s="1"/>
  <c r="A108" i="121" s="1"/>
  <c r="A109" i="121" s="1"/>
  <c r="A10" i="121"/>
  <c r="G9" i="121"/>
  <c r="G10" i="121" s="1"/>
  <c r="G11" i="121" s="1"/>
  <c r="G12" i="121" s="1"/>
  <c r="G13" i="121" s="1"/>
  <c r="G14" i="121" s="1"/>
  <c r="G15" i="121" s="1"/>
  <c r="G16" i="121" s="1"/>
  <c r="G17" i="121" s="1"/>
  <c r="G18" i="121" s="1"/>
  <c r="G19" i="121" s="1"/>
  <c r="G20" i="121" s="1"/>
  <c r="G21" i="121" s="1"/>
  <c r="G22" i="121" s="1"/>
  <c r="G23" i="121" s="1"/>
  <c r="G24" i="121" s="1"/>
  <c r="G25" i="121" s="1"/>
  <c r="G26" i="121" s="1"/>
  <c r="G27" i="121" s="1"/>
  <c r="G28" i="121" s="1"/>
  <c r="G29" i="121" s="1"/>
  <c r="G30" i="121" s="1"/>
  <c r="G31" i="121" s="1"/>
  <c r="G32" i="121" s="1"/>
  <c r="G33" i="121" s="1"/>
  <c r="G34" i="121" s="1"/>
  <c r="G35" i="121" s="1"/>
  <c r="G36" i="121" s="1"/>
  <c r="G37" i="121" s="1"/>
  <c r="G38" i="121" s="1"/>
  <c r="G39" i="121" s="1"/>
  <c r="G40" i="121" s="1"/>
  <c r="G41" i="121" s="1"/>
  <c r="G42" i="121" s="1"/>
  <c r="G43" i="121" s="1"/>
  <c r="G44" i="121" s="1"/>
  <c r="G45" i="121" s="1"/>
  <c r="G46" i="121" s="1"/>
  <c r="G47" i="121" s="1"/>
  <c r="G48" i="121" s="1"/>
  <c r="G49" i="121" s="1"/>
  <c r="G50" i="121" s="1"/>
  <c r="G51" i="121" s="1"/>
  <c r="G52" i="121" s="1"/>
  <c r="G53" i="121" s="1"/>
  <c r="G54" i="121" s="1"/>
  <c r="G55" i="121" s="1"/>
  <c r="G56" i="121" s="1"/>
  <c r="G57" i="121" s="1"/>
  <c r="G58" i="121" s="1"/>
  <c r="G59" i="121" s="1"/>
  <c r="G60" i="121" s="1"/>
  <c r="G61" i="121" s="1"/>
  <c r="G62" i="121" s="1"/>
  <c r="G63" i="121" s="1"/>
  <c r="G64" i="121" s="1"/>
  <c r="G65" i="121" s="1"/>
  <c r="G66" i="121" s="1"/>
  <c r="G67" i="121" s="1"/>
  <c r="G68" i="121" s="1"/>
  <c r="G69" i="121" s="1"/>
  <c r="G70" i="121" s="1"/>
  <c r="G71" i="121" s="1"/>
  <c r="G72" i="121" s="1"/>
  <c r="G73" i="121" s="1"/>
  <c r="G74" i="121" s="1"/>
  <c r="G75" i="121" s="1"/>
  <c r="G76" i="121" s="1"/>
  <c r="G77" i="121" s="1"/>
  <c r="G78" i="121" s="1"/>
  <c r="G79" i="121" s="1"/>
  <c r="G80" i="121" s="1"/>
  <c r="G81" i="121" s="1"/>
  <c r="G82" i="121" s="1"/>
  <c r="G83" i="121" s="1"/>
  <c r="G84" i="121" s="1"/>
  <c r="G85" i="121" s="1"/>
  <c r="G86" i="121" s="1"/>
  <c r="G87" i="121" s="1"/>
  <c r="G88" i="121" s="1"/>
  <c r="G89" i="121" s="1"/>
  <c r="G90" i="121" s="1"/>
  <c r="G91" i="121" s="1"/>
  <c r="G92" i="121" s="1"/>
  <c r="G93" i="121" s="1"/>
  <c r="G94" i="121" s="1"/>
  <c r="G95" i="121" s="1"/>
  <c r="G96" i="121" s="1"/>
  <c r="G97" i="121" s="1"/>
  <c r="G98" i="121" s="1"/>
  <c r="G99" i="121" s="1"/>
  <c r="G100" i="121" s="1"/>
  <c r="G101" i="121" s="1"/>
  <c r="G102" i="121" s="1"/>
  <c r="G103" i="121" s="1"/>
  <c r="G104" i="121" s="1"/>
  <c r="G105" i="121" s="1"/>
  <c r="G106" i="121" s="1"/>
  <c r="G107" i="121" s="1"/>
  <c r="G108" i="121" s="1"/>
  <c r="G109" i="121" s="1"/>
  <c r="A4" i="121"/>
  <c r="J110" i="120"/>
  <c r="F110" i="120"/>
  <c r="E110" i="120"/>
  <c r="G110" i="120" s="1"/>
  <c r="M39" i="120"/>
  <c r="M40" i="120" s="1"/>
  <c r="O32" i="120"/>
  <c r="M32" i="120"/>
  <c r="I30" i="120" s="1"/>
  <c r="I31" i="120"/>
  <c r="Q30" i="120"/>
  <c r="Q29" i="120"/>
  <c r="M28" i="120"/>
  <c r="M29" i="120" s="1"/>
  <c r="N25" i="120"/>
  <c r="L24" i="120"/>
  <c r="N23" i="120"/>
  <c r="N22" i="120"/>
  <c r="L11" i="120"/>
  <c r="I18" i="120" s="1"/>
  <c r="A10" i="120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A72" i="120" s="1"/>
  <c r="A73" i="120" s="1"/>
  <c r="A74" i="120" s="1"/>
  <c r="A75" i="120" s="1"/>
  <c r="A76" i="120" s="1"/>
  <c r="A77" i="120" s="1"/>
  <c r="A78" i="120" s="1"/>
  <c r="A79" i="120" s="1"/>
  <c r="A80" i="120" s="1"/>
  <c r="A81" i="120" s="1"/>
  <c r="A82" i="120" s="1"/>
  <c r="A83" i="120" s="1"/>
  <c r="A84" i="120" s="1"/>
  <c r="A85" i="120" s="1"/>
  <c r="A86" i="120" s="1"/>
  <c r="A87" i="120" s="1"/>
  <c r="A88" i="120" s="1"/>
  <c r="A89" i="120" s="1"/>
  <c r="A90" i="120" s="1"/>
  <c r="A91" i="120" s="1"/>
  <c r="A92" i="120" s="1"/>
  <c r="A93" i="120" s="1"/>
  <c r="A94" i="120" s="1"/>
  <c r="A95" i="120" s="1"/>
  <c r="A96" i="120" s="1"/>
  <c r="A97" i="120" s="1"/>
  <c r="A98" i="120" s="1"/>
  <c r="A99" i="120" s="1"/>
  <c r="A100" i="120" s="1"/>
  <c r="A101" i="120" s="1"/>
  <c r="A102" i="120" s="1"/>
  <c r="A103" i="120" s="1"/>
  <c r="A104" i="120" s="1"/>
  <c r="A105" i="120" s="1"/>
  <c r="A106" i="120" s="1"/>
  <c r="A107" i="120" s="1"/>
  <c r="A108" i="120" s="1"/>
  <c r="A109" i="120" s="1"/>
  <c r="L9" i="120"/>
  <c r="I10" i="120" s="1"/>
  <c r="G9" i="120"/>
  <c r="G10" i="120" s="1"/>
  <c r="G11" i="120" s="1"/>
  <c r="G12" i="120" s="1"/>
  <c r="G13" i="120" s="1"/>
  <c r="G14" i="120" s="1"/>
  <c r="G15" i="120" s="1"/>
  <c r="G16" i="120" s="1"/>
  <c r="G17" i="120" s="1"/>
  <c r="G18" i="120" s="1"/>
  <c r="G19" i="120" s="1"/>
  <c r="G20" i="120" s="1"/>
  <c r="G21" i="120" s="1"/>
  <c r="G22" i="120" s="1"/>
  <c r="G23" i="120" s="1"/>
  <c r="G24" i="120" s="1"/>
  <c r="G25" i="120" s="1"/>
  <c r="G26" i="120" s="1"/>
  <c r="G27" i="120" s="1"/>
  <c r="G28" i="120" s="1"/>
  <c r="G29" i="120" s="1"/>
  <c r="G30" i="120" s="1"/>
  <c r="G31" i="120" s="1"/>
  <c r="G32" i="120" s="1"/>
  <c r="G33" i="120" s="1"/>
  <c r="G34" i="120" s="1"/>
  <c r="G35" i="120" s="1"/>
  <c r="G36" i="120" s="1"/>
  <c r="G37" i="120" s="1"/>
  <c r="G38" i="120" s="1"/>
  <c r="G39" i="120" s="1"/>
  <c r="G40" i="120" s="1"/>
  <c r="G41" i="120" s="1"/>
  <c r="G42" i="120" s="1"/>
  <c r="G43" i="120" s="1"/>
  <c r="G44" i="120" s="1"/>
  <c r="G45" i="120" s="1"/>
  <c r="G46" i="120" s="1"/>
  <c r="G47" i="120" s="1"/>
  <c r="G48" i="120" s="1"/>
  <c r="G49" i="120" s="1"/>
  <c r="G50" i="120" s="1"/>
  <c r="G51" i="120" s="1"/>
  <c r="G52" i="120" s="1"/>
  <c r="G53" i="120" s="1"/>
  <c r="G54" i="120" s="1"/>
  <c r="G55" i="120" s="1"/>
  <c r="G56" i="120" s="1"/>
  <c r="G57" i="120" s="1"/>
  <c r="G58" i="120" s="1"/>
  <c r="G59" i="120" s="1"/>
  <c r="G60" i="120" s="1"/>
  <c r="G61" i="120" s="1"/>
  <c r="G62" i="120" s="1"/>
  <c r="G63" i="120" s="1"/>
  <c r="G64" i="120" s="1"/>
  <c r="G65" i="120" s="1"/>
  <c r="G66" i="120" s="1"/>
  <c r="G67" i="120" s="1"/>
  <c r="G68" i="120" s="1"/>
  <c r="G69" i="120" s="1"/>
  <c r="G70" i="120" s="1"/>
  <c r="G71" i="120" s="1"/>
  <c r="G72" i="120" s="1"/>
  <c r="G73" i="120" s="1"/>
  <c r="G74" i="120" s="1"/>
  <c r="G75" i="120" s="1"/>
  <c r="G76" i="120" s="1"/>
  <c r="G77" i="120" s="1"/>
  <c r="G78" i="120" s="1"/>
  <c r="G79" i="120" s="1"/>
  <c r="G80" i="120" s="1"/>
  <c r="G81" i="120" s="1"/>
  <c r="G82" i="120" s="1"/>
  <c r="G83" i="120" s="1"/>
  <c r="G84" i="120" s="1"/>
  <c r="G85" i="120" s="1"/>
  <c r="G86" i="120" s="1"/>
  <c r="G87" i="120" s="1"/>
  <c r="G88" i="120" s="1"/>
  <c r="G89" i="120" s="1"/>
  <c r="G90" i="120" s="1"/>
  <c r="G91" i="120" s="1"/>
  <c r="G92" i="120" s="1"/>
  <c r="G93" i="120" s="1"/>
  <c r="G94" i="120" s="1"/>
  <c r="G95" i="120" s="1"/>
  <c r="G96" i="120" s="1"/>
  <c r="G97" i="120" s="1"/>
  <c r="G98" i="120" s="1"/>
  <c r="G99" i="120" s="1"/>
  <c r="G100" i="120" s="1"/>
  <c r="G101" i="120" s="1"/>
  <c r="G102" i="120" s="1"/>
  <c r="G103" i="120" s="1"/>
  <c r="G104" i="120" s="1"/>
  <c r="G105" i="120" s="1"/>
  <c r="G106" i="120" s="1"/>
  <c r="G107" i="120" s="1"/>
  <c r="G108" i="120" s="1"/>
  <c r="G109" i="120" s="1"/>
  <c r="A4" i="120"/>
  <c r="I23" i="113"/>
  <c r="I22" i="113"/>
  <c r="L12" i="119"/>
  <c r="I27" i="119" s="1"/>
  <c r="J109" i="119"/>
  <c r="E109" i="119"/>
  <c r="M39" i="119"/>
  <c r="M38" i="119"/>
  <c r="N24" i="119"/>
  <c r="N22" i="119"/>
  <c r="N21" i="119"/>
  <c r="M19" i="119"/>
  <c r="N13" i="119"/>
  <c r="N15" i="119" s="1"/>
  <c r="A10" i="119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A38" i="119" s="1"/>
  <c r="A39" i="119" s="1"/>
  <c r="A40" i="119" s="1"/>
  <c r="A41" i="119" s="1"/>
  <c r="A42" i="119" s="1"/>
  <c r="A43" i="119" s="1"/>
  <c r="A44" i="119" s="1"/>
  <c r="A45" i="119" s="1"/>
  <c r="A46" i="119" s="1"/>
  <c r="A47" i="119" s="1"/>
  <c r="A48" i="119" s="1"/>
  <c r="A49" i="119" s="1"/>
  <c r="A50" i="119" s="1"/>
  <c r="A51" i="119" s="1"/>
  <c r="A52" i="119" s="1"/>
  <c r="A53" i="119" s="1"/>
  <c r="A54" i="119" s="1"/>
  <c r="A55" i="119" s="1"/>
  <c r="A56" i="119" s="1"/>
  <c r="A57" i="119" s="1"/>
  <c r="A58" i="119" s="1"/>
  <c r="A59" i="119" s="1"/>
  <c r="A60" i="119" s="1"/>
  <c r="A61" i="119" s="1"/>
  <c r="A62" i="119" s="1"/>
  <c r="A63" i="119" s="1"/>
  <c r="A64" i="119" s="1"/>
  <c r="A65" i="119" s="1"/>
  <c r="A66" i="119" s="1"/>
  <c r="A67" i="119" s="1"/>
  <c r="A68" i="119" s="1"/>
  <c r="A69" i="119" s="1"/>
  <c r="A70" i="119" s="1"/>
  <c r="A71" i="119" s="1"/>
  <c r="A72" i="119" s="1"/>
  <c r="A73" i="119" s="1"/>
  <c r="A74" i="119" s="1"/>
  <c r="A75" i="119" s="1"/>
  <c r="A76" i="119" s="1"/>
  <c r="A77" i="119" s="1"/>
  <c r="A78" i="119" s="1"/>
  <c r="A79" i="119" s="1"/>
  <c r="A80" i="119" s="1"/>
  <c r="A81" i="119" s="1"/>
  <c r="A82" i="119" s="1"/>
  <c r="A83" i="119" s="1"/>
  <c r="A84" i="119" s="1"/>
  <c r="A85" i="119" s="1"/>
  <c r="A86" i="119" s="1"/>
  <c r="A87" i="119" s="1"/>
  <c r="A88" i="119" s="1"/>
  <c r="A89" i="119" s="1"/>
  <c r="A90" i="119" s="1"/>
  <c r="A91" i="119" s="1"/>
  <c r="A92" i="119" s="1"/>
  <c r="A93" i="119" s="1"/>
  <c r="A94" i="119" s="1"/>
  <c r="A95" i="119" s="1"/>
  <c r="A96" i="119" s="1"/>
  <c r="A97" i="119" s="1"/>
  <c r="A98" i="119" s="1"/>
  <c r="A99" i="119" s="1"/>
  <c r="A100" i="119" s="1"/>
  <c r="A101" i="119" s="1"/>
  <c r="A102" i="119" s="1"/>
  <c r="A103" i="119" s="1"/>
  <c r="A104" i="119" s="1"/>
  <c r="A105" i="119" s="1"/>
  <c r="A106" i="119" s="1"/>
  <c r="A107" i="119" s="1"/>
  <c r="A108" i="119" s="1"/>
  <c r="G9" i="119"/>
  <c r="G10" i="119" s="1"/>
  <c r="G11" i="119" s="1"/>
  <c r="G12" i="119" s="1"/>
  <c r="G13" i="119" s="1"/>
  <c r="G14" i="119" s="1"/>
  <c r="G15" i="119" s="1"/>
  <c r="G16" i="119" s="1"/>
  <c r="G17" i="119" s="1"/>
  <c r="G18" i="119" s="1"/>
  <c r="G19" i="119" s="1"/>
  <c r="G20" i="119" s="1"/>
  <c r="G21" i="119" s="1"/>
  <c r="G22" i="119" s="1"/>
  <c r="G23" i="119" s="1"/>
  <c r="G24" i="119" s="1"/>
  <c r="G25" i="119" s="1"/>
  <c r="G26" i="119" s="1"/>
  <c r="G27" i="119" s="1"/>
  <c r="G28" i="119" s="1"/>
  <c r="G29" i="119" s="1"/>
  <c r="G30" i="119" s="1"/>
  <c r="G31" i="119" s="1"/>
  <c r="G32" i="119" s="1"/>
  <c r="G33" i="119" s="1"/>
  <c r="G34" i="119" s="1"/>
  <c r="G35" i="119" s="1"/>
  <c r="G36" i="119" s="1"/>
  <c r="G37" i="119" s="1"/>
  <c r="G38" i="119" s="1"/>
  <c r="G39" i="119" s="1"/>
  <c r="G40" i="119" s="1"/>
  <c r="G41" i="119" s="1"/>
  <c r="G42" i="119" s="1"/>
  <c r="G43" i="119" s="1"/>
  <c r="G44" i="119" s="1"/>
  <c r="G45" i="119" s="1"/>
  <c r="G46" i="119" s="1"/>
  <c r="G47" i="119" s="1"/>
  <c r="G48" i="119" s="1"/>
  <c r="G49" i="119" s="1"/>
  <c r="G50" i="119" s="1"/>
  <c r="G51" i="119" s="1"/>
  <c r="G52" i="119" s="1"/>
  <c r="G53" i="119" s="1"/>
  <c r="G54" i="119" s="1"/>
  <c r="G55" i="119" s="1"/>
  <c r="G56" i="119" s="1"/>
  <c r="G57" i="119" s="1"/>
  <c r="G58" i="119" s="1"/>
  <c r="G59" i="119" s="1"/>
  <c r="G60" i="119" s="1"/>
  <c r="G61" i="119" s="1"/>
  <c r="G62" i="119" s="1"/>
  <c r="G63" i="119" s="1"/>
  <c r="G64" i="119" s="1"/>
  <c r="G65" i="119" s="1"/>
  <c r="G66" i="119" s="1"/>
  <c r="G67" i="119" s="1"/>
  <c r="G68" i="119" s="1"/>
  <c r="G69" i="119" s="1"/>
  <c r="G70" i="119" s="1"/>
  <c r="G71" i="119" s="1"/>
  <c r="G72" i="119" s="1"/>
  <c r="G73" i="119" s="1"/>
  <c r="G74" i="119" s="1"/>
  <c r="G75" i="119" s="1"/>
  <c r="G76" i="119" s="1"/>
  <c r="G77" i="119" s="1"/>
  <c r="G78" i="119" s="1"/>
  <c r="G79" i="119" s="1"/>
  <c r="G80" i="119" s="1"/>
  <c r="G81" i="119" s="1"/>
  <c r="G82" i="119" s="1"/>
  <c r="G83" i="119" s="1"/>
  <c r="G84" i="119" s="1"/>
  <c r="G85" i="119" s="1"/>
  <c r="G86" i="119" s="1"/>
  <c r="G87" i="119" s="1"/>
  <c r="G88" i="119" s="1"/>
  <c r="G89" i="119" s="1"/>
  <c r="G90" i="119" s="1"/>
  <c r="G91" i="119" s="1"/>
  <c r="G92" i="119" s="1"/>
  <c r="G93" i="119" s="1"/>
  <c r="G94" i="119" s="1"/>
  <c r="G95" i="119" s="1"/>
  <c r="G96" i="119" s="1"/>
  <c r="G97" i="119" s="1"/>
  <c r="G98" i="119" s="1"/>
  <c r="G99" i="119" s="1"/>
  <c r="G100" i="119" s="1"/>
  <c r="G101" i="119" s="1"/>
  <c r="G102" i="119" s="1"/>
  <c r="G103" i="119" s="1"/>
  <c r="G104" i="119" s="1"/>
  <c r="G105" i="119" s="1"/>
  <c r="G106" i="119" s="1"/>
  <c r="G107" i="119" s="1"/>
  <c r="G108" i="119" s="1"/>
  <c r="A4" i="119"/>
  <c r="I21" i="113"/>
  <c r="I27" i="107"/>
  <c r="I26" i="107"/>
  <c r="I42" i="81"/>
  <c r="I41" i="81"/>
  <c r="I25" i="107"/>
  <c r="I24" i="107"/>
  <c r="I40" i="81"/>
  <c r="I23" i="107"/>
  <c r="I22" i="107"/>
  <c r="I21" i="107"/>
  <c r="D41" i="33"/>
  <c r="D93" i="33"/>
  <c r="E92" i="33"/>
  <c r="D92" i="33"/>
  <c r="E91" i="33"/>
  <c r="D91" i="33"/>
  <c r="D90" i="33"/>
  <c r="F89" i="33"/>
  <c r="E89" i="33"/>
  <c r="D89" i="33"/>
  <c r="L111" i="108" l="1"/>
  <c r="G108" i="123"/>
  <c r="G84" i="33"/>
  <c r="G108" i="122"/>
  <c r="G110" i="121"/>
  <c r="G140" i="124"/>
  <c r="E85" i="33"/>
  <c r="G85" i="33" s="1"/>
  <c r="I19" i="120"/>
  <c r="I22" i="120"/>
  <c r="I15" i="120"/>
  <c r="I20" i="120"/>
  <c r="I16" i="120"/>
  <c r="I23" i="120"/>
  <c r="I11" i="120"/>
  <c r="I17" i="120"/>
  <c r="I21" i="120"/>
  <c r="I14" i="120"/>
  <c r="I16" i="119"/>
  <c r="I20" i="119"/>
  <c r="I25" i="119"/>
  <c r="I15" i="119"/>
  <c r="I22" i="119"/>
  <c r="I18" i="119"/>
  <c r="I21" i="119"/>
  <c r="I23" i="119"/>
  <c r="I26" i="119"/>
  <c r="I19" i="119"/>
  <c r="I24" i="119"/>
  <c r="I17" i="119"/>
  <c r="F109" i="119"/>
  <c r="G109" i="119" s="1"/>
  <c r="F88" i="33"/>
  <c r="E88" i="33"/>
  <c r="D88" i="33"/>
  <c r="E87" i="33"/>
  <c r="D87" i="33"/>
  <c r="F86" i="33"/>
  <c r="E86" i="33"/>
  <c r="D86" i="33"/>
  <c r="D82" i="33"/>
  <c r="D81" i="33"/>
  <c r="F80" i="33"/>
  <c r="E80" i="33"/>
  <c r="D80" i="33"/>
  <c r="F79" i="33" l="1"/>
  <c r="D79" i="33"/>
  <c r="D78" i="33"/>
  <c r="E77" i="33"/>
  <c r="D77" i="33"/>
  <c r="E76" i="33"/>
  <c r="D76" i="33"/>
  <c r="F75" i="33"/>
  <c r="E75" i="33"/>
  <c r="D75" i="33"/>
  <c r="E74" i="33"/>
  <c r="D74" i="33"/>
  <c r="E73" i="33"/>
  <c r="D73" i="33"/>
  <c r="D72" i="33"/>
  <c r="E46" i="33"/>
  <c r="D46" i="33"/>
  <c r="I20" i="107"/>
  <c r="K16" i="22" l="1"/>
  <c r="I19" i="107"/>
  <c r="F91" i="118"/>
  <c r="F46" i="33" s="1"/>
  <c r="E91" i="118"/>
  <c r="J15" i="118"/>
  <c r="A11" i="118"/>
  <c r="A12" i="118" s="1"/>
  <c r="A13" i="118" s="1"/>
  <c r="A14" i="118" s="1"/>
  <c r="A15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A39" i="118" s="1"/>
  <c r="A40" i="118" s="1"/>
  <c r="A41" i="118" s="1"/>
  <c r="A42" i="118" s="1"/>
  <c r="A43" i="118" s="1"/>
  <c r="A44" i="118" s="1"/>
  <c r="A45" i="118" s="1"/>
  <c r="A46" i="118" s="1"/>
  <c r="A47" i="118" s="1"/>
  <c r="A48" i="118" s="1"/>
  <c r="A49" i="118" s="1"/>
  <c r="A50" i="118" s="1"/>
  <c r="A51" i="118" s="1"/>
  <c r="A52" i="118" s="1"/>
  <c r="A53" i="118" s="1"/>
  <c r="A54" i="118" s="1"/>
  <c r="A55" i="118" s="1"/>
  <c r="A56" i="118" s="1"/>
  <c r="A57" i="118" s="1"/>
  <c r="A58" i="118" s="1"/>
  <c r="A59" i="118" s="1"/>
  <c r="A60" i="118" s="1"/>
  <c r="A61" i="118" s="1"/>
  <c r="A62" i="118" s="1"/>
  <c r="A63" i="118" s="1"/>
  <c r="A64" i="118" s="1"/>
  <c r="A65" i="118" s="1"/>
  <c r="A66" i="118" s="1"/>
  <c r="A67" i="118" s="1"/>
  <c r="A68" i="118" s="1"/>
  <c r="A69" i="118" s="1"/>
  <c r="A70" i="118" s="1"/>
  <c r="A71" i="118" s="1"/>
  <c r="A72" i="118" s="1"/>
  <c r="A73" i="118" s="1"/>
  <c r="A74" i="118" s="1"/>
  <c r="A75" i="118" s="1"/>
  <c r="A76" i="118" s="1"/>
  <c r="A77" i="118" s="1"/>
  <c r="A78" i="118" s="1"/>
  <c r="A88" i="118" s="1"/>
  <c r="A89" i="118" s="1"/>
  <c r="A90" i="118" s="1"/>
  <c r="G10" i="118"/>
  <c r="G11" i="118" s="1"/>
  <c r="G12" i="118" s="1"/>
  <c r="G13" i="118" s="1"/>
  <c r="G14" i="118" s="1"/>
  <c r="G15" i="118" s="1"/>
  <c r="G16" i="118" s="1"/>
  <c r="G17" i="118" s="1"/>
  <c r="G18" i="118" s="1"/>
  <c r="G19" i="118" s="1"/>
  <c r="G20" i="118" s="1"/>
  <c r="G21" i="118" s="1"/>
  <c r="G22" i="118" s="1"/>
  <c r="G23" i="118" s="1"/>
  <c r="G24" i="118" s="1"/>
  <c r="G25" i="118" s="1"/>
  <c r="G26" i="118" s="1"/>
  <c r="G27" i="118" s="1"/>
  <c r="G28" i="118" s="1"/>
  <c r="G29" i="118" s="1"/>
  <c r="G30" i="118" s="1"/>
  <c r="G31" i="118" s="1"/>
  <c r="G32" i="118" s="1"/>
  <c r="G33" i="118" s="1"/>
  <c r="G34" i="118" s="1"/>
  <c r="G35" i="118" s="1"/>
  <c r="G36" i="118" s="1"/>
  <c r="G37" i="118" s="1"/>
  <c r="G38" i="118" s="1"/>
  <c r="G39" i="118" s="1"/>
  <c r="G40" i="118" s="1"/>
  <c r="G41" i="118" s="1"/>
  <c r="G42" i="118" s="1"/>
  <c r="G43" i="118" s="1"/>
  <c r="G44" i="118" s="1"/>
  <c r="G45" i="118" s="1"/>
  <c r="G46" i="118" s="1"/>
  <c r="G47" i="118" s="1"/>
  <c r="G48" i="118" s="1"/>
  <c r="G49" i="118" s="1"/>
  <c r="G50" i="118" s="1"/>
  <c r="G51" i="118" s="1"/>
  <c r="G52" i="118" s="1"/>
  <c r="G53" i="118" s="1"/>
  <c r="G54" i="118" s="1"/>
  <c r="G55" i="118" s="1"/>
  <c r="G56" i="118" s="1"/>
  <c r="G57" i="118" s="1"/>
  <c r="G58" i="118" s="1"/>
  <c r="G59" i="118" s="1"/>
  <c r="G60" i="118" s="1"/>
  <c r="G61" i="118" s="1"/>
  <c r="G62" i="118" s="1"/>
  <c r="G63" i="118" s="1"/>
  <c r="G64" i="118" s="1"/>
  <c r="G65" i="118" s="1"/>
  <c r="G66" i="118" s="1"/>
  <c r="G67" i="118" s="1"/>
  <c r="G68" i="118" s="1"/>
  <c r="G69" i="118" s="1"/>
  <c r="G70" i="118" s="1"/>
  <c r="G71" i="118" s="1"/>
  <c r="G72" i="118" s="1"/>
  <c r="G73" i="118" s="1"/>
  <c r="G74" i="118" s="1"/>
  <c r="G75" i="118" s="1"/>
  <c r="G76" i="118" s="1"/>
  <c r="G77" i="118" s="1"/>
  <c r="G78" i="118" s="1"/>
  <c r="G79" i="118" s="1"/>
  <c r="G80" i="118" s="1"/>
  <c r="G81" i="118" s="1"/>
  <c r="G82" i="118" s="1"/>
  <c r="G83" i="118" s="1"/>
  <c r="G84" i="118" s="1"/>
  <c r="G85" i="118" s="1"/>
  <c r="G86" i="118" s="1"/>
  <c r="G87" i="118" s="1"/>
  <c r="G88" i="118" s="1"/>
  <c r="G89" i="118" s="1"/>
  <c r="G90" i="118" s="1"/>
  <c r="E9" i="1"/>
  <c r="G91" i="118" l="1"/>
  <c r="G10" i="20"/>
  <c r="G9" i="20"/>
  <c r="M23" i="42"/>
  <c r="E144" i="31"/>
  <c r="F144" i="31"/>
  <c r="I18" i="107"/>
  <c r="I17" i="107"/>
  <c r="F17" i="107"/>
  <c r="I45" i="46"/>
  <c r="I20" i="113"/>
  <c r="I19" i="113"/>
  <c r="I44" i="46"/>
  <c r="I18" i="113"/>
  <c r="N58" i="46"/>
  <c r="N57" i="46"/>
  <c r="I43" i="46"/>
  <c r="N53" i="46"/>
  <c r="N54" i="46" s="1"/>
  <c r="J113" i="117"/>
  <c r="F113" i="117"/>
  <c r="F93" i="33" s="1"/>
  <c r="E113" i="117"/>
  <c r="A112" i="117"/>
  <c r="G9" i="117"/>
  <c r="G10" i="117" s="1"/>
  <c r="G11" i="117" s="1"/>
  <c r="G12" i="117" s="1"/>
  <c r="G13" i="117" s="1"/>
  <c r="G14" i="117" s="1"/>
  <c r="G15" i="117" s="1"/>
  <c r="G16" i="117" s="1"/>
  <c r="A4" i="117"/>
  <c r="O18" i="116"/>
  <c r="J108" i="116"/>
  <c r="F108" i="116"/>
  <c r="F92" i="33" s="1"/>
  <c r="O28" i="116"/>
  <c r="L10" i="116"/>
  <c r="A10" i="116"/>
  <c r="A11" i="116" s="1"/>
  <c r="A12" i="116" s="1"/>
  <c r="A13" i="116" s="1"/>
  <c r="A14" i="116" s="1"/>
  <c r="A15" i="116" s="1"/>
  <c r="A16" i="116" s="1"/>
  <c r="A17" i="116" s="1"/>
  <c r="A18" i="116" s="1"/>
  <c r="A19" i="116" s="1"/>
  <c r="A20" i="116" s="1"/>
  <c r="A21" i="116" s="1"/>
  <c r="A22" i="116" s="1"/>
  <c r="A23" i="116" s="1"/>
  <c r="A24" i="116" s="1"/>
  <c r="A25" i="116" s="1"/>
  <c r="A26" i="116" s="1"/>
  <c r="A27" i="116" s="1"/>
  <c r="A28" i="116" s="1"/>
  <c r="A29" i="116" s="1"/>
  <c r="A30" i="116" s="1"/>
  <c r="A31" i="116" s="1"/>
  <c r="A32" i="116" s="1"/>
  <c r="A33" i="116" s="1"/>
  <c r="A34" i="116" s="1"/>
  <c r="A35" i="116" s="1"/>
  <c r="A36" i="116" s="1"/>
  <c r="A37" i="116" s="1"/>
  <c r="A38" i="116" s="1"/>
  <c r="A39" i="116" s="1"/>
  <c r="A40" i="116" s="1"/>
  <c r="A41" i="116" s="1"/>
  <c r="A42" i="116" s="1"/>
  <c r="A43" i="116" s="1"/>
  <c r="A44" i="116" s="1"/>
  <c r="A45" i="116" s="1"/>
  <c r="A46" i="116" s="1"/>
  <c r="A47" i="116" s="1"/>
  <c r="A48" i="116" s="1"/>
  <c r="A49" i="116" s="1"/>
  <c r="A50" i="116" s="1"/>
  <c r="A51" i="116" s="1"/>
  <c r="A52" i="116" s="1"/>
  <c r="A53" i="116" s="1"/>
  <c r="A54" i="116" s="1"/>
  <c r="A55" i="116" s="1"/>
  <c r="A56" i="116" s="1"/>
  <c r="A57" i="116" s="1"/>
  <c r="A58" i="116" s="1"/>
  <c r="A59" i="116" s="1"/>
  <c r="A60" i="116" s="1"/>
  <c r="A61" i="116" s="1"/>
  <c r="A62" i="116" s="1"/>
  <c r="A63" i="116" s="1"/>
  <c r="A64" i="116" s="1"/>
  <c r="A65" i="116" s="1"/>
  <c r="A66" i="116" s="1"/>
  <c r="A67" i="116" s="1"/>
  <c r="A68" i="116" s="1"/>
  <c r="A69" i="116" s="1"/>
  <c r="A70" i="116" s="1"/>
  <c r="A71" i="116" s="1"/>
  <c r="A72" i="116" s="1"/>
  <c r="A73" i="116" s="1"/>
  <c r="A74" i="116" s="1"/>
  <c r="A75" i="116" s="1"/>
  <c r="A76" i="116" s="1"/>
  <c r="A77" i="116" s="1"/>
  <c r="A78" i="116" s="1"/>
  <c r="A79" i="116" s="1"/>
  <c r="A80" i="116" s="1"/>
  <c r="A81" i="116" s="1"/>
  <c r="A82" i="116" s="1"/>
  <c r="A83" i="116" s="1"/>
  <c r="A84" i="116" s="1"/>
  <c r="A85" i="116" s="1"/>
  <c r="A86" i="116" s="1"/>
  <c r="A87" i="116" s="1"/>
  <c r="A88" i="116" s="1"/>
  <c r="A89" i="116" s="1"/>
  <c r="A90" i="116" s="1"/>
  <c r="A91" i="116" s="1"/>
  <c r="A92" i="116" s="1"/>
  <c r="A93" i="116" s="1"/>
  <c r="A105" i="116" s="1"/>
  <c r="A106" i="116" s="1"/>
  <c r="A107" i="116" s="1"/>
  <c r="M9" i="116"/>
  <c r="L9" i="116"/>
  <c r="A4" i="116"/>
  <c r="I16" i="107"/>
  <c r="I15" i="107"/>
  <c r="I14" i="107"/>
  <c r="I17" i="113"/>
  <c r="I16" i="113"/>
  <c r="I15" i="113"/>
  <c r="K26" i="18"/>
  <c r="I39" i="81"/>
  <c r="I42" i="46"/>
  <c r="I41" i="46"/>
  <c r="I14" i="79"/>
  <c r="I14" i="113"/>
  <c r="F62" i="115"/>
  <c r="F38" i="33" s="1"/>
  <c r="E62" i="115"/>
  <c r="E38" i="33" s="1"/>
  <c r="L35" i="115"/>
  <c r="L26" i="115"/>
  <c r="L24" i="115"/>
  <c r="L25" i="115" s="1"/>
  <c r="K17" i="115"/>
  <c r="K14" i="115"/>
  <c r="A10" i="115"/>
  <c r="A11" i="115" s="1"/>
  <c r="A12" i="115" s="1"/>
  <c r="A13" i="115" s="1"/>
  <c r="A14" i="115" s="1"/>
  <c r="A15" i="115" s="1"/>
  <c r="G9" i="115"/>
  <c r="G10" i="115" s="1"/>
  <c r="G11" i="115" s="1"/>
  <c r="G12" i="115" s="1"/>
  <c r="G13" i="115" s="1"/>
  <c r="G14" i="115" s="1"/>
  <c r="G15" i="115" s="1"/>
  <c r="A4" i="115"/>
  <c r="I11" i="113"/>
  <c r="L11" i="113"/>
  <c r="G11" i="113"/>
  <c r="G12" i="113" s="1"/>
  <c r="G13" i="113" s="1"/>
  <c r="E13" i="113"/>
  <c r="L9" i="113"/>
  <c r="I10" i="113" s="1"/>
  <c r="I12" i="79"/>
  <c r="M8" i="79"/>
  <c r="I12" i="87"/>
  <c r="I38" i="81"/>
  <c r="M18" i="86"/>
  <c r="M22" i="86"/>
  <c r="A19" i="41"/>
  <c r="A20" i="4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Q19" i="112"/>
  <c r="Q18" i="112"/>
  <c r="I37" i="81"/>
  <c r="G17" i="117" l="1"/>
  <c r="G18" i="117" s="1"/>
  <c r="G19" i="117" s="1"/>
  <c r="G20" i="117" s="1"/>
  <c r="G21" i="117" s="1"/>
  <c r="G22" i="117" s="1"/>
  <c r="G23" i="117" s="1"/>
  <c r="G24" i="117" s="1"/>
  <c r="G25" i="117" s="1"/>
  <c r="G26" i="117" s="1"/>
  <c r="G27" i="117" s="1"/>
  <c r="G28" i="117" s="1"/>
  <c r="G29" i="117" s="1"/>
  <c r="G30" i="117" s="1"/>
  <c r="G31" i="117" s="1"/>
  <c r="G32" i="117" s="1"/>
  <c r="G33" i="117" s="1"/>
  <c r="G34" i="117" s="1"/>
  <c r="G35" i="117" s="1"/>
  <c r="G36" i="117" s="1"/>
  <c r="G37" i="117" s="1"/>
  <c r="G38" i="117" s="1"/>
  <c r="G39" i="117" s="1"/>
  <c r="G40" i="117" s="1"/>
  <c r="G41" i="117" s="1"/>
  <c r="G42" i="117" s="1"/>
  <c r="G43" i="117" s="1"/>
  <c r="G44" i="117" s="1"/>
  <c r="G45" i="117" s="1"/>
  <c r="G46" i="117" s="1"/>
  <c r="G47" i="117" s="1"/>
  <c r="G48" i="117" s="1"/>
  <c r="G49" i="117" s="1"/>
  <c r="G50" i="117" s="1"/>
  <c r="G51" i="117" s="1"/>
  <c r="G52" i="117" s="1"/>
  <c r="G53" i="117" s="1"/>
  <c r="G54" i="117" s="1"/>
  <c r="G55" i="117" s="1"/>
  <c r="G56" i="117" s="1"/>
  <c r="G57" i="117" s="1"/>
  <c r="G58" i="117" s="1"/>
  <c r="G59" i="117" s="1"/>
  <c r="G60" i="117" s="1"/>
  <c r="G61" i="117" s="1"/>
  <c r="G62" i="117" s="1"/>
  <c r="G63" i="117" s="1"/>
  <c r="G64" i="117" s="1"/>
  <c r="G65" i="117" s="1"/>
  <c r="G66" i="117" s="1"/>
  <c r="G67" i="117" s="1"/>
  <c r="G68" i="117" s="1"/>
  <c r="G69" i="117" s="1"/>
  <c r="G70" i="117" s="1"/>
  <c r="G71" i="117" s="1"/>
  <c r="G72" i="117" s="1"/>
  <c r="G73" i="117" s="1"/>
  <c r="G74" i="117" s="1"/>
  <c r="G75" i="117" s="1"/>
  <c r="G76" i="117" s="1"/>
  <c r="G77" i="117" s="1"/>
  <c r="G78" i="117" s="1"/>
  <c r="G79" i="117" s="1"/>
  <c r="G80" i="117" s="1"/>
  <c r="G81" i="117" s="1"/>
  <c r="G82" i="117" s="1"/>
  <c r="G83" i="117" s="1"/>
  <c r="G84" i="117" s="1"/>
  <c r="G85" i="117" s="1"/>
  <c r="G86" i="117" s="1"/>
  <c r="G87" i="117" s="1"/>
  <c r="G88" i="117" s="1"/>
  <c r="G89" i="117" s="1"/>
  <c r="G90" i="117" s="1"/>
  <c r="G91" i="117" s="1"/>
  <c r="G92" i="117" s="1"/>
  <c r="G93" i="117" s="1"/>
  <c r="G94" i="117" s="1"/>
  <c r="G95" i="117" s="1"/>
  <c r="G96" i="117" s="1"/>
  <c r="G97" i="117" s="1"/>
  <c r="G98" i="117" s="1"/>
  <c r="G99" i="117" s="1"/>
  <c r="G100" i="117" s="1"/>
  <c r="G101" i="117" s="1"/>
  <c r="G102" i="117" s="1"/>
  <c r="G103" i="117" s="1"/>
  <c r="G104" i="117" s="1"/>
  <c r="G105" i="117" s="1"/>
  <c r="G106" i="117" s="1"/>
  <c r="G107" i="117" s="1"/>
  <c r="G108" i="117" s="1"/>
  <c r="G109" i="117" s="1"/>
  <c r="G110" i="117" s="1"/>
  <c r="G111" i="117" s="1"/>
  <c r="G112" i="117" s="1"/>
  <c r="G113" i="117"/>
  <c r="E93" i="33"/>
  <c r="G9" i="116"/>
  <c r="G10" i="116" s="1"/>
  <c r="G11" i="116" s="1"/>
  <c r="G12" i="116" s="1"/>
  <c r="G13" i="116" s="1"/>
  <c r="G14" i="116" s="1"/>
  <c r="G15" i="116" s="1"/>
  <c r="G16" i="116" s="1"/>
  <c r="G17" i="116" s="1"/>
  <c r="G18" i="116" s="1"/>
  <c r="G19" i="116" s="1"/>
  <c r="G20" i="116" s="1"/>
  <c r="G21" i="116" s="1"/>
  <c r="G22" i="116" s="1"/>
  <c r="G23" i="116" s="1"/>
  <c r="G24" i="116" s="1"/>
  <c r="G25" i="116" s="1"/>
  <c r="G26" i="116" s="1"/>
  <c r="G27" i="116" s="1"/>
  <c r="G28" i="116" s="1"/>
  <c r="G29" i="116" s="1"/>
  <c r="G30" i="116" s="1"/>
  <c r="G31" i="116" s="1"/>
  <c r="G32" i="116" s="1"/>
  <c r="G33" i="116" s="1"/>
  <c r="G34" i="116" s="1"/>
  <c r="G35" i="116" s="1"/>
  <c r="G36" i="116" s="1"/>
  <c r="G37" i="116" s="1"/>
  <c r="G38" i="116" s="1"/>
  <c r="G39" i="116" s="1"/>
  <c r="G40" i="116" s="1"/>
  <c r="G41" i="116" s="1"/>
  <c r="G42" i="116" s="1"/>
  <c r="G43" i="116" s="1"/>
  <c r="G44" i="116" s="1"/>
  <c r="G45" i="116" s="1"/>
  <c r="G46" i="116" s="1"/>
  <c r="G47" i="116" s="1"/>
  <c r="G48" i="116" s="1"/>
  <c r="G49" i="116" s="1"/>
  <c r="G50" i="116" s="1"/>
  <c r="G51" i="116" s="1"/>
  <c r="G52" i="116" s="1"/>
  <c r="G53" i="116" s="1"/>
  <c r="G54" i="116" s="1"/>
  <c r="G55" i="116" s="1"/>
  <c r="G56" i="116" s="1"/>
  <c r="G57" i="116" s="1"/>
  <c r="G58" i="116" s="1"/>
  <c r="G59" i="116" s="1"/>
  <c r="G60" i="116" s="1"/>
  <c r="G61" i="116" s="1"/>
  <c r="G62" i="116" s="1"/>
  <c r="G63" i="116" s="1"/>
  <c r="G64" i="116" s="1"/>
  <c r="G65" i="116" s="1"/>
  <c r="G66" i="116" s="1"/>
  <c r="G67" i="116" s="1"/>
  <c r="G68" i="116" s="1"/>
  <c r="G69" i="116" s="1"/>
  <c r="G70" i="116" s="1"/>
  <c r="G71" i="116" s="1"/>
  <c r="G72" i="116" s="1"/>
  <c r="G73" i="116" s="1"/>
  <c r="G74" i="116" s="1"/>
  <c r="G75" i="116" s="1"/>
  <c r="G76" i="116" s="1"/>
  <c r="G77" i="116" s="1"/>
  <c r="G78" i="116" s="1"/>
  <c r="G79" i="116" s="1"/>
  <c r="G80" i="116" s="1"/>
  <c r="G81" i="116" s="1"/>
  <c r="G82" i="116" s="1"/>
  <c r="G83" i="116" s="1"/>
  <c r="G84" i="116" s="1"/>
  <c r="G85" i="116" s="1"/>
  <c r="G86" i="116" s="1"/>
  <c r="G87" i="116" s="1"/>
  <c r="G88" i="116" s="1"/>
  <c r="G89" i="116" s="1"/>
  <c r="G90" i="116" s="1"/>
  <c r="G91" i="116" s="1"/>
  <c r="G92" i="116" s="1"/>
  <c r="G93" i="116" s="1"/>
  <c r="G94" i="116" s="1"/>
  <c r="G95" i="116" s="1"/>
  <c r="G96" i="116" s="1"/>
  <c r="G97" i="116" s="1"/>
  <c r="G98" i="116" s="1"/>
  <c r="G99" i="116" s="1"/>
  <c r="G100" i="116" s="1"/>
  <c r="G101" i="116" s="1"/>
  <c r="G102" i="116" s="1"/>
  <c r="G103" i="116" s="1"/>
  <c r="G104" i="116" s="1"/>
  <c r="G105" i="116" s="1"/>
  <c r="G106" i="116" s="1"/>
  <c r="E108" i="116"/>
  <c r="G108" i="116" s="1"/>
  <c r="G62" i="115"/>
  <c r="I40" i="46"/>
  <c r="E153" i="114"/>
  <c r="F153" i="114"/>
  <c r="A4" i="114"/>
  <c r="I36" i="81"/>
  <c r="L34" i="81"/>
  <c r="I32" i="81"/>
  <c r="F32" i="81"/>
  <c r="M39" i="113"/>
  <c r="M40" i="113" s="1"/>
  <c r="I30" i="113"/>
  <c r="I31" i="113"/>
  <c r="L24" i="113"/>
  <c r="F110" i="113"/>
  <c r="J110" i="113"/>
  <c r="E110" i="113"/>
  <c r="A10" i="113"/>
  <c r="A12" i="113" s="1"/>
  <c r="A13" i="113" s="1"/>
  <c r="A14" i="113" s="1"/>
  <c r="A15" i="113" s="1"/>
  <c r="A16" i="113" s="1"/>
  <c r="A17" i="113" s="1"/>
  <c r="A18" i="113" s="1"/>
  <c r="A19" i="113" s="1"/>
  <c r="A20" i="113" s="1"/>
  <c r="A21" i="113" s="1"/>
  <c r="A22" i="113" s="1"/>
  <c r="A23" i="113" s="1"/>
  <c r="A24" i="113" s="1"/>
  <c r="A25" i="113" s="1"/>
  <c r="A26" i="113" s="1"/>
  <c r="A27" i="113" s="1"/>
  <c r="A28" i="113" s="1"/>
  <c r="A29" i="113" s="1"/>
  <c r="A30" i="113" s="1"/>
  <c r="A31" i="113" s="1"/>
  <c r="A32" i="113" s="1"/>
  <c r="A33" i="113" s="1"/>
  <c r="A34" i="113" s="1"/>
  <c r="A35" i="113" s="1"/>
  <c r="A36" i="113" s="1"/>
  <c r="A37" i="113" s="1"/>
  <c r="A38" i="113" s="1"/>
  <c r="A39" i="113" s="1"/>
  <c r="A40" i="113" s="1"/>
  <c r="A41" i="113" s="1"/>
  <c r="A42" i="113" s="1"/>
  <c r="A43" i="113" s="1"/>
  <c r="A44" i="113" s="1"/>
  <c r="A45" i="113" s="1"/>
  <c r="A46" i="113" s="1"/>
  <c r="A47" i="113" s="1"/>
  <c r="A48" i="113" s="1"/>
  <c r="A49" i="113" s="1"/>
  <c r="A50" i="113" s="1"/>
  <c r="A51" i="113" s="1"/>
  <c r="A52" i="113" s="1"/>
  <c r="A53" i="113" s="1"/>
  <c r="A54" i="113" s="1"/>
  <c r="A55" i="113" s="1"/>
  <c r="A56" i="113" s="1"/>
  <c r="A57" i="113" s="1"/>
  <c r="A58" i="113" s="1"/>
  <c r="A59" i="113" s="1"/>
  <c r="A60" i="113" s="1"/>
  <c r="A61" i="113" s="1"/>
  <c r="A62" i="113" s="1"/>
  <c r="A63" i="113" s="1"/>
  <c r="A64" i="113" s="1"/>
  <c r="A65" i="113" s="1"/>
  <c r="A66" i="113" s="1"/>
  <c r="A67" i="113" s="1"/>
  <c r="A68" i="113" s="1"/>
  <c r="A69" i="113" s="1"/>
  <c r="A70" i="113" s="1"/>
  <c r="A71" i="113" s="1"/>
  <c r="A72" i="113" s="1"/>
  <c r="A73" i="113" s="1"/>
  <c r="A74" i="113" s="1"/>
  <c r="A75" i="113" s="1"/>
  <c r="A76" i="113" s="1"/>
  <c r="A77" i="113" s="1"/>
  <c r="A78" i="113" s="1"/>
  <c r="A79" i="113" s="1"/>
  <c r="A80" i="113" s="1"/>
  <c r="A81" i="113" s="1"/>
  <c r="A82" i="113" s="1"/>
  <c r="A83" i="113" s="1"/>
  <c r="A84" i="113" s="1"/>
  <c r="A85" i="113" s="1"/>
  <c r="A86" i="113" s="1"/>
  <c r="A87" i="113" s="1"/>
  <c r="A88" i="113" s="1"/>
  <c r="A89" i="113" s="1"/>
  <c r="A90" i="113" s="1"/>
  <c r="A91" i="113" s="1"/>
  <c r="A92" i="113" s="1"/>
  <c r="A93" i="113" s="1"/>
  <c r="A94" i="113" s="1"/>
  <c r="A95" i="113" s="1"/>
  <c r="A96" i="113" s="1"/>
  <c r="A97" i="113" s="1"/>
  <c r="A98" i="113" s="1"/>
  <c r="A99" i="113" s="1"/>
  <c r="A100" i="113" s="1"/>
  <c r="A101" i="113" s="1"/>
  <c r="A102" i="113" s="1"/>
  <c r="A103" i="113" s="1"/>
  <c r="A104" i="113" s="1"/>
  <c r="A105" i="113" s="1"/>
  <c r="A106" i="113" s="1"/>
  <c r="A107" i="113" s="1"/>
  <c r="A108" i="113" s="1"/>
  <c r="A109" i="113" s="1"/>
  <c r="G9" i="113"/>
  <c r="G10" i="113" s="1"/>
  <c r="G14" i="113" s="1"/>
  <c r="G15" i="113" s="1"/>
  <c r="G16" i="113" s="1"/>
  <c r="G17" i="113" s="1"/>
  <c r="G18" i="113" s="1"/>
  <c r="G19" i="113" s="1"/>
  <c r="G20" i="113" s="1"/>
  <c r="G21" i="113" s="1"/>
  <c r="G22" i="113" s="1"/>
  <c r="G23" i="113" s="1"/>
  <c r="G24" i="113" s="1"/>
  <c r="G25" i="113" s="1"/>
  <c r="G26" i="113" s="1"/>
  <c r="G27" i="113" s="1"/>
  <c r="G28" i="113" s="1"/>
  <c r="G29" i="113" s="1"/>
  <c r="G30" i="113" s="1"/>
  <c r="G31" i="113" s="1"/>
  <c r="G32" i="113" s="1"/>
  <c r="G33" i="113" s="1"/>
  <c r="G34" i="113" s="1"/>
  <c r="G35" i="113" s="1"/>
  <c r="G36" i="113" s="1"/>
  <c r="G37" i="113" s="1"/>
  <c r="G38" i="113" s="1"/>
  <c r="G39" i="113" s="1"/>
  <c r="G40" i="113" s="1"/>
  <c r="G41" i="113" s="1"/>
  <c r="G42" i="113" s="1"/>
  <c r="G43" i="113" s="1"/>
  <c r="G44" i="113" s="1"/>
  <c r="G45" i="113" s="1"/>
  <c r="G46" i="113" s="1"/>
  <c r="G47" i="113" s="1"/>
  <c r="G48" i="113" s="1"/>
  <c r="G49" i="113" s="1"/>
  <c r="G50" i="113" s="1"/>
  <c r="G51" i="113" s="1"/>
  <c r="G52" i="113" s="1"/>
  <c r="G53" i="113" s="1"/>
  <c r="G54" i="113" s="1"/>
  <c r="G55" i="113" s="1"/>
  <c r="G56" i="113" s="1"/>
  <c r="G57" i="113" s="1"/>
  <c r="G58" i="113" s="1"/>
  <c r="G59" i="113" s="1"/>
  <c r="G60" i="113" s="1"/>
  <c r="G61" i="113" s="1"/>
  <c r="G62" i="113" s="1"/>
  <c r="G63" i="113" s="1"/>
  <c r="G64" i="113" s="1"/>
  <c r="G65" i="113" s="1"/>
  <c r="G66" i="113" s="1"/>
  <c r="G67" i="113" s="1"/>
  <c r="G68" i="113" s="1"/>
  <c r="G69" i="113" s="1"/>
  <c r="G70" i="113" s="1"/>
  <c r="G71" i="113" s="1"/>
  <c r="G72" i="113" s="1"/>
  <c r="G73" i="113" s="1"/>
  <c r="G74" i="113" s="1"/>
  <c r="G75" i="113" s="1"/>
  <c r="G76" i="113" s="1"/>
  <c r="G77" i="113" s="1"/>
  <c r="G78" i="113" s="1"/>
  <c r="G79" i="113" s="1"/>
  <c r="G80" i="113" s="1"/>
  <c r="G81" i="113" s="1"/>
  <c r="G82" i="113" s="1"/>
  <c r="G83" i="113" s="1"/>
  <c r="G84" i="113" s="1"/>
  <c r="G85" i="113" s="1"/>
  <c r="G86" i="113" s="1"/>
  <c r="G87" i="113" s="1"/>
  <c r="G88" i="113" s="1"/>
  <c r="G89" i="113" s="1"/>
  <c r="G90" i="113" s="1"/>
  <c r="G91" i="113" s="1"/>
  <c r="G92" i="113" s="1"/>
  <c r="G93" i="113" s="1"/>
  <c r="G94" i="113" s="1"/>
  <c r="G95" i="113" s="1"/>
  <c r="G96" i="113" s="1"/>
  <c r="G97" i="113" s="1"/>
  <c r="G98" i="113" s="1"/>
  <c r="G99" i="113" s="1"/>
  <c r="G100" i="113" s="1"/>
  <c r="G101" i="113" s="1"/>
  <c r="G102" i="113" s="1"/>
  <c r="G103" i="113" s="1"/>
  <c r="G104" i="113" s="1"/>
  <c r="G105" i="113" s="1"/>
  <c r="G106" i="113" s="1"/>
  <c r="G107" i="113" s="1"/>
  <c r="G108" i="113" s="1"/>
  <c r="G109" i="113" s="1"/>
  <c r="A4" i="113"/>
  <c r="E47" i="33" l="1"/>
  <c r="E41" i="33"/>
  <c r="F41" i="33"/>
  <c r="F47" i="33"/>
  <c r="G107" i="116"/>
  <c r="G119" i="116"/>
  <c r="G153" i="114"/>
  <c r="G9" i="114"/>
  <c r="G10" i="114" s="1"/>
  <c r="G11" i="114" s="1"/>
  <c r="G12" i="114" s="1"/>
  <c r="G13" i="114" s="1"/>
  <c r="G14" i="114" s="1"/>
  <c r="G15" i="114" s="1"/>
  <c r="G16" i="114" s="1"/>
  <c r="G17" i="114" s="1"/>
  <c r="G18" i="114" s="1"/>
  <c r="G19" i="114" s="1"/>
  <c r="G20" i="114" s="1"/>
  <c r="G21" i="114" s="1"/>
  <c r="G22" i="114" s="1"/>
  <c r="G23" i="114" s="1"/>
  <c r="G24" i="114" s="1"/>
  <c r="G25" i="114" s="1"/>
  <c r="G26" i="114" s="1"/>
  <c r="G27" i="114" s="1"/>
  <c r="G28" i="114" s="1"/>
  <c r="G29" i="114" s="1"/>
  <c r="G30" i="114" s="1"/>
  <c r="G31" i="114" s="1"/>
  <c r="G32" i="114" s="1"/>
  <c r="G33" i="114" s="1"/>
  <c r="G34" i="114" s="1"/>
  <c r="G35" i="114" s="1"/>
  <c r="G36" i="114" s="1"/>
  <c r="G37" i="114" s="1"/>
  <c r="G38" i="114" s="1"/>
  <c r="G39" i="114" s="1"/>
  <c r="G40" i="114" s="1"/>
  <c r="G41" i="114" s="1"/>
  <c r="G42" i="114" s="1"/>
  <c r="G43" i="114" s="1"/>
  <c r="G44" i="114" s="1"/>
  <c r="G45" i="114" s="1"/>
  <c r="G46" i="114" s="1"/>
  <c r="G47" i="114" s="1"/>
  <c r="G48" i="114" s="1"/>
  <c r="G49" i="114" s="1"/>
  <c r="G50" i="114" s="1"/>
  <c r="G51" i="114" s="1"/>
  <c r="G52" i="114" s="1"/>
  <c r="G53" i="114" s="1"/>
  <c r="G54" i="114" s="1"/>
  <c r="G55" i="114" s="1"/>
  <c r="G56" i="114" s="1"/>
  <c r="G57" i="114" s="1"/>
  <c r="G58" i="114" s="1"/>
  <c r="G59" i="114" s="1"/>
  <c r="G60" i="114" s="1"/>
  <c r="G61" i="114" s="1"/>
  <c r="G62" i="114" s="1"/>
  <c r="G63" i="114" s="1"/>
  <c r="G64" i="114" s="1"/>
  <c r="G65" i="114" s="1"/>
  <c r="G66" i="114" s="1"/>
  <c r="G67" i="114" s="1"/>
  <c r="G68" i="114" s="1"/>
  <c r="G69" i="114" s="1"/>
  <c r="G70" i="114" s="1"/>
  <c r="G71" i="114" s="1"/>
  <c r="G72" i="114" s="1"/>
  <c r="G73" i="114" s="1"/>
  <c r="G74" i="114" s="1"/>
  <c r="G75" i="114" s="1"/>
  <c r="G76" i="114" s="1"/>
  <c r="G77" i="114" s="1"/>
  <c r="G78" i="114" s="1"/>
  <c r="G79" i="114" s="1"/>
  <c r="G80" i="114" s="1"/>
  <c r="G81" i="114" s="1"/>
  <c r="G82" i="114" s="1"/>
  <c r="G83" i="114" s="1"/>
  <c r="G84" i="114" s="1"/>
  <c r="G85" i="114" s="1"/>
  <c r="G86" i="114" s="1"/>
  <c r="G87" i="114" s="1"/>
  <c r="G88" i="114" s="1"/>
  <c r="G89" i="114" s="1"/>
  <c r="G90" i="114" s="1"/>
  <c r="G91" i="114" s="1"/>
  <c r="G92" i="114" s="1"/>
  <c r="G93" i="114" s="1"/>
  <c r="G94" i="114" s="1"/>
  <c r="G95" i="114" s="1"/>
  <c r="G96" i="114" s="1"/>
  <c r="G97" i="114" s="1"/>
  <c r="G98" i="114" s="1"/>
  <c r="G99" i="114" s="1"/>
  <c r="G100" i="114" s="1"/>
  <c r="G101" i="114" s="1"/>
  <c r="G102" i="114" s="1"/>
  <c r="G103" i="114" s="1"/>
  <c r="G104" i="114" s="1"/>
  <c r="G105" i="114" s="1"/>
  <c r="G106" i="114" s="1"/>
  <c r="G107" i="114" s="1"/>
  <c r="G108" i="114" s="1"/>
  <c r="G109" i="114" s="1"/>
  <c r="G110" i="114" s="1"/>
  <c r="G111" i="114" s="1"/>
  <c r="G112" i="114" s="1"/>
  <c r="G113" i="114" s="1"/>
  <c r="G114" i="114" s="1"/>
  <c r="G115" i="114" s="1"/>
  <c r="G116" i="114" s="1"/>
  <c r="G117" i="114" s="1"/>
  <c r="G118" i="114" s="1"/>
  <c r="G119" i="114" s="1"/>
  <c r="G120" i="114" s="1"/>
  <c r="G121" i="114" s="1"/>
  <c r="G122" i="114" s="1"/>
  <c r="G123" i="114" s="1"/>
  <c r="G124" i="114" s="1"/>
  <c r="G125" i="114" s="1"/>
  <c r="G126" i="114" s="1"/>
  <c r="G127" i="114" s="1"/>
  <c r="G128" i="114" s="1"/>
  <c r="G129" i="114" s="1"/>
  <c r="G130" i="114" s="1"/>
  <c r="G131" i="114" s="1"/>
  <c r="G132" i="114" s="1"/>
  <c r="G133" i="114" s="1"/>
  <c r="G134" i="114" s="1"/>
  <c r="G135" i="114" s="1"/>
  <c r="G136" i="114" s="1"/>
  <c r="G137" i="114" s="1"/>
  <c r="G138" i="114" s="1"/>
  <c r="G139" i="114" s="1"/>
  <c r="G140" i="114" s="1"/>
  <c r="G141" i="114" s="1"/>
  <c r="G142" i="114" s="1"/>
  <c r="G143" i="114" s="1"/>
  <c r="G144" i="114" s="1"/>
  <c r="G145" i="114" s="1"/>
  <c r="G146" i="114" s="1"/>
  <c r="G147" i="114" s="1"/>
  <c r="G148" i="114" s="1"/>
  <c r="G149" i="114" s="1"/>
  <c r="G150" i="114" s="1"/>
  <c r="G151" i="114" s="1"/>
  <c r="G152" i="114" s="1"/>
  <c r="G110" i="113"/>
  <c r="G41" i="33" l="1"/>
  <c r="I29" i="81"/>
  <c r="I30" i="81"/>
  <c r="M31" i="81"/>
  <c r="I39" i="46" l="1"/>
  <c r="P22" i="44"/>
  <c r="M14" i="86"/>
  <c r="R38" i="46" l="1"/>
  <c r="R34" i="46"/>
  <c r="N22" i="46"/>
  <c r="R35" i="46" s="1"/>
  <c r="N15" i="107"/>
  <c r="N13" i="107"/>
  <c r="Q28" i="81"/>
  <c r="M28" i="81"/>
  <c r="M27" i="81"/>
  <c r="J13" i="81"/>
  <c r="M17" i="77"/>
  <c r="M16" i="77"/>
  <c r="N14" i="87"/>
  <c r="N13" i="87"/>
  <c r="Q27" i="76"/>
  <c r="Q26" i="76"/>
  <c r="Q25" i="76"/>
  <c r="Q24" i="76"/>
  <c r="A58" i="17"/>
  <c r="A59" i="17"/>
  <c r="A60" i="17"/>
  <c r="A61" i="17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15" i="60"/>
  <c r="A16" i="60"/>
  <c r="A17" i="60"/>
  <c r="A18" i="60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N21" i="86"/>
  <c r="N20" i="86"/>
  <c r="J108" i="66"/>
  <c r="J108" i="68"/>
  <c r="J108" i="104"/>
  <c r="J108" i="105"/>
  <c r="J112" i="102"/>
  <c r="K108" i="47"/>
  <c r="J108" i="106"/>
  <c r="J109" i="81"/>
  <c r="G75" i="33"/>
  <c r="G80" i="33"/>
  <c r="G86" i="33"/>
  <c r="G88" i="33"/>
  <c r="G89" i="33"/>
  <c r="G92" i="33"/>
  <c r="F97" i="112"/>
  <c r="E97" i="112"/>
  <c r="A11" i="112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A38" i="112" s="1"/>
  <c r="A39" i="112" s="1"/>
  <c r="A40" i="112" s="1"/>
  <c r="A41" i="112" s="1"/>
  <c r="A42" i="112" s="1"/>
  <c r="A43" i="112" s="1"/>
  <c r="A44" i="112" s="1"/>
  <c r="A45" i="112" s="1"/>
  <c r="A46" i="112" s="1"/>
  <c r="A47" i="112" s="1"/>
  <c r="A48" i="112" s="1"/>
  <c r="A49" i="112" s="1"/>
  <c r="A50" i="112" s="1"/>
  <c r="A51" i="112" s="1"/>
  <c r="A52" i="112" s="1"/>
  <c r="A53" i="112" s="1"/>
  <c r="A54" i="112" s="1"/>
  <c r="A55" i="112" s="1"/>
  <c r="A56" i="112" s="1"/>
  <c r="A57" i="112" s="1"/>
  <c r="A58" i="112" s="1"/>
  <c r="A59" i="112" s="1"/>
  <c r="A60" i="112" s="1"/>
  <c r="A61" i="112" s="1"/>
  <c r="A62" i="112" s="1"/>
  <c r="A63" i="112" s="1"/>
  <c r="A64" i="112" s="1"/>
  <c r="A65" i="112" s="1"/>
  <c r="A66" i="112" s="1"/>
  <c r="A67" i="112" s="1"/>
  <c r="A68" i="112" s="1"/>
  <c r="A69" i="112" s="1"/>
  <c r="A70" i="112" s="1"/>
  <c r="A71" i="112" s="1"/>
  <c r="A72" i="112" s="1"/>
  <c r="A73" i="112" s="1"/>
  <c r="A74" i="112" s="1"/>
  <c r="A75" i="112" s="1"/>
  <c r="A76" i="112" s="1"/>
  <c r="A77" i="112" s="1"/>
  <c r="A78" i="112" s="1"/>
  <c r="A79" i="112" s="1"/>
  <c r="A80" i="112" s="1"/>
  <c r="A81" i="112" s="1"/>
  <c r="A82" i="112" s="1"/>
  <c r="A83" i="112" s="1"/>
  <c r="A84" i="112" s="1"/>
  <c r="A85" i="112" s="1"/>
  <c r="A86" i="112" s="1"/>
  <c r="A87" i="112" s="1"/>
  <c r="A88" i="112" s="1"/>
  <c r="A89" i="112" s="1"/>
  <c r="A90" i="112" s="1"/>
  <c r="A91" i="112" s="1"/>
  <c r="A92" i="112" s="1"/>
  <c r="A93" i="112" s="1"/>
  <c r="A94" i="112" s="1"/>
  <c r="A95" i="112" s="1"/>
  <c r="A96" i="112" s="1"/>
  <c r="A97" i="112" s="1"/>
  <c r="A10" i="112"/>
  <c r="G9" i="112"/>
  <c r="G10" i="112" s="1"/>
  <c r="G11" i="112" s="1"/>
  <c r="G12" i="112" s="1"/>
  <c r="G13" i="112" s="1"/>
  <c r="G14" i="112" s="1"/>
  <c r="G15" i="112" s="1"/>
  <c r="G16" i="112" s="1"/>
  <c r="G17" i="112" s="1"/>
  <c r="G18" i="112" s="1"/>
  <c r="G19" i="112" s="1"/>
  <c r="G20" i="112" s="1"/>
  <c r="G21" i="112" s="1"/>
  <c r="G22" i="112" s="1"/>
  <c r="G23" i="112" s="1"/>
  <c r="G24" i="112" s="1"/>
  <c r="G25" i="112" s="1"/>
  <c r="G26" i="112" s="1"/>
  <c r="G27" i="112" s="1"/>
  <c r="G28" i="112" s="1"/>
  <c r="G29" i="112" s="1"/>
  <c r="G30" i="112" s="1"/>
  <c r="G31" i="112" s="1"/>
  <c r="G32" i="112" s="1"/>
  <c r="G33" i="112" s="1"/>
  <c r="G34" i="112" s="1"/>
  <c r="G35" i="112" s="1"/>
  <c r="G36" i="112" s="1"/>
  <c r="G37" i="112" s="1"/>
  <c r="G38" i="112" s="1"/>
  <c r="G39" i="112" s="1"/>
  <c r="G40" i="112" s="1"/>
  <c r="G41" i="112" s="1"/>
  <c r="G42" i="112" s="1"/>
  <c r="G43" i="112" s="1"/>
  <c r="G44" i="112" s="1"/>
  <c r="G45" i="112" s="1"/>
  <c r="G46" i="112" s="1"/>
  <c r="G47" i="112" s="1"/>
  <c r="G48" i="112" s="1"/>
  <c r="G49" i="112" s="1"/>
  <c r="G50" i="112" s="1"/>
  <c r="G51" i="112" s="1"/>
  <c r="G52" i="112" s="1"/>
  <c r="G53" i="112" s="1"/>
  <c r="G54" i="112" s="1"/>
  <c r="G55" i="112" s="1"/>
  <c r="G56" i="112" s="1"/>
  <c r="G57" i="112" s="1"/>
  <c r="G58" i="112" s="1"/>
  <c r="G59" i="112" s="1"/>
  <c r="G60" i="112" s="1"/>
  <c r="G61" i="112" s="1"/>
  <c r="G62" i="112" s="1"/>
  <c r="G63" i="112" s="1"/>
  <c r="G64" i="112" s="1"/>
  <c r="G65" i="112" s="1"/>
  <c r="G66" i="112" s="1"/>
  <c r="G67" i="112" s="1"/>
  <c r="G68" i="112" s="1"/>
  <c r="G69" i="112" s="1"/>
  <c r="G70" i="112" s="1"/>
  <c r="G71" i="112" s="1"/>
  <c r="G72" i="112" s="1"/>
  <c r="G73" i="112" s="1"/>
  <c r="G74" i="112" s="1"/>
  <c r="G75" i="112" s="1"/>
  <c r="G76" i="112" s="1"/>
  <c r="G77" i="112" s="1"/>
  <c r="G78" i="112" s="1"/>
  <c r="G79" i="112" s="1"/>
  <c r="G80" i="112" s="1"/>
  <c r="G81" i="112" s="1"/>
  <c r="G82" i="112" s="1"/>
  <c r="G83" i="112" s="1"/>
  <c r="G84" i="112" s="1"/>
  <c r="G85" i="112" s="1"/>
  <c r="G86" i="112" s="1"/>
  <c r="G87" i="112" s="1"/>
  <c r="G88" i="112" s="1"/>
  <c r="G89" i="112" s="1"/>
  <c r="G90" i="112" s="1"/>
  <c r="G91" i="112" s="1"/>
  <c r="G92" i="112" s="1"/>
  <c r="G93" i="112" s="1"/>
  <c r="G94" i="112" s="1"/>
  <c r="G95" i="112" s="1"/>
  <c r="G96" i="112" s="1"/>
  <c r="A4" i="112"/>
  <c r="L10" i="109"/>
  <c r="O28" i="109"/>
  <c r="N62" i="11"/>
  <c r="L43" i="53"/>
  <c r="G97" i="112" l="1"/>
  <c r="F97" i="111"/>
  <c r="E97" i="111"/>
  <c r="A10" i="11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A38" i="111" s="1"/>
  <c r="A39" i="111" s="1"/>
  <c r="A40" i="111" s="1"/>
  <c r="A41" i="111" s="1"/>
  <c r="A42" i="111" s="1"/>
  <c r="A43" i="111" s="1"/>
  <c r="A44" i="111" s="1"/>
  <c r="A45" i="111" s="1"/>
  <c r="A46" i="111" s="1"/>
  <c r="A47" i="111" s="1"/>
  <c r="A48" i="111" s="1"/>
  <c r="A49" i="111" s="1"/>
  <c r="A50" i="111" s="1"/>
  <c r="A51" i="111" s="1"/>
  <c r="A52" i="111" s="1"/>
  <c r="A53" i="111" s="1"/>
  <c r="A54" i="111" s="1"/>
  <c r="A55" i="111" s="1"/>
  <c r="A56" i="111" s="1"/>
  <c r="A57" i="111" s="1"/>
  <c r="A58" i="111" s="1"/>
  <c r="A59" i="111" s="1"/>
  <c r="A60" i="111" s="1"/>
  <c r="A61" i="111" s="1"/>
  <c r="A62" i="111" s="1"/>
  <c r="A63" i="111" s="1"/>
  <c r="A64" i="111" s="1"/>
  <c r="A65" i="111" s="1"/>
  <c r="A66" i="111" s="1"/>
  <c r="A67" i="111" s="1"/>
  <c r="A68" i="111" s="1"/>
  <c r="A69" i="111" s="1"/>
  <c r="A70" i="111" s="1"/>
  <c r="A71" i="111" s="1"/>
  <c r="A72" i="111" s="1"/>
  <c r="A73" i="111" s="1"/>
  <c r="A74" i="111" s="1"/>
  <c r="A75" i="111" s="1"/>
  <c r="A76" i="111" s="1"/>
  <c r="A77" i="111" s="1"/>
  <c r="A78" i="111" s="1"/>
  <c r="A79" i="111" s="1"/>
  <c r="A80" i="111" s="1"/>
  <c r="A81" i="111" s="1"/>
  <c r="A82" i="111" s="1"/>
  <c r="A83" i="111" s="1"/>
  <c r="A84" i="111" s="1"/>
  <c r="A85" i="111" s="1"/>
  <c r="A86" i="111" s="1"/>
  <c r="A87" i="111" s="1"/>
  <c r="A88" i="111" s="1"/>
  <c r="A89" i="111" s="1"/>
  <c r="A90" i="111" s="1"/>
  <c r="A91" i="111" s="1"/>
  <c r="A92" i="111" s="1"/>
  <c r="A93" i="111" s="1"/>
  <c r="A94" i="111" s="1"/>
  <c r="A95" i="111" s="1"/>
  <c r="A96" i="111" s="1"/>
  <c r="A97" i="111" s="1"/>
  <c r="G9" i="111"/>
  <c r="G10" i="111" s="1"/>
  <c r="G11" i="111" s="1"/>
  <c r="G12" i="111" s="1"/>
  <c r="G13" i="111" s="1"/>
  <c r="G14" i="111" s="1"/>
  <c r="G15" i="111" s="1"/>
  <c r="G16" i="111" s="1"/>
  <c r="G17" i="111" s="1"/>
  <c r="G18" i="111" s="1"/>
  <c r="G19" i="111" s="1"/>
  <c r="G20" i="111" s="1"/>
  <c r="G21" i="111" s="1"/>
  <c r="G22" i="111" s="1"/>
  <c r="G23" i="111" s="1"/>
  <c r="G24" i="111" s="1"/>
  <c r="G25" i="111" s="1"/>
  <c r="G26" i="111" s="1"/>
  <c r="G27" i="111" s="1"/>
  <c r="G28" i="111" s="1"/>
  <c r="G29" i="111" s="1"/>
  <c r="G30" i="111" s="1"/>
  <c r="G31" i="111" s="1"/>
  <c r="G32" i="111" s="1"/>
  <c r="G33" i="111" s="1"/>
  <c r="G34" i="111" s="1"/>
  <c r="G35" i="111" s="1"/>
  <c r="G36" i="111" s="1"/>
  <c r="G37" i="111" s="1"/>
  <c r="G38" i="111" s="1"/>
  <c r="G39" i="111" s="1"/>
  <c r="G40" i="111" s="1"/>
  <c r="G41" i="111" s="1"/>
  <c r="G42" i="111" s="1"/>
  <c r="G43" i="111" s="1"/>
  <c r="G44" i="111" s="1"/>
  <c r="G45" i="111" s="1"/>
  <c r="G46" i="111" s="1"/>
  <c r="G47" i="111" s="1"/>
  <c r="G48" i="111" s="1"/>
  <c r="G49" i="111" s="1"/>
  <c r="G50" i="111" s="1"/>
  <c r="G51" i="111" s="1"/>
  <c r="G52" i="111" s="1"/>
  <c r="G53" i="111" s="1"/>
  <c r="G54" i="111" s="1"/>
  <c r="G55" i="111" s="1"/>
  <c r="G56" i="111" s="1"/>
  <c r="G57" i="111" s="1"/>
  <c r="G58" i="111" s="1"/>
  <c r="G59" i="111" s="1"/>
  <c r="G60" i="111" s="1"/>
  <c r="G61" i="111" s="1"/>
  <c r="G62" i="111" s="1"/>
  <c r="G63" i="111" s="1"/>
  <c r="G64" i="111" s="1"/>
  <c r="G65" i="111" s="1"/>
  <c r="G66" i="111" s="1"/>
  <c r="G67" i="111" s="1"/>
  <c r="G68" i="111" s="1"/>
  <c r="G69" i="111" s="1"/>
  <c r="G70" i="111" s="1"/>
  <c r="G71" i="111" s="1"/>
  <c r="G72" i="111" s="1"/>
  <c r="G73" i="111" s="1"/>
  <c r="G74" i="111" s="1"/>
  <c r="G75" i="111" s="1"/>
  <c r="G76" i="111" s="1"/>
  <c r="G77" i="111" s="1"/>
  <c r="G78" i="111" s="1"/>
  <c r="G79" i="111" s="1"/>
  <c r="G80" i="111" s="1"/>
  <c r="G81" i="111" s="1"/>
  <c r="G82" i="111" s="1"/>
  <c r="G83" i="111" s="1"/>
  <c r="G84" i="111" s="1"/>
  <c r="G85" i="111" s="1"/>
  <c r="G86" i="111" s="1"/>
  <c r="G87" i="111" s="1"/>
  <c r="G88" i="111" s="1"/>
  <c r="G89" i="111" s="1"/>
  <c r="G90" i="111" s="1"/>
  <c r="G91" i="111" s="1"/>
  <c r="G92" i="111" s="1"/>
  <c r="G93" i="111" s="1"/>
  <c r="G94" i="111" s="1"/>
  <c r="G95" i="111" s="1"/>
  <c r="G96" i="111" s="1"/>
  <c r="A4" i="111"/>
  <c r="L23" i="81"/>
  <c r="Q29" i="81" s="1"/>
  <c r="O31" i="81"/>
  <c r="J108" i="110"/>
  <c r="E108" i="110"/>
  <c r="E79" i="33" s="1"/>
  <c r="G79" i="33" s="1"/>
  <c r="M23" i="110"/>
  <c r="F108" i="110"/>
  <c r="A10" i="110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A53" i="110" s="1"/>
  <c r="A54" i="110" s="1"/>
  <c r="A55" i="110" s="1"/>
  <c r="A56" i="110" s="1"/>
  <c r="A57" i="110" s="1"/>
  <c r="A58" i="110" s="1"/>
  <c r="A59" i="110" s="1"/>
  <c r="A60" i="110" s="1"/>
  <c r="A61" i="110" s="1"/>
  <c r="A62" i="110" s="1"/>
  <c r="A63" i="110" s="1"/>
  <c r="A64" i="110" s="1"/>
  <c r="A65" i="110" s="1"/>
  <c r="A66" i="110" s="1"/>
  <c r="A67" i="110" s="1"/>
  <c r="A68" i="110" s="1"/>
  <c r="A69" i="110" s="1"/>
  <c r="A70" i="110" s="1"/>
  <c r="A71" i="110" s="1"/>
  <c r="A72" i="110" s="1"/>
  <c r="A73" i="110" s="1"/>
  <c r="A74" i="110" s="1"/>
  <c r="A75" i="110" s="1"/>
  <c r="A76" i="110" s="1"/>
  <c r="A77" i="110" s="1"/>
  <c r="A78" i="110" s="1"/>
  <c r="A79" i="110" s="1"/>
  <c r="A80" i="110" s="1"/>
  <c r="A81" i="110" s="1"/>
  <c r="A82" i="110" s="1"/>
  <c r="A83" i="110" s="1"/>
  <c r="A84" i="110" s="1"/>
  <c r="A85" i="110" s="1"/>
  <c r="A86" i="110" s="1"/>
  <c r="A87" i="110" s="1"/>
  <c r="A88" i="110" s="1"/>
  <c r="A89" i="110" s="1"/>
  <c r="A90" i="110" s="1"/>
  <c r="A91" i="110" s="1"/>
  <c r="A92" i="110" s="1"/>
  <c r="A93" i="110" s="1"/>
  <c r="A94" i="110" s="1"/>
  <c r="A95" i="110" s="1"/>
  <c r="A96" i="110" s="1"/>
  <c r="A97" i="110" s="1"/>
  <c r="A98" i="110" s="1"/>
  <c r="A99" i="110" s="1"/>
  <c r="A100" i="110" s="1"/>
  <c r="A101" i="110" s="1"/>
  <c r="A102" i="110" s="1"/>
  <c r="A103" i="110" s="1"/>
  <c r="A104" i="110" s="1"/>
  <c r="A105" i="110" s="1"/>
  <c r="A106" i="110" s="1"/>
  <c r="A107" i="110" s="1"/>
  <c r="A108" i="110" s="1"/>
  <c r="G9" i="110"/>
  <c r="G10" i="110" s="1"/>
  <c r="G11" i="110" s="1"/>
  <c r="G12" i="110" s="1"/>
  <c r="G13" i="110" s="1"/>
  <c r="G14" i="110" s="1"/>
  <c r="G15" i="110" s="1"/>
  <c r="G16" i="110" s="1"/>
  <c r="G17" i="110" s="1"/>
  <c r="G18" i="110" s="1"/>
  <c r="G19" i="110" s="1"/>
  <c r="G20" i="110" s="1"/>
  <c r="G21" i="110" s="1"/>
  <c r="G22" i="110" s="1"/>
  <c r="G23" i="110" s="1"/>
  <c r="G24" i="110" s="1"/>
  <c r="G25" i="110" s="1"/>
  <c r="G26" i="110" s="1"/>
  <c r="G27" i="110" s="1"/>
  <c r="G28" i="110" s="1"/>
  <c r="G29" i="110" s="1"/>
  <c r="G30" i="110" s="1"/>
  <c r="G31" i="110" s="1"/>
  <c r="G32" i="110" s="1"/>
  <c r="G33" i="110" s="1"/>
  <c r="G34" i="110" s="1"/>
  <c r="G35" i="110" s="1"/>
  <c r="G36" i="110" s="1"/>
  <c r="G37" i="110" s="1"/>
  <c r="G38" i="110" s="1"/>
  <c r="G39" i="110" s="1"/>
  <c r="G40" i="110" s="1"/>
  <c r="G41" i="110" s="1"/>
  <c r="G42" i="110" s="1"/>
  <c r="G43" i="110" s="1"/>
  <c r="G44" i="110" s="1"/>
  <c r="G45" i="110" s="1"/>
  <c r="G46" i="110" s="1"/>
  <c r="G47" i="110" s="1"/>
  <c r="G48" i="110" s="1"/>
  <c r="G49" i="110" s="1"/>
  <c r="G50" i="110" s="1"/>
  <c r="G51" i="110" s="1"/>
  <c r="G52" i="110" s="1"/>
  <c r="G53" i="110" s="1"/>
  <c r="G54" i="110" s="1"/>
  <c r="G55" i="110" s="1"/>
  <c r="G56" i="110" s="1"/>
  <c r="G57" i="110" s="1"/>
  <c r="G58" i="110" s="1"/>
  <c r="G59" i="110" s="1"/>
  <c r="G60" i="110" s="1"/>
  <c r="G61" i="110" s="1"/>
  <c r="G62" i="110" s="1"/>
  <c r="G63" i="110" s="1"/>
  <c r="G64" i="110" s="1"/>
  <c r="G65" i="110" s="1"/>
  <c r="G66" i="110" s="1"/>
  <c r="G67" i="110" s="1"/>
  <c r="G68" i="110" s="1"/>
  <c r="G69" i="110" s="1"/>
  <c r="G70" i="110" s="1"/>
  <c r="G71" i="110" s="1"/>
  <c r="G72" i="110" s="1"/>
  <c r="G73" i="110" s="1"/>
  <c r="G74" i="110" s="1"/>
  <c r="G75" i="110" s="1"/>
  <c r="G76" i="110" s="1"/>
  <c r="G77" i="110" s="1"/>
  <c r="G78" i="110" s="1"/>
  <c r="G79" i="110" s="1"/>
  <c r="G80" i="110" s="1"/>
  <c r="G81" i="110" s="1"/>
  <c r="G82" i="110" s="1"/>
  <c r="G83" i="110" s="1"/>
  <c r="G84" i="110" s="1"/>
  <c r="G85" i="110" s="1"/>
  <c r="G86" i="110" s="1"/>
  <c r="G87" i="110" s="1"/>
  <c r="G88" i="110" s="1"/>
  <c r="G89" i="110" s="1"/>
  <c r="G90" i="110" s="1"/>
  <c r="G91" i="110" s="1"/>
  <c r="G92" i="110" s="1"/>
  <c r="G93" i="110" s="1"/>
  <c r="G94" i="110" s="1"/>
  <c r="G95" i="110" s="1"/>
  <c r="G96" i="110" s="1"/>
  <c r="G97" i="110" s="1"/>
  <c r="G98" i="110" s="1"/>
  <c r="G99" i="110" s="1"/>
  <c r="G100" i="110" s="1"/>
  <c r="G101" i="110" s="1"/>
  <c r="G102" i="110" s="1"/>
  <c r="G103" i="110" s="1"/>
  <c r="G104" i="110" s="1"/>
  <c r="G105" i="110" s="1"/>
  <c r="G106" i="110" s="1"/>
  <c r="G107" i="110" s="1"/>
  <c r="A4" i="110"/>
  <c r="G97" i="111" l="1"/>
  <c r="G108" i="110"/>
  <c r="F16" i="100" l="1"/>
  <c r="M25" i="68"/>
  <c r="M24" i="68"/>
  <c r="J108" i="109"/>
  <c r="F108" i="109"/>
  <c r="F91" i="33" s="1"/>
  <c r="G91" i="33" s="1"/>
  <c r="E108" i="109"/>
  <c r="A10" i="109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38" i="109" s="1"/>
  <c r="A39" i="109" s="1"/>
  <c r="A40" i="109" s="1"/>
  <c r="A41" i="109" s="1"/>
  <c r="A42" i="109" s="1"/>
  <c r="A43" i="109" s="1"/>
  <c r="A44" i="109" s="1"/>
  <c r="A45" i="109" s="1"/>
  <c r="A46" i="109" s="1"/>
  <c r="A47" i="109" s="1"/>
  <c r="A48" i="109" s="1"/>
  <c r="A49" i="109" s="1"/>
  <c r="A50" i="109" s="1"/>
  <c r="A51" i="109" s="1"/>
  <c r="A52" i="109" s="1"/>
  <c r="A53" i="109" s="1"/>
  <c r="A54" i="109" s="1"/>
  <c r="A55" i="109" s="1"/>
  <c r="A56" i="109" s="1"/>
  <c r="A57" i="109" s="1"/>
  <c r="A58" i="109" s="1"/>
  <c r="A59" i="109" s="1"/>
  <c r="A60" i="109" s="1"/>
  <c r="A61" i="109" s="1"/>
  <c r="A62" i="109" s="1"/>
  <c r="A63" i="109" s="1"/>
  <c r="A64" i="109" s="1"/>
  <c r="A65" i="109" s="1"/>
  <c r="A66" i="109" s="1"/>
  <c r="A67" i="109" s="1"/>
  <c r="A68" i="109" s="1"/>
  <c r="A69" i="109" s="1"/>
  <c r="A70" i="109" s="1"/>
  <c r="A71" i="109" s="1"/>
  <c r="A72" i="109" s="1"/>
  <c r="A73" i="109" s="1"/>
  <c r="A74" i="109" s="1"/>
  <c r="A75" i="109" s="1"/>
  <c r="A76" i="109" s="1"/>
  <c r="A77" i="109" s="1"/>
  <c r="A78" i="109" s="1"/>
  <c r="A79" i="109" s="1"/>
  <c r="A80" i="109" s="1"/>
  <c r="A81" i="109" s="1"/>
  <c r="A82" i="109" s="1"/>
  <c r="A83" i="109" s="1"/>
  <c r="A84" i="109" s="1"/>
  <c r="A85" i="109" s="1"/>
  <c r="A86" i="109" s="1"/>
  <c r="A87" i="109" s="1"/>
  <c r="A88" i="109" s="1"/>
  <c r="A89" i="109" s="1"/>
  <c r="A90" i="109" s="1"/>
  <c r="A91" i="109" s="1"/>
  <c r="A92" i="109" s="1"/>
  <c r="A93" i="109" s="1"/>
  <c r="A105" i="109" s="1"/>
  <c r="A106" i="109" s="1"/>
  <c r="A107" i="109" s="1"/>
  <c r="L9" i="109"/>
  <c r="M9" i="109" s="1"/>
  <c r="G9" i="109"/>
  <c r="G10" i="109" s="1"/>
  <c r="G11" i="109" s="1"/>
  <c r="G12" i="109" s="1"/>
  <c r="G13" i="109" s="1"/>
  <c r="G14" i="109" s="1"/>
  <c r="G15" i="109" s="1"/>
  <c r="G16" i="109" s="1"/>
  <c r="G17" i="109" s="1"/>
  <c r="G18" i="109" s="1"/>
  <c r="G19" i="109" s="1"/>
  <c r="G20" i="109" s="1"/>
  <c r="G21" i="109" s="1"/>
  <c r="G22" i="109" s="1"/>
  <c r="G23" i="109" s="1"/>
  <c r="G24" i="109" s="1"/>
  <c r="G25" i="109" s="1"/>
  <c r="G26" i="109" s="1"/>
  <c r="G27" i="109" s="1"/>
  <c r="G28" i="109" s="1"/>
  <c r="G29" i="109" s="1"/>
  <c r="G30" i="109" s="1"/>
  <c r="G31" i="109" s="1"/>
  <c r="G32" i="109" s="1"/>
  <c r="G33" i="109" s="1"/>
  <c r="G34" i="109" s="1"/>
  <c r="G35" i="109" s="1"/>
  <c r="G36" i="109" s="1"/>
  <c r="G37" i="109" s="1"/>
  <c r="G38" i="109" s="1"/>
  <c r="G39" i="109" s="1"/>
  <c r="G40" i="109" s="1"/>
  <c r="G41" i="109" s="1"/>
  <c r="G42" i="109" s="1"/>
  <c r="G43" i="109" s="1"/>
  <c r="G44" i="109" s="1"/>
  <c r="G45" i="109" s="1"/>
  <c r="G46" i="109" s="1"/>
  <c r="G47" i="109" s="1"/>
  <c r="G48" i="109" s="1"/>
  <c r="G49" i="109" s="1"/>
  <c r="G50" i="109" s="1"/>
  <c r="G51" i="109" s="1"/>
  <c r="G52" i="109" s="1"/>
  <c r="G53" i="109" s="1"/>
  <c r="G54" i="109" s="1"/>
  <c r="G55" i="109" s="1"/>
  <c r="G56" i="109" s="1"/>
  <c r="G57" i="109" s="1"/>
  <c r="G58" i="109" s="1"/>
  <c r="G59" i="109" s="1"/>
  <c r="G60" i="109" s="1"/>
  <c r="G61" i="109" s="1"/>
  <c r="G62" i="109" s="1"/>
  <c r="G63" i="109" s="1"/>
  <c r="G64" i="109" s="1"/>
  <c r="G65" i="109" s="1"/>
  <c r="G66" i="109" s="1"/>
  <c r="G67" i="109" s="1"/>
  <c r="G68" i="109" s="1"/>
  <c r="G69" i="109" s="1"/>
  <c r="G70" i="109" s="1"/>
  <c r="G71" i="109" s="1"/>
  <c r="G72" i="109" s="1"/>
  <c r="G73" i="109" s="1"/>
  <c r="G74" i="109" s="1"/>
  <c r="G75" i="109" s="1"/>
  <c r="G76" i="109" s="1"/>
  <c r="G77" i="109" s="1"/>
  <c r="G78" i="109" s="1"/>
  <c r="G79" i="109" s="1"/>
  <c r="G80" i="109" s="1"/>
  <c r="G81" i="109" s="1"/>
  <c r="G82" i="109" s="1"/>
  <c r="G83" i="109" s="1"/>
  <c r="G84" i="109" s="1"/>
  <c r="G85" i="109" s="1"/>
  <c r="G86" i="109" s="1"/>
  <c r="G87" i="109" s="1"/>
  <c r="G88" i="109" s="1"/>
  <c r="G89" i="109" s="1"/>
  <c r="G90" i="109" s="1"/>
  <c r="G91" i="109" s="1"/>
  <c r="G92" i="109" s="1"/>
  <c r="G93" i="109" s="1"/>
  <c r="G94" i="109" s="1"/>
  <c r="G95" i="109" s="1"/>
  <c r="G96" i="109" s="1"/>
  <c r="G97" i="109" s="1"/>
  <c r="G98" i="109" s="1"/>
  <c r="G99" i="109" s="1"/>
  <c r="G100" i="109" s="1"/>
  <c r="G101" i="109" s="1"/>
  <c r="G102" i="109" s="1"/>
  <c r="G103" i="109" s="1"/>
  <c r="G104" i="109" s="1"/>
  <c r="G105" i="109" s="1"/>
  <c r="G106" i="109" s="1"/>
  <c r="G107" i="109" s="1"/>
  <c r="A4" i="109"/>
  <c r="E9" i="108"/>
  <c r="E111" i="108" s="1"/>
  <c r="E90" i="33" s="1"/>
  <c r="A13" i="108"/>
  <c r="A14" i="108" s="1"/>
  <c r="A15" i="108" s="1"/>
  <c r="A16" i="108" s="1"/>
  <c r="A17" i="108" s="1"/>
  <c r="A18" i="108" s="1"/>
  <c r="A19" i="108" s="1"/>
  <c r="A20" i="108" s="1"/>
  <c r="A25" i="108" s="1"/>
  <c r="A26" i="108" s="1"/>
  <c r="A27" i="108" s="1"/>
  <c r="A28" i="108" s="1"/>
  <c r="A29" i="108" s="1"/>
  <c r="A30" i="108" s="1"/>
  <c r="A31" i="108" s="1"/>
  <c r="A32" i="108" s="1"/>
  <c r="A33" i="108" s="1"/>
  <c r="A34" i="108" s="1"/>
  <c r="A35" i="108" s="1"/>
  <c r="A36" i="108" s="1"/>
  <c r="A37" i="108" s="1"/>
  <c r="A38" i="108" s="1"/>
  <c r="A39" i="108" s="1"/>
  <c r="A40" i="108" s="1"/>
  <c r="A41" i="108" s="1"/>
  <c r="A42" i="108" s="1"/>
  <c r="A43" i="108" s="1"/>
  <c r="A44" i="108" s="1"/>
  <c r="A45" i="108" s="1"/>
  <c r="A46" i="108" s="1"/>
  <c r="A47" i="108" s="1"/>
  <c r="A48" i="108" s="1"/>
  <c r="A49" i="108" s="1"/>
  <c r="A50" i="108" s="1"/>
  <c r="A51" i="108" s="1"/>
  <c r="A52" i="108" s="1"/>
  <c r="A53" i="108" s="1"/>
  <c r="A54" i="108" s="1"/>
  <c r="A55" i="108" s="1"/>
  <c r="A56" i="108" s="1"/>
  <c r="A57" i="108" s="1"/>
  <c r="A58" i="108" s="1"/>
  <c r="A59" i="108" s="1"/>
  <c r="A60" i="108" s="1"/>
  <c r="A61" i="108" s="1"/>
  <c r="A62" i="108" s="1"/>
  <c r="A63" i="108" s="1"/>
  <c r="A64" i="108" s="1"/>
  <c r="A65" i="108" s="1"/>
  <c r="A66" i="108" s="1"/>
  <c r="A67" i="108" s="1"/>
  <c r="A68" i="108" s="1"/>
  <c r="A69" i="108" s="1"/>
  <c r="A70" i="108" s="1"/>
  <c r="A71" i="108" s="1"/>
  <c r="A72" i="108" s="1"/>
  <c r="A73" i="108" s="1"/>
  <c r="A74" i="108" s="1"/>
  <c r="A75" i="108" s="1"/>
  <c r="A76" i="108" s="1"/>
  <c r="A77" i="108" s="1"/>
  <c r="A78" i="108" s="1"/>
  <c r="A79" i="108" s="1"/>
  <c r="A80" i="108" s="1"/>
  <c r="A81" i="108" s="1"/>
  <c r="A82" i="108" s="1"/>
  <c r="A83" i="108" s="1"/>
  <c r="A84" i="108" s="1"/>
  <c r="A85" i="108" s="1"/>
  <c r="A86" i="108" s="1"/>
  <c r="A87" i="108" s="1"/>
  <c r="A88" i="108" s="1"/>
  <c r="A89" i="108" s="1"/>
  <c r="A90" i="108" s="1"/>
  <c r="A91" i="108" s="1"/>
  <c r="A92" i="108" s="1"/>
  <c r="A93" i="108" s="1"/>
  <c r="A94" i="108" s="1"/>
  <c r="A95" i="108" s="1"/>
  <c r="A96" i="108" s="1"/>
  <c r="A97" i="108" s="1"/>
  <c r="A98" i="108" s="1"/>
  <c r="A99" i="108" s="1"/>
  <c r="A100" i="108" s="1"/>
  <c r="A101" i="108" s="1"/>
  <c r="A102" i="108" s="1"/>
  <c r="A103" i="108" s="1"/>
  <c r="A104" i="108" s="1"/>
  <c r="A105" i="108" s="1"/>
  <c r="A106" i="108" s="1"/>
  <c r="A107" i="108" s="1"/>
  <c r="A108" i="108" s="1"/>
  <c r="A109" i="108" s="1"/>
  <c r="A110" i="108" s="1"/>
  <c r="F111" i="108"/>
  <c r="F90" i="33" s="1"/>
  <c r="A10" i="108"/>
  <c r="A11" i="108" s="1"/>
  <c r="A12" i="108" s="1"/>
  <c r="M9" i="108"/>
  <c r="N9" i="108" s="1"/>
  <c r="G9" i="108"/>
  <c r="G10" i="108" s="1"/>
  <c r="G11" i="108" s="1"/>
  <c r="G12" i="108" s="1"/>
  <c r="G13" i="108" s="1"/>
  <c r="G14" i="108" s="1"/>
  <c r="G15" i="108" s="1"/>
  <c r="G16" i="108" s="1"/>
  <c r="G17" i="108" s="1"/>
  <c r="G18" i="108" s="1"/>
  <c r="G19" i="108" s="1"/>
  <c r="G20" i="108" s="1"/>
  <c r="A4" i="108"/>
  <c r="D71" i="33"/>
  <c r="D70" i="33"/>
  <c r="D66" i="33"/>
  <c r="D65" i="33"/>
  <c r="D64" i="33"/>
  <c r="D63" i="33"/>
  <c r="D62" i="33"/>
  <c r="D61" i="33"/>
  <c r="D60" i="33"/>
  <c r="D59" i="33"/>
  <c r="D58" i="33"/>
  <c r="D57" i="33"/>
  <c r="D37" i="33"/>
  <c r="D36" i="33"/>
  <c r="D35" i="33"/>
  <c r="D34" i="33"/>
  <c r="D33" i="33"/>
  <c r="D32" i="33"/>
  <c r="G38" i="33"/>
  <c r="D31" i="33"/>
  <c r="D39" i="33"/>
  <c r="D40" i="33"/>
  <c r="D42" i="33"/>
  <c r="D43" i="33"/>
  <c r="D44" i="33"/>
  <c r="D45" i="33"/>
  <c r="G46" i="33"/>
  <c r="G47" i="33"/>
  <c r="G48" i="33"/>
  <c r="G50" i="33"/>
  <c r="G93" i="33"/>
  <c r="G97" i="33"/>
  <c r="D29" i="33"/>
  <c r="D28" i="33"/>
  <c r="J109" i="107"/>
  <c r="E109" i="107"/>
  <c r="N22" i="107"/>
  <c r="N21" i="107"/>
  <c r="M19" i="107"/>
  <c r="F109" i="107"/>
  <c r="A10" i="107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41" i="107" s="1"/>
  <c r="A42" i="107" s="1"/>
  <c r="A43" i="107" s="1"/>
  <c r="A44" i="107" s="1"/>
  <c r="A45" i="107" s="1"/>
  <c r="A46" i="107" s="1"/>
  <c r="A47" i="107" s="1"/>
  <c r="A48" i="107" s="1"/>
  <c r="A49" i="107" s="1"/>
  <c r="A50" i="107" s="1"/>
  <c r="A51" i="107" s="1"/>
  <c r="A52" i="107" s="1"/>
  <c r="A53" i="107" s="1"/>
  <c r="A54" i="107" s="1"/>
  <c r="A55" i="107" s="1"/>
  <c r="A56" i="107" s="1"/>
  <c r="A57" i="107" s="1"/>
  <c r="A58" i="107" s="1"/>
  <c r="A59" i="107" s="1"/>
  <c r="A60" i="107" s="1"/>
  <c r="A61" i="107" s="1"/>
  <c r="A62" i="107" s="1"/>
  <c r="A63" i="107" s="1"/>
  <c r="A64" i="107" s="1"/>
  <c r="A65" i="107" s="1"/>
  <c r="A66" i="107" s="1"/>
  <c r="A67" i="107" s="1"/>
  <c r="A68" i="107" s="1"/>
  <c r="A69" i="107" s="1"/>
  <c r="A70" i="107" s="1"/>
  <c r="A71" i="107" s="1"/>
  <c r="A72" i="107" s="1"/>
  <c r="A73" i="107" s="1"/>
  <c r="A74" i="107" s="1"/>
  <c r="A75" i="107" s="1"/>
  <c r="A76" i="107" s="1"/>
  <c r="A77" i="107" s="1"/>
  <c r="A78" i="107" s="1"/>
  <c r="A79" i="107" s="1"/>
  <c r="A80" i="107" s="1"/>
  <c r="A81" i="107" s="1"/>
  <c r="A82" i="107" s="1"/>
  <c r="A83" i="107" s="1"/>
  <c r="A84" i="107" s="1"/>
  <c r="A85" i="107" s="1"/>
  <c r="A86" i="107" s="1"/>
  <c r="A87" i="107" s="1"/>
  <c r="A88" i="107" s="1"/>
  <c r="A89" i="107" s="1"/>
  <c r="A90" i="107" s="1"/>
  <c r="A91" i="107" s="1"/>
  <c r="A92" i="107" s="1"/>
  <c r="A93" i="107" s="1"/>
  <c r="A94" i="107" s="1"/>
  <c r="A95" i="107" s="1"/>
  <c r="A96" i="107" s="1"/>
  <c r="A97" i="107" s="1"/>
  <c r="A98" i="107" s="1"/>
  <c r="A99" i="107" s="1"/>
  <c r="A100" i="107" s="1"/>
  <c r="A101" i="107" s="1"/>
  <c r="A102" i="107" s="1"/>
  <c r="A103" i="107" s="1"/>
  <c r="A104" i="107" s="1"/>
  <c r="A105" i="107" s="1"/>
  <c r="A106" i="107" s="1"/>
  <c r="A107" i="107" s="1"/>
  <c r="A108" i="107" s="1"/>
  <c r="G9" i="107"/>
  <c r="G10" i="107" s="1"/>
  <c r="G11" i="107" s="1"/>
  <c r="G12" i="107" s="1"/>
  <c r="G13" i="107" s="1"/>
  <c r="G14" i="107" s="1"/>
  <c r="G15" i="107" s="1"/>
  <c r="G16" i="107" s="1"/>
  <c r="G17" i="107" s="1"/>
  <c r="G18" i="107" s="1"/>
  <c r="G19" i="107" s="1"/>
  <c r="G20" i="107" s="1"/>
  <c r="G21" i="107" s="1"/>
  <c r="G22" i="107" s="1"/>
  <c r="G23" i="107" s="1"/>
  <c r="G24" i="107" s="1"/>
  <c r="G25" i="107" s="1"/>
  <c r="G26" i="107" s="1"/>
  <c r="G27" i="107" s="1"/>
  <c r="G28" i="107" s="1"/>
  <c r="G29" i="107" s="1"/>
  <c r="G30" i="107" s="1"/>
  <c r="G31" i="107" s="1"/>
  <c r="G32" i="107" s="1"/>
  <c r="G33" i="107" s="1"/>
  <c r="G34" i="107" s="1"/>
  <c r="G35" i="107" s="1"/>
  <c r="G36" i="107" s="1"/>
  <c r="G37" i="107" s="1"/>
  <c r="G38" i="107" s="1"/>
  <c r="G39" i="107" s="1"/>
  <c r="G40" i="107" s="1"/>
  <c r="G41" i="107" s="1"/>
  <c r="G42" i="107" s="1"/>
  <c r="G43" i="107" s="1"/>
  <c r="G44" i="107" s="1"/>
  <c r="G45" i="107" s="1"/>
  <c r="G46" i="107" s="1"/>
  <c r="G47" i="107" s="1"/>
  <c r="G48" i="107" s="1"/>
  <c r="G49" i="107" s="1"/>
  <c r="G50" i="107" s="1"/>
  <c r="G51" i="107" s="1"/>
  <c r="G52" i="107" s="1"/>
  <c r="G53" i="107" s="1"/>
  <c r="G54" i="107" s="1"/>
  <c r="G55" i="107" s="1"/>
  <c r="G56" i="107" s="1"/>
  <c r="G57" i="107" s="1"/>
  <c r="G58" i="107" s="1"/>
  <c r="G59" i="107" s="1"/>
  <c r="G60" i="107" s="1"/>
  <c r="G61" i="107" s="1"/>
  <c r="G62" i="107" s="1"/>
  <c r="G63" i="107" s="1"/>
  <c r="G64" i="107" s="1"/>
  <c r="G65" i="107" s="1"/>
  <c r="G66" i="107" s="1"/>
  <c r="G67" i="107" s="1"/>
  <c r="G68" i="107" s="1"/>
  <c r="G69" i="107" s="1"/>
  <c r="G70" i="107" s="1"/>
  <c r="G71" i="107" s="1"/>
  <c r="G72" i="107" s="1"/>
  <c r="G73" i="107" s="1"/>
  <c r="G74" i="107" s="1"/>
  <c r="G75" i="107" s="1"/>
  <c r="G76" i="107" s="1"/>
  <c r="G77" i="107" s="1"/>
  <c r="G78" i="107" s="1"/>
  <c r="G79" i="107" s="1"/>
  <c r="G80" i="107" s="1"/>
  <c r="G81" i="107" s="1"/>
  <c r="G82" i="107" s="1"/>
  <c r="G83" i="107" s="1"/>
  <c r="G84" i="107" s="1"/>
  <c r="G85" i="107" s="1"/>
  <c r="G86" i="107" s="1"/>
  <c r="G87" i="107" s="1"/>
  <c r="G88" i="107" s="1"/>
  <c r="G89" i="107" s="1"/>
  <c r="G90" i="107" s="1"/>
  <c r="G91" i="107" s="1"/>
  <c r="G92" i="107" s="1"/>
  <c r="G93" i="107" s="1"/>
  <c r="G94" i="107" s="1"/>
  <c r="G95" i="107" s="1"/>
  <c r="G96" i="107" s="1"/>
  <c r="G97" i="107" s="1"/>
  <c r="G98" i="107" s="1"/>
  <c r="G99" i="107" s="1"/>
  <c r="G100" i="107" s="1"/>
  <c r="G101" i="107" s="1"/>
  <c r="G102" i="107" s="1"/>
  <c r="G103" i="107" s="1"/>
  <c r="G104" i="107" s="1"/>
  <c r="G105" i="107" s="1"/>
  <c r="G106" i="107" s="1"/>
  <c r="G107" i="107" s="1"/>
  <c r="G108" i="107" s="1"/>
  <c r="A4" i="107"/>
  <c r="F108" i="106"/>
  <c r="F74" i="33" s="1"/>
  <c r="G74" i="33" s="1"/>
  <c r="E108" i="106"/>
  <c r="P20" i="106"/>
  <c r="L11" i="106"/>
  <c r="A10" i="106"/>
  <c r="A11" i="106" s="1"/>
  <c r="A12" i="106" s="1"/>
  <c r="A13" i="106" s="1"/>
  <c r="A14" i="106" s="1"/>
  <c r="A15" i="106" s="1"/>
  <c r="A16" i="106" s="1"/>
  <c r="A17" i="106" s="1"/>
  <c r="A18" i="106" s="1"/>
  <c r="A19" i="106" s="1"/>
  <c r="A20" i="106" s="1"/>
  <c r="A21" i="106" s="1"/>
  <c r="A22" i="106" s="1"/>
  <c r="A23" i="106" s="1"/>
  <c r="A24" i="106" s="1"/>
  <c r="A25" i="106" s="1"/>
  <c r="A26" i="106" s="1"/>
  <c r="A27" i="106" s="1"/>
  <c r="A28" i="106" s="1"/>
  <c r="A29" i="106" s="1"/>
  <c r="A30" i="106" s="1"/>
  <c r="A31" i="106" s="1"/>
  <c r="A32" i="106" s="1"/>
  <c r="A33" i="106" s="1"/>
  <c r="A34" i="106" s="1"/>
  <c r="A35" i="106" s="1"/>
  <c r="A36" i="106" s="1"/>
  <c r="A37" i="106" s="1"/>
  <c r="A38" i="106" s="1"/>
  <c r="A39" i="106" s="1"/>
  <c r="A40" i="106" s="1"/>
  <c r="A41" i="106" s="1"/>
  <c r="A42" i="106" s="1"/>
  <c r="A43" i="106" s="1"/>
  <c r="A44" i="106" s="1"/>
  <c r="A45" i="106" s="1"/>
  <c r="A46" i="106" s="1"/>
  <c r="A47" i="106" s="1"/>
  <c r="A48" i="106" s="1"/>
  <c r="A49" i="106" s="1"/>
  <c r="A50" i="106" s="1"/>
  <c r="A51" i="106" s="1"/>
  <c r="A52" i="106" s="1"/>
  <c r="A53" i="106" s="1"/>
  <c r="A54" i="106" s="1"/>
  <c r="A55" i="106" s="1"/>
  <c r="A56" i="106" s="1"/>
  <c r="A57" i="106" s="1"/>
  <c r="A58" i="106" s="1"/>
  <c r="A59" i="106" s="1"/>
  <c r="A60" i="106" s="1"/>
  <c r="A61" i="106" s="1"/>
  <c r="A62" i="106" s="1"/>
  <c r="A63" i="106" s="1"/>
  <c r="A64" i="106" s="1"/>
  <c r="A65" i="106" s="1"/>
  <c r="A66" i="106" s="1"/>
  <c r="A67" i="106" s="1"/>
  <c r="A68" i="106" s="1"/>
  <c r="A69" i="106" s="1"/>
  <c r="A70" i="106" s="1"/>
  <c r="A71" i="106" s="1"/>
  <c r="A72" i="106" s="1"/>
  <c r="A73" i="106" s="1"/>
  <c r="A74" i="106" s="1"/>
  <c r="A75" i="106" s="1"/>
  <c r="A76" i="106" s="1"/>
  <c r="A77" i="106" s="1"/>
  <c r="A78" i="106" s="1"/>
  <c r="A79" i="106" s="1"/>
  <c r="A80" i="106" s="1"/>
  <c r="A81" i="106" s="1"/>
  <c r="A82" i="106" s="1"/>
  <c r="A83" i="106" s="1"/>
  <c r="A84" i="106" s="1"/>
  <c r="A85" i="106" s="1"/>
  <c r="A86" i="106" s="1"/>
  <c r="A87" i="106" s="1"/>
  <c r="A88" i="106" s="1"/>
  <c r="A89" i="106" s="1"/>
  <c r="A90" i="106" s="1"/>
  <c r="A91" i="106" s="1"/>
  <c r="A92" i="106" s="1"/>
  <c r="A93" i="106" s="1"/>
  <c r="A105" i="106" s="1"/>
  <c r="A106" i="106" s="1"/>
  <c r="A107" i="106" s="1"/>
  <c r="G9" i="106"/>
  <c r="G10" i="106" s="1"/>
  <c r="G11" i="106" s="1"/>
  <c r="G12" i="106" s="1"/>
  <c r="G13" i="106" s="1"/>
  <c r="G14" i="106" s="1"/>
  <c r="G15" i="106" s="1"/>
  <c r="G16" i="106" s="1"/>
  <c r="G17" i="106" s="1"/>
  <c r="G18" i="106" s="1"/>
  <c r="G19" i="106" s="1"/>
  <c r="G20" i="106" s="1"/>
  <c r="G21" i="106" s="1"/>
  <c r="G22" i="106" s="1"/>
  <c r="G23" i="106" s="1"/>
  <c r="G24" i="106" s="1"/>
  <c r="G25" i="106" s="1"/>
  <c r="G26" i="106" s="1"/>
  <c r="G27" i="106" s="1"/>
  <c r="G28" i="106" s="1"/>
  <c r="G29" i="106" s="1"/>
  <c r="G30" i="106" s="1"/>
  <c r="G31" i="106" s="1"/>
  <c r="G32" i="106" s="1"/>
  <c r="G33" i="106" s="1"/>
  <c r="G34" i="106" s="1"/>
  <c r="G35" i="106" s="1"/>
  <c r="G36" i="106" s="1"/>
  <c r="G37" i="106" s="1"/>
  <c r="G38" i="106" s="1"/>
  <c r="G39" i="106" s="1"/>
  <c r="G40" i="106" s="1"/>
  <c r="G41" i="106" s="1"/>
  <c r="G42" i="106" s="1"/>
  <c r="G43" i="106" s="1"/>
  <c r="G44" i="106" s="1"/>
  <c r="G45" i="106" s="1"/>
  <c r="G46" i="106" s="1"/>
  <c r="G47" i="106" s="1"/>
  <c r="G48" i="106" s="1"/>
  <c r="G49" i="106" s="1"/>
  <c r="G50" i="106" s="1"/>
  <c r="G51" i="106" s="1"/>
  <c r="G52" i="106" s="1"/>
  <c r="G53" i="106" s="1"/>
  <c r="G54" i="106" s="1"/>
  <c r="G55" i="106" s="1"/>
  <c r="G56" i="106" s="1"/>
  <c r="G57" i="106" s="1"/>
  <c r="G58" i="106" s="1"/>
  <c r="G59" i="106" s="1"/>
  <c r="G60" i="106" s="1"/>
  <c r="G61" i="106" s="1"/>
  <c r="G62" i="106" s="1"/>
  <c r="G63" i="106" s="1"/>
  <c r="G64" i="106" s="1"/>
  <c r="G65" i="106" s="1"/>
  <c r="G66" i="106" s="1"/>
  <c r="G67" i="106" s="1"/>
  <c r="G68" i="106" s="1"/>
  <c r="G69" i="106" s="1"/>
  <c r="G70" i="106" s="1"/>
  <c r="G71" i="106" s="1"/>
  <c r="G72" i="106" s="1"/>
  <c r="G73" i="106" s="1"/>
  <c r="G74" i="106" s="1"/>
  <c r="G75" i="106" s="1"/>
  <c r="G76" i="106" s="1"/>
  <c r="G77" i="106" s="1"/>
  <c r="G78" i="106" s="1"/>
  <c r="G79" i="106" s="1"/>
  <c r="G80" i="106" s="1"/>
  <c r="G81" i="106" s="1"/>
  <c r="G82" i="106" s="1"/>
  <c r="G83" i="106" s="1"/>
  <c r="G84" i="106" s="1"/>
  <c r="G85" i="106" s="1"/>
  <c r="G86" i="106" s="1"/>
  <c r="G87" i="106" s="1"/>
  <c r="G88" i="106" s="1"/>
  <c r="G89" i="106" s="1"/>
  <c r="G90" i="106" s="1"/>
  <c r="G91" i="106" s="1"/>
  <c r="G92" i="106" s="1"/>
  <c r="G93" i="106" s="1"/>
  <c r="G94" i="106" s="1"/>
  <c r="G95" i="106" s="1"/>
  <c r="G96" i="106" s="1"/>
  <c r="G97" i="106" s="1"/>
  <c r="G98" i="106" s="1"/>
  <c r="G99" i="106" s="1"/>
  <c r="G100" i="106" s="1"/>
  <c r="G101" i="106" s="1"/>
  <c r="G102" i="106" s="1"/>
  <c r="G103" i="106" s="1"/>
  <c r="G104" i="106" s="1"/>
  <c r="G105" i="106" s="1"/>
  <c r="G106" i="106" s="1"/>
  <c r="G107" i="106" s="1"/>
  <c r="A4" i="106"/>
  <c r="E108" i="105"/>
  <c r="P20" i="105"/>
  <c r="L11" i="105"/>
  <c r="F108" i="105"/>
  <c r="F73" i="33" s="1"/>
  <c r="G73" i="33" s="1"/>
  <c r="A10" i="105"/>
  <c r="A11" i="105" s="1"/>
  <c r="A12" i="105" s="1"/>
  <c r="A13" i="105" s="1"/>
  <c r="A14" i="105" s="1"/>
  <c r="A15" i="105" s="1"/>
  <c r="A16" i="105" s="1"/>
  <c r="A17" i="105" s="1"/>
  <c r="A18" i="105" s="1"/>
  <c r="A19" i="105" s="1"/>
  <c r="A20" i="105" s="1"/>
  <c r="A21" i="105" s="1"/>
  <c r="A22" i="105" s="1"/>
  <c r="A23" i="105" s="1"/>
  <c r="A24" i="105" s="1"/>
  <c r="A25" i="105" s="1"/>
  <c r="A26" i="105" s="1"/>
  <c r="A27" i="105" s="1"/>
  <c r="A28" i="105" s="1"/>
  <c r="A29" i="105" s="1"/>
  <c r="A30" i="105" s="1"/>
  <c r="A31" i="105" s="1"/>
  <c r="A32" i="105" s="1"/>
  <c r="A33" i="105" s="1"/>
  <c r="A34" i="105" s="1"/>
  <c r="A35" i="105" s="1"/>
  <c r="A36" i="105" s="1"/>
  <c r="A37" i="105" s="1"/>
  <c r="A38" i="105" s="1"/>
  <c r="A39" i="105" s="1"/>
  <c r="A40" i="105" s="1"/>
  <c r="A41" i="105" s="1"/>
  <c r="A42" i="105" s="1"/>
  <c r="A43" i="105" s="1"/>
  <c r="A44" i="105" s="1"/>
  <c r="A45" i="105" s="1"/>
  <c r="A46" i="105" s="1"/>
  <c r="A47" i="105" s="1"/>
  <c r="A48" i="105" s="1"/>
  <c r="A49" i="105" s="1"/>
  <c r="A50" i="105" s="1"/>
  <c r="A51" i="105" s="1"/>
  <c r="A52" i="105" s="1"/>
  <c r="A53" i="105" s="1"/>
  <c r="A54" i="105" s="1"/>
  <c r="A55" i="105" s="1"/>
  <c r="A56" i="105" s="1"/>
  <c r="A57" i="105" s="1"/>
  <c r="A58" i="105" s="1"/>
  <c r="A59" i="105" s="1"/>
  <c r="A60" i="105" s="1"/>
  <c r="A61" i="105" s="1"/>
  <c r="A62" i="105" s="1"/>
  <c r="A63" i="105" s="1"/>
  <c r="A64" i="105" s="1"/>
  <c r="A65" i="105" s="1"/>
  <c r="A66" i="105" s="1"/>
  <c r="A67" i="105" s="1"/>
  <c r="A68" i="105" s="1"/>
  <c r="A69" i="105" s="1"/>
  <c r="A70" i="105" s="1"/>
  <c r="A71" i="105" s="1"/>
  <c r="A72" i="105" s="1"/>
  <c r="A73" i="105" s="1"/>
  <c r="A74" i="105" s="1"/>
  <c r="A75" i="105" s="1"/>
  <c r="A76" i="105" s="1"/>
  <c r="A77" i="105" s="1"/>
  <c r="A78" i="105" s="1"/>
  <c r="A79" i="105" s="1"/>
  <c r="A80" i="105" s="1"/>
  <c r="A81" i="105" s="1"/>
  <c r="A82" i="105" s="1"/>
  <c r="A83" i="105" s="1"/>
  <c r="A84" i="105" s="1"/>
  <c r="A85" i="105" s="1"/>
  <c r="A86" i="105" s="1"/>
  <c r="A87" i="105" s="1"/>
  <c r="A88" i="105" s="1"/>
  <c r="A89" i="105" s="1"/>
  <c r="A90" i="105" s="1"/>
  <c r="A91" i="105" s="1"/>
  <c r="A92" i="105" s="1"/>
  <c r="A93" i="105" s="1"/>
  <c r="A105" i="105" s="1"/>
  <c r="A106" i="105" s="1"/>
  <c r="A107" i="105" s="1"/>
  <c r="G9" i="105"/>
  <c r="G10" i="105" s="1"/>
  <c r="G11" i="105" s="1"/>
  <c r="G12" i="105" s="1"/>
  <c r="G13" i="105" s="1"/>
  <c r="G14" i="105" s="1"/>
  <c r="G15" i="105" s="1"/>
  <c r="G16" i="105" s="1"/>
  <c r="G17" i="105" s="1"/>
  <c r="G18" i="105" s="1"/>
  <c r="G19" i="105" s="1"/>
  <c r="G20" i="105" s="1"/>
  <c r="G21" i="105" s="1"/>
  <c r="G22" i="105" s="1"/>
  <c r="G23" i="105" s="1"/>
  <c r="G24" i="105" s="1"/>
  <c r="G25" i="105" s="1"/>
  <c r="G26" i="105" s="1"/>
  <c r="G27" i="105" s="1"/>
  <c r="G28" i="105" s="1"/>
  <c r="G29" i="105" s="1"/>
  <c r="G30" i="105" s="1"/>
  <c r="G31" i="105" s="1"/>
  <c r="G32" i="105" s="1"/>
  <c r="G33" i="105" s="1"/>
  <c r="G34" i="105" s="1"/>
  <c r="G35" i="105" s="1"/>
  <c r="G36" i="105" s="1"/>
  <c r="G37" i="105" s="1"/>
  <c r="G38" i="105" s="1"/>
  <c r="G39" i="105" s="1"/>
  <c r="G40" i="105" s="1"/>
  <c r="G41" i="105" s="1"/>
  <c r="G42" i="105" s="1"/>
  <c r="G43" i="105" s="1"/>
  <c r="G44" i="105" s="1"/>
  <c r="G45" i="105" s="1"/>
  <c r="G46" i="105" s="1"/>
  <c r="G47" i="105" s="1"/>
  <c r="G48" i="105" s="1"/>
  <c r="G49" i="105" s="1"/>
  <c r="G50" i="105" s="1"/>
  <c r="G51" i="105" s="1"/>
  <c r="G52" i="105" s="1"/>
  <c r="G53" i="105" s="1"/>
  <c r="G54" i="105" s="1"/>
  <c r="G55" i="105" s="1"/>
  <c r="G56" i="105" s="1"/>
  <c r="G57" i="105" s="1"/>
  <c r="G58" i="105" s="1"/>
  <c r="G59" i="105" s="1"/>
  <c r="G60" i="105" s="1"/>
  <c r="G61" i="105" s="1"/>
  <c r="G62" i="105" s="1"/>
  <c r="G63" i="105" s="1"/>
  <c r="G64" i="105" s="1"/>
  <c r="G65" i="105" s="1"/>
  <c r="G66" i="105" s="1"/>
  <c r="G67" i="105" s="1"/>
  <c r="G68" i="105" s="1"/>
  <c r="G69" i="105" s="1"/>
  <c r="G70" i="105" s="1"/>
  <c r="G71" i="105" s="1"/>
  <c r="G72" i="105" s="1"/>
  <c r="G73" i="105" s="1"/>
  <c r="G74" i="105" s="1"/>
  <c r="G75" i="105" s="1"/>
  <c r="G76" i="105" s="1"/>
  <c r="G77" i="105" s="1"/>
  <c r="G78" i="105" s="1"/>
  <c r="G79" i="105" s="1"/>
  <c r="G80" i="105" s="1"/>
  <c r="G81" i="105" s="1"/>
  <c r="G82" i="105" s="1"/>
  <c r="G83" i="105" s="1"/>
  <c r="G84" i="105" s="1"/>
  <c r="G85" i="105" s="1"/>
  <c r="G86" i="105" s="1"/>
  <c r="G87" i="105" s="1"/>
  <c r="G88" i="105" s="1"/>
  <c r="G89" i="105" s="1"/>
  <c r="G90" i="105" s="1"/>
  <c r="G91" i="105" s="1"/>
  <c r="G92" i="105" s="1"/>
  <c r="G93" i="105" s="1"/>
  <c r="G94" i="105" s="1"/>
  <c r="G95" i="105" s="1"/>
  <c r="G96" i="105" s="1"/>
  <c r="G97" i="105" s="1"/>
  <c r="G98" i="105" s="1"/>
  <c r="G99" i="105" s="1"/>
  <c r="G100" i="105" s="1"/>
  <c r="G101" i="105" s="1"/>
  <c r="G102" i="105" s="1"/>
  <c r="G103" i="105" s="1"/>
  <c r="G104" i="105" s="1"/>
  <c r="G105" i="105" s="1"/>
  <c r="G106" i="105" s="1"/>
  <c r="G107" i="105" s="1"/>
  <c r="A4" i="105"/>
  <c r="M25" i="52"/>
  <c r="M26" i="52" s="1"/>
  <c r="N25" i="76"/>
  <c r="N26" i="76" s="1"/>
  <c r="N24" i="76"/>
  <c r="N45" i="46"/>
  <c r="N46" i="46" s="1"/>
  <c r="N47" i="46" s="1"/>
  <c r="O38" i="46"/>
  <c r="O39" i="46" s="1"/>
  <c r="G90" i="33" l="1"/>
  <c r="G108" i="106"/>
  <c r="G108" i="109"/>
  <c r="G111" i="108"/>
  <c r="G109" i="107"/>
  <c r="G108" i="105"/>
  <c r="O31" i="1"/>
  <c r="F108" i="104" l="1"/>
  <c r="E108" i="104"/>
  <c r="P20" i="104"/>
  <c r="L11" i="104"/>
  <c r="A10" i="104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A38" i="104" s="1"/>
  <c r="A39" i="104" s="1"/>
  <c r="A40" i="104" s="1"/>
  <c r="A41" i="104" s="1"/>
  <c r="A42" i="104" s="1"/>
  <c r="A43" i="104" s="1"/>
  <c r="A44" i="104" s="1"/>
  <c r="A45" i="104" s="1"/>
  <c r="A46" i="104" s="1"/>
  <c r="A47" i="104" s="1"/>
  <c r="A48" i="104" s="1"/>
  <c r="A49" i="104" s="1"/>
  <c r="A50" i="104" s="1"/>
  <c r="A51" i="104" s="1"/>
  <c r="A52" i="104" s="1"/>
  <c r="A53" i="104" s="1"/>
  <c r="A54" i="104" s="1"/>
  <c r="A55" i="104" s="1"/>
  <c r="A56" i="104" s="1"/>
  <c r="A57" i="104" s="1"/>
  <c r="A58" i="104" s="1"/>
  <c r="A59" i="104" s="1"/>
  <c r="A60" i="104" s="1"/>
  <c r="A61" i="104" s="1"/>
  <c r="A62" i="104" s="1"/>
  <c r="A63" i="104" s="1"/>
  <c r="A64" i="104" s="1"/>
  <c r="A65" i="104" s="1"/>
  <c r="A66" i="104" s="1"/>
  <c r="A67" i="104" s="1"/>
  <c r="A68" i="104" s="1"/>
  <c r="A69" i="104" s="1"/>
  <c r="A70" i="104" s="1"/>
  <c r="A71" i="104" s="1"/>
  <c r="A72" i="104" s="1"/>
  <c r="A73" i="104" s="1"/>
  <c r="A74" i="104" s="1"/>
  <c r="A75" i="104" s="1"/>
  <c r="A76" i="104" s="1"/>
  <c r="A77" i="104" s="1"/>
  <c r="A78" i="104" s="1"/>
  <c r="A79" i="104" s="1"/>
  <c r="A80" i="104" s="1"/>
  <c r="A81" i="104" s="1"/>
  <c r="A82" i="104" s="1"/>
  <c r="A83" i="104" s="1"/>
  <c r="A84" i="104" s="1"/>
  <c r="A85" i="104" s="1"/>
  <c r="A86" i="104" s="1"/>
  <c r="A87" i="104" s="1"/>
  <c r="A88" i="104" s="1"/>
  <c r="A89" i="104" s="1"/>
  <c r="A90" i="104" s="1"/>
  <c r="A91" i="104" s="1"/>
  <c r="A92" i="104" s="1"/>
  <c r="A93" i="104" s="1"/>
  <c r="A105" i="104" s="1"/>
  <c r="A106" i="104" s="1"/>
  <c r="A107" i="104" s="1"/>
  <c r="G9" i="104"/>
  <c r="G10" i="104" s="1"/>
  <c r="G11" i="104" s="1"/>
  <c r="G12" i="104" s="1"/>
  <c r="G13" i="104" s="1"/>
  <c r="G14" i="104" s="1"/>
  <c r="G15" i="104" s="1"/>
  <c r="G16" i="104" s="1"/>
  <c r="G17" i="104" s="1"/>
  <c r="G18" i="104" s="1"/>
  <c r="G19" i="104" s="1"/>
  <c r="G20" i="104" s="1"/>
  <c r="G21" i="104" s="1"/>
  <c r="G22" i="104" s="1"/>
  <c r="G23" i="104" s="1"/>
  <c r="G24" i="104" s="1"/>
  <c r="G25" i="104" s="1"/>
  <c r="G26" i="104" s="1"/>
  <c r="G27" i="104" s="1"/>
  <c r="G28" i="104" s="1"/>
  <c r="G29" i="104" s="1"/>
  <c r="G30" i="104" s="1"/>
  <c r="G31" i="104" s="1"/>
  <c r="G32" i="104" s="1"/>
  <c r="G33" i="104" s="1"/>
  <c r="G34" i="104" s="1"/>
  <c r="G35" i="104" s="1"/>
  <c r="G36" i="104" s="1"/>
  <c r="G37" i="104" s="1"/>
  <c r="G38" i="104" s="1"/>
  <c r="G39" i="104" s="1"/>
  <c r="G40" i="104" s="1"/>
  <c r="G41" i="104" s="1"/>
  <c r="G42" i="104" s="1"/>
  <c r="G43" i="104" s="1"/>
  <c r="G44" i="104" s="1"/>
  <c r="G45" i="104" s="1"/>
  <c r="G46" i="104" s="1"/>
  <c r="G47" i="104" s="1"/>
  <c r="G48" i="104" s="1"/>
  <c r="G49" i="104" s="1"/>
  <c r="G50" i="104" s="1"/>
  <c r="G51" i="104" s="1"/>
  <c r="G52" i="104" s="1"/>
  <c r="G53" i="104" s="1"/>
  <c r="G54" i="104" s="1"/>
  <c r="G55" i="104" s="1"/>
  <c r="G56" i="104" s="1"/>
  <c r="G57" i="104" s="1"/>
  <c r="G58" i="104" s="1"/>
  <c r="G59" i="104" s="1"/>
  <c r="G60" i="104" s="1"/>
  <c r="G61" i="104" s="1"/>
  <c r="G62" i="104" s="1"/>
  <c r="G63" i="104" s="1"/>
  <c r="G64" i="104" s="1"/>
  <c r="G65" i="104" s="1"/>
  <c r="G66" i="104" s="1"/>
  <c r="G67" i="104" s="1"/>
  <c r="G68" i="104" s="1"/>
  <c r="G69" i="104" s="1"/>
  <c r="G70" i="104" s="1"/>
  <c r="G71" i="104" s="1"/>
  <c r="G72" i="104" s="1"/>
  <c r="G73" i="104" s="1"/>
  <c r="G74" i="104" s="1"/>
  <c r="G75" i="104" s="1"/>
  <c r="G76" i="104" s="1"/>
  <c r="G77" i="104" s="1"/>
  <c r="G78" i="104" s="1"/>
  <c r="G79" i="104" s="1"/>
  <c r="G80" i="104" s="1"/>
  <c r="G81" i="104" s="1"/>
  <c r="G82" i="104" s="1"/>
  <c r="G83" i="104" s="1"/>
  <c r="G84" i="104" s="1"/>
  <c r="G85" i="104" s="1"/>
  <c r="G86" i="104" s="1"/>
  <c r="G87" i="104" s="1"/>
  <c r="G88" i="104" s="1"/>
  <c r="G89" i="104" s="1"/>
  <c r="G90" i="104" s="1"/>
  <c r="G91" i="104" s="1"/>
  <c r="G92" i="104" s="1"/>
  <c r="G93" i="104" s="1"/>
  <c r="G94" i="104" s="1"/>
  <c r="G95" i="104" s="1"/>
  <c r="G96" i="104" s="1"/>
  <c r="G97" i="104" s="1"/>
  <c r="G98" i="104" s="1"/>
  <c r="G99" i="104" s="1"/>
  <c r="G100" i="104" s="1"/>
  <c r="G101" i="104" s="1"/>
  <c r="G102" i="104" s="1"/>
  <c r="G103" i="104" s="1"/>
  <c r="G104" i="104" s="1"/>
  <c r="G105" i="104" s="1"/>
  <c r="G106" i="104" s="1"/>
  <c r="G107" i="104" s="1"/>
  <c r="A4" i="104"/>
  <c r="E112" i="102"/>
  <c r="E72" i="33" s="1"/>
  <c r="P24" i="102"/>
  <c r="F112" i="102"/>
  <c r="F72" i="33" s="1"/>
  <c r="L15" i="102"/>
  <c r="A13" i="102"/>
  <c r="A15" i="102" s="1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A47" i="102" s="1"/>
  <c r="A48" i="102" s="1"/>
  <c r="A49" i="102" s="1"/>
  <c r="A50" i="102" s="1"/>
  <c r="A51" i="102" s="1"/>
  <c r="A52" i="102" s="1"/>
  <c r="A53" i="102" s="1"/>
  <c r="A54" i="102" s="1"/>
  <c r="A55" i="102" s="1"/>
  <c r="A56" i="102" s="1"/>
  <c r="A57" i="102" s="1"/>
  <c r="A58" i="102" s="1"/>
  <c r="A59" i="102" s="1"/>
  <c r="A60" i="102" s="1"/>
  <c r="A61" i="102" s="1"/>
  <c r="A62" i="102" s="1"/>
  <c r="A63" i="102" s="1"/>
  <c r="A64" i="102" s="1"/>
  <c r="A65" i="102" s="1"/>
  <c r="A66" i="102" s="1"/>
  <c r="A67" i="102" s="1"/>
  <c r="A68" i="102" s="1"/>
  <c r="A69" i="102" s="1"/>
  <c r="A70" i="102" s="1"/>
  <c r="A71" i="102" s="1"/>
  <c r="A72" i="102" s="1"/>
  <c r="A73" i="102" s="1"/>
  <c r="A74" i="102" s="1"/>
  <c r="A75" i="102" s="1"/>
  <c r="A76" i="102" s="1"/>
  <c r="A77" i="102" s="1"/>
  <c r="A78" i="102" s="1"/>
  <c r="A79" i="102" s="1"/>
  <c r="A80" i="102" s="1"/>
  <c r="A81" i="102" s="1"/>
  <c r="A82" i="102" s="1"/>
  <c r="A83" i="102" s="1"/>
  <c r="A84" i="102" s="1"/>
  <c r="A85" i="102" s="1"/>
  <c r="A86" i="102" s="1"/>
  <c r="A87" i="102" s="1"/>
  <c r="A88" i="102" s="1"/>
  <c r="A89" i="102" s="1"/>
  <c r="A90" i="102" s="1"/>
  <c r="A91" i="102" s="1"/>
  <c r="A92" i="102" s="1"/>
  <c r="A93" i="102" s="1"/>
  <c r="A94" i="102" s="1"/>
  <c r="A95" i="102" s="1"/>
  <c r="A96" i="102" s="1"/>
  <c r="A97" i="102" s="1"/>
  <c r="A109" i="102" s="1"/>
  <c r="A110" i="102" s="1"/>
  <c r="A111" i="102" s="1"/>
  <c r="G9" i="102"/>
  <c r="G10" i="102" s="1"/>
  <c r="G11" i="102" s="1"/>
  <c r="G12" i="102" s="1"/>
  <c r="G13" i="102" s="1"/>
  <c r="A4" i="102"/>
  <c r="E13" i="81"/>
  <c r="N30" i="46"/>
  <c r="N31" i="46" s="1"/>
  <c r="L61" i="24"/>
  <c r="O18" i="10"/>
  <c r="M29" i="48"/>
  <c r="N35" i="45"/>
  <c r="E113" i="101"/>
  <c r="E35" i="33" s="1"/>
  <c r="F113" i="101"/>
  <c r="F35" i="33" s="1"/>
  <c r="A10" i="101"/>
  <c r="A11" i="101" s="1"/>
  <c r="A12" i="101" s="1"/>
  <c r="A13" i="101" s="1"/>
  <c r="A14" i="101" s="1"/>
  <c r="A15" i="101" s="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A47" i="101" s="1"/>
  <c r="A48" i="101" s="1"/>
  <c r="A49" i="101" s="1"/>
  <c r="A50" i="101" s="1"/>
  <c r="A51" i="101" s="1"/>
  <c r="A52" i="101" s="1"/>
  <c r="A53" i="101" s="1"/>
  <c r="A54" i="101" s="1"/>
  <c r="A55" i="101" s="1"/>
  <c r="A56" i="101" s="1"/>
  <c r="A57" i="101" s="1"/>
  <c r="A58" i="101" s="1"/>
  <c r="A59" i="101" s="1"/>
  <c r="A60" i="101" s="1"/>
  <c r="A61" i="101" s="1"/>
  <c r="A62" i="101" s="1"/>
  <c r="A63" i="101" s="1"/>
  <c r="A64" i="101" s="1"/>
  <c r="A65" i="101" s="1"/>
  <c r="A66" i="101" s="1"/>
  <c r="A67" i="101" s="1"/>
  <c r="A68" i="101" s="1"/>
  <c r="A69" i="101" s="1"/>
  <c r="A70" i="101" s="1"/>
  <c r="A71" i="101" s="1"/>
  <c r="A72" i="101" s="1"/>
  <c r="A73" i="101" s="1"/>
  <c r="A74" i="101" s="1"/>
  <c r="A75" i="101" s="1"/>
  <c r="A76" i="101" s="1"/>
  <c r="A77" i="101" s="1"/>
  <c r="A78" i="101" s="1"/>
  <c r="A79" i="101" s="1"/>
  <c r="A80" i="101" s="1"/>
  <c r="A81" i="101" s="1"/>
  <c r="A82" i="101" s="1"/>
  <c r="A83" i="101" s="1"/>
  <c r="A84" i="101" s="1"/>
  <c r="A85" i="101" s="1"/>
  <c r="A86" i="101" s="1"/>
  <c r="A87" i="101" s="1"/>
  <c r="A88" i="101" s="1"/>
  <c r="A89" i="101" s="1"/>
  <c r="A90" i="101" s="1"/>
  <c r="A91" i="101" s="1"/>
  <c r="A92" i="101" s="1"/>
  <c r="A93" i="101" s="1"/>
  <c r="A94" i="101" s="1"/>
  <c r="A95" i="101" s="1"/>
  <c r="A96" i="101" s="1"/>
  <c r="A97" i="101" s="1"/>
  <c r="A98" i="101" s="1"/>
  <c r="A99" i="101" s="1"/>
  <c r="A100" i="101" s="1"/>
  <c r="A101" i="101" s="1"/>
  <c r="A102" i="101" s="1"/>
  <c r="A103" i="101" s="1"/>
  <c r="A104" i="101" s="1"/>
  <c r="A105" i="101" s="1"/>
  <c r="A106" i="101" s="1"/>
  <c r="A107" i="101" s="1"/>
  <c r="A108" i="101" s="1"/>
  <c r="A109" i="101" s="1"/>
  <c r="A110" i="101" s="1"/>
  <c r="A111" i="101" s="1"/>
  <c r="A112" i="101" s="1"/>
  <c r="G9" i="101"/>
  <c r="G10" i="101" s="1"/>
  <c r="G11" i="101" s="1"/>
  <c r="G12" i="101" s="1"/>
  <c r="G13" i="101" s="1"/>
  <c r="G14" i="101" s="1"/>
  <c r="G15" i="101" s="1"/>
  <c r="G16" i="101" s="1"/>
  <c r="G17" i="101" s="1"/>
  <c r="G18" i="101" s="1"/>
  <c r="G19" i="101" s="1"/>
  <c r="G20" i="101" s="1"/>
  <c r="G21" i="101" s="1"/>
  <c r="G22" i="101" s="1"/>
  <c r="G23" i="101" s="1"/>
  <c r="G24" i="101" s="1"/>
  <c r="G25" i="101" s="1"/>
  <c r="G26" i="101" s="1"/>
  <c r="G27" i="101" s="1"/>
  <c r="G28" i="101" s="1"/>
  <c r="G29" i="101" s="1"/>
  <c r="G30" i="101" s="1"/>
  <c r="G31" i="101" s="1"/>
  <c r="G32" i="101" s="1"/>
  <c r="G33" i="101" s="1"/>
  <c r="G34" i="101" s="1"/>
  <c r="G35" i="101" s="1"/>
  <c r="G36" i="101" s="1"/>
  <c r="G37" i="101" s="1"/>
  <c r="G38" i="101" s="1"/>
  <c r="G39" i="101" s="1"/>
  <c r="G40" i="101" s="1"/>
  <c r="G41" i="101" s="1"/>
  <c r="G42" i="101" s="1"/>
  <c r="G43" i="101" s="1"/>
  <c r="G44" i="101" s="1"/>
  <c r="G45" i="101" s="1"/>
  <c r="G46" i="101" s="1"/>
  <c r="G47" i="101" s="1"/>
  <c r="G48" i="101" s="1"/>
  <c r="G49" i="101" s="1"/>
  <c r="G50" i="101" s="1"/>
  <c r="G51" i="101" s="1"/>
  <c r="G52" i="101" s="1"/>
  <c r="G53" i="101" s="1"/>
  <c r="G54" i="101" s="1"/>
  <c r="G55" i="101" s="1"/>
  <c r="G56" i="101" s="1"/>
  <c r="G57" i="101" s="1"/>
  <c r="G58" i="101" s="1"/>
  <c r="G59" i="101" s="1"/>
  <c r="G60" i="101" s="1"/>
  <c r="G61" i="101" s="1"/>
  <c r="G62" i="101" s="1"/>
  <c r="G63" i="101" s="1"/>
  <c r="G64" i="101" s="1"/>
  <c r="G65" i="101" s="1"/>
  <c r="G66" i="101" s="1"/>
  <c r="G67" i="101" s="1"/>
  <c r="G68" i="101" s="1"/>
  <c r="G69" i="101" s="1"/>
  <c r="G70" i="101" s="1"/>
  <c r="G71" i="101" s="1"/>
  <c r="G72" i="101" s="1"/>
  <c r="G73" i="101" s="1"/>
  <c r="G74" i="101" s="1"/>
  <c r="G75" i="101" s="1"/>
  <c r="G76" i="101" s="1"/>
  <c r="G77" i="101" s="1"/>
  <c r="G78" i="101" s="1"/>
  <c r="G79" i="101" s="1"/>
  <c r="G80" i="101" s="1"/>
  <c r="G81" i="101" s="1"/>
  <c r="G82" i="101" s="1"/>
  <c r="G83" i="101" s="1"/>
  <c r="G84" i="101" s="1"/>
  <c r="G85" i="101" s="1"/>
  <c r="G86" i="101" s="1"/>
  <c r="G87" i="101" s="1"/>
  <c r="G88" i="101" s="1"/>
  <c r="G89" i="101" s="1"/>
  <c r="G90" i="101" s="1"/>
  <c r="G91" i="101" s="1"/>
  <c r="G92" i="101" s="1"/>
  <c r="G93" i="101" s="1"/>
  <c r="G94" i="101" s="1"/>
  <c r="G95" i="101" s="1"/>
  <c r="G96" i="101" s="1"/>
  <c r="G97" i="101" s="1"/>
  <c r="G98" i="101" s="1"/>
  <c r="G99" i="101" s="1"/>
  <c r="G100" i="101" s="1"/>
  <c r="G101" i="101" s="1"/>
  <c r="G102" i="101" s="1"/>
  <c r="G103" i="101" s="1"/>
  <c r="G104" i="101" s="1"/>
  <c r="G105" i="101" s="1"/>
  <c r="G106" i="101" s="1"/>
  <c r="G107" i="101" s="1"/>
  <c r="G108" i="101" s="1"/>
  <c r="G109" i="101" s="1"/>
  <c r="G110" i="101" s="1"/>
  <c r="G111" i="101" s="1"/>
  <c r="G112" i="101" s="1"/>
  <c r="A4" i="101"/>
  <c r="M46" i="45"/>
  <c r="M47" i="45" s="1"/>
  <c r="M48" i="45" s="1"/>
  <c r="M49" i="45" s="1"/>
  <c r="M43" i="45"/>
  <c r="F101" i="100"/>
  <c r="E101" i="100"/>
  <c r="A10" i="100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G9" i="100"/>
  <c r="G10" i="100" s="1"/>
  <c r="G11" i="100" s="1"/>
  <c r="G12" i="100" s="1"/>
  <c r="G13" i="100" s="1"/>
  <c r="G14" i="100" s="1"/>
  <c r="G15" i="100" s="1"/>
  <c r="G16" i="100" s="1"/>
  <c r="G17" i="100" s="1"/>
  <c r="G18" i="100" s="1"/>
  <c r="G19" i="100" s="1"/>
  <c r="G20" i="100" s="1"/>
  <c r="G21" i="100" s="1"/>
  <c r="G22" i="100" s="1"/>
  <c r="G23" i="100" s="1"/>
  <c r="G24" i="100" s="1"/>
  <c r="G25" i="100" s="1"/>
  <c r="G26" i="100" s="1"/>
  <c r="G27" i="100" s="1"/>
  <c r="G28" i="100" s="1"/>
  <c r="G29" i="100" s="1"/>
  <c r="G30" i="100" s="1"/>
  <c r="G31" i="100" s="1"/>
  <c r="G32" i="100" s="1"/>
  <c r="G33" i="100" s="1"/>
  <c r="G34" i="100" s="1"/>
  <c r="G35" i="100" s="1"/>
  <c r="G36" i="100" s="1"/>
  <c r="G37" i="100" s="1"/>
  <c r="G38" i="100" s="1"/>
  <c r="G39" i="100" s="1"/>
  <c r="G40" i="100" s="1"/>
  <c r="G41" i="100" s="1"/>
  <c r="G42" i="100" s="1"/>
  <c r="G43" i="100" s="1"/>
  <c r="G44" i="100" s="1"/>
  <c r="G45" i="100" s="1"/>
  <c r="G46" i="100" s="1"/>
  <c r="G47" i="100" s="1"/>
  <c r="G48" i="100" s="1"/>
  <c r="G49" i="100" s="1"/>
  <c r="G50" i="100" s="1"/>
  <c r="G51" i="100" s="1"/>
  <c r="G52" i="100" s="1"/>
  <c r="G53" i="100" s="1"/>
  <c r="G54" i="100" s="1"/>
  <c r="G55" i="100" s="1"/>
  <c r="G56" i="100" s="1"/>
  <c r="G57" i="100" s="1"/>
  <c r="G58" i="100" s="1"/>
  <c r="G59" i="100" s="1"/>
  <c r="G60" i="100" s="1"/>
  <c r="G61" i="100" s="1"/>
  <c r="G62" i="100" s="1"/>
  <c r="G63" i="100" s="1"/>
  <c r="G64" i="100" s="1"/>
  <c r="G65" i="100" s="1"/>
  <c r="G73" i="100" s="1"/>
  <c r="G74" i="100" s="1"/>
  <c r="G75" i="100" s="1"/>
  <c r="G76" i="100" s="1"/>
  <c r="G77" i="100" s="1"/>
  <c r="G78" i="100" s="1"/>
  <c r="G79" i="100" s="1"/>
  <c r="G80" i="100" s="1"/>
  <c r="G81" i="100" s="1"/>
  <c r="G82" i="100" s="1"/>
  <c r="G83" i="100" s="1"/>
  <c r="G84" i="100" s="1"/>
  <c r="G85" i="100" s="1"/>
  <c r="G86" i="100" s="1"/>
  <c r="G87" i="100" s="1"/>
  <c r="G88" i="100" s="1"/>
  <c r="G89" i="100" s="1"/>
  <c r="G90" i="100" s="1"/>
  <c r="G91" i="100" s="1"/>
  <c r="G92" i="100" s="1"/>
  <c r="G93" i="100" s="1"/>
  <c r="G94" i="100" s="1"/>
  <c r="G95" i="100" s="1"/>
  <c r="G96" i="100" s="1"/>
  <c r="G97" i="100" s="1"/>
  <c r="G98" i="100" s="1"/>
  <c r="G99" i="100" s="1"/>
  <c r="G100" i="100" s="1"/>
  <c r="A4" i="100"/>
  <c r="Q30" i="45"/>
  <c r="F10" i="99"/>
  <c r="F97" i="99"/>
  <c r="E97" i="99"/>
  <c r="A10" i="99"/>
  <c r="A11" i="99" s="1"/>
  <c r="A12" i="99" s="1"/>
  <c r="A13" i="99" s="1"/>
  <c r="A14" i="99" s="1"/>
  <c r="A15" i="99" s="1"/>
  <c r="A16" i="99" s="1"/>
  <c r="A17" i="99" s="1"/>
  <c r="A18" i="99" s="1"/>
  <c r="A19" i="99" s="1"/>
  <c r="A20" i="99" s="1"/>
  <c r="A21" i="99" s="1"/>
  <c r="A22" i="99" s="1"/>
  <c r="A23" i="99" s="1"/>
  <c r="A24" i="99" s="1"/>
  <c r="A25" i="99" s="1"/>
  <c r="A26" i="99" s="1"/>
  <c r="A27" i="99" s="1"/>
  <c r="A28" i="99" s="1"/>
  <c r="A29" i="99" s="1"/>
  <c r="A30" i="99" s="1"/>
  <c r="A31" i="99" s="1"/>
  <c r="A32" i="99" s="1"/>
  <c r="A33" i="99" s="1"/>
  <c r="A34" i="99" s="1"/>
  <c r="A35" i="99" s="1"/>
  <c r="A36" i="99" s="1"/>
  <c r="A37" i="99" s="1"/>
  <c r="A38" i="99" s="1"/>
  <c r="A39" i="99" s="1"/>
  <c r="A40" i="99" s="1"/>
  <c r="A41" i="99" s="1"/>
  <c r="A42" i="99" s="1"/>
  <c r="A43" i="99" s="1"/>
  <c r="A44" i="99" s="1"/>
  <c r="A45" i="99" s="1"/>
  <c r="A46" i="99" s="1"/>
  <c r="A47" i="99" s="1"/>
  <c r="A48" i="99" s="1"/>
  <c r="A49" i="99" s="1"/>
  <c r="A50" i="99" s="1"/>
  <c r="A51" i="99" s="1"/>
  <c r="A52" i="99" s="1"/>
  <c r="A53" i="99" s="1"/>
  <c r="A54" i="99" s="1"/>
  <c r="A55" i="99" s="1"/>
  <c r="A56" i="99" s="1"/>
  <c r="A57" i="99" s="1"/>
  <c r="A58" i="99" s="1"/>
  <c r="A59" i="99" s="1"/>
  <c r="A60" i="99" s="1"/>
  <c r="A61" i="99" s="1"/>
  <c r="A62" i="99" s="1"/>
  <c r="A63" i="99" s="1"/>
  <c r="A64" i="99" s="1"/>
  <c r="A65" i="99" s="1"/>
  <c r="A66" i="99" s="1"/>
  <c r="A67" i="99" s="1"/>
  <c r="A68" i="99" s="1"/>
  <c r="A69" i="99" s="1"/>
  <c r="A70" i="99" s="1"/>
  <c r="A71" i="99" s="1"/>
  <c r="A72" i="99" s="1"/>
  <c r="A73" i="99" s="1"/>
  <c r="A74" i="99" s="1"/>
  <c r="A75" i="99" s="1"/>
  <c r="A76" i="99" s="1"/>
  <c r="A77" i="99" s="1"/>
  <c r="A78" i="99" s="1"/>
  <c r="A79" i="99" s="1"/>
  <c r="A80" i="99" s="1"/>
  <c r="A81" i="99" s="1"/>
  <c r="A82" i="99" s="1"/>
  <c r="A83" i="99" s="1"/>
  <c r="A84" i="99" s="1"/>
  <c r="A85" i="99" s="1"/>
  <c r="A86" i="99" s="1"/>
  <c r="A87" i="99" s="1"/>
  <c r="A88" i="99" s="1"/>
  <c r="A89" i="99" s="1"/>
  <c r="A90" i="99" s="1"/>
  <c r="A91" i="99" s="1"/>
  <c r="A92" i="99" s="1"/>
  <c r="A93" i="99" s="1"/>
  <c r="A94" i="99" s="1"/>
  <c r="A95" i="99" s="1"/>
  <c r="A96" i="99" s="1"/>
  <c r="A97" i="99" s="1"/>
  <c r="G9" i="99"/>
  <c r="G10" i="99" s="1"/>
  <c r="G11" i="99" s="1"/>
  <c r="G12" i="99" s="1"/>
  <c r="G13" i="99" s="1"/>
  <c r="G14" i="99" s="1"/>
  <c r="G15" i="99" s="1"/>
  <c r="G16" i="99" s="1"/>
  <c r="G17" i="99" s="1"/>
  <c r="G18" i="99" s="1"/>
  <c r="G19" i="99" s="1"/>
  <c r="G20" i="99" s="1"/>
  <c r="G21" i="99" s="1"/>
  <c r="G22" i="99" s="1"/>
  <c r="G23" i="99" s="1"/>
  <c r="G24" i="99" s="1"/>
  <c r="G25" i="99" s="1"/>
  <c r="G26" i="99" s="1"/>
  <c r="G27" i="99" s="1"/>
  <c r="G28" i="99" s="1"/>
  <c r="G29" i="99" s="1"/>
  <c r="G30" i="99" s="1"/>
  <c r="G31" i="99" s="1"/>
  <c r="G32" i="99" s="1"/>
  <c r="G33" i="99" s="1"/>
  <c r="G34" i="99" s="1"/>
  <c r="G35" i="99" s="1"/>
  <c r="G36" i="99" s="1"/>
  <c r="G37" i="99" s="1"/>
  <c r="G38" i="99" s="1"/>
  <c r="G39" i="99" s="1"/>
  <c r="G40" i="99" s="1"/>
  <c r="G41" i="99" s="1"/>
  <c r="G42" i="99" s="1"/>
  <c r="G43" i="99" s="1"/>
  <c r="G44" i="99" s="1"/>
  <c r="G45" i="99" s="1"/>
  <c r="G46" i="99" s="1"/>
  <c r="G47" i="99" s="1"/>
  <c r="G48" i="99" s="1"/>
  <c r="G49" i="99" s="1"/>
  <c r="G50" i="99" s="1"/>
  <c r="G51" i="99" s="1"/>
  <c r="G52" i="99" s="1"/>
  <c r="G53" i="99" s="1"/>
  <c r="G54" i="99" s="1"/>
  <c r="G55" i="99" s="1"/>
  <c r="G56" i="99" s="1"/>
  <c r="G57" i="99" s="1"/>
  <c r="G58" i="99" s="1"/>
  <c r="G59" i="99" s="1"/>
  <c r="G60" i="99" s="1"/>
  <c r="G61" i="99" s="1"/>
  <c r="G62" i="99" s="1"/>
  <c r="G63" i="99" s="1"/>
  <c r="G64" i="99" s="1"/>
  <c r="G65" i="99" s="1"/>
  <c r="G66" i="99" s="1"/>
  <c r="G67" i="99" s="1"/>
  <c r="G68" i="99" s="1"/>
  <c r="G69" i="99" s="1"/>
  <c r="G70" i="99" s="1"/>
  <c r="G71" i="99" s="1"/>
  <c r="G72" i="99" s="1"/>
  <c r="G73" i="99" s="1"/>
  <c r="G74" i="99" s="1"/>
  <c r="G75" i="99" s="1"/>
  <c r="G76" i="99" s="1"/>
  <c r="G77" i="99" s="1"/>
  <c r="G78" i="99" s="1"/>
  <c r="G79" i="99" s="1"/>
  <c r="G80" i="99" s="1"/>
  <c r="G81" i="99" s="1"/>
  <c r="G82" i="99" s="1"/>
  <c r="G83" i="99" s="1"/>
  <c r="G84" i="99" s="1"/>
  <c r="G85" i="99" s="1"/>
  <c r="G86" i="99" s="1"/>
  <c r="G87" i="99" s="1"/>
  <c r="G88" i="99" s="1"/>
  <c r="G89" i="99" s="1"/>
  <c r="G90" i="99" s="1"/>
  <c r="G91" i="99" s="1"/>
  <c r="G92" i="99" s="1"/>
  <c r="G93" i="99" s="1"/>
  <c r="G94" i="99" s="1"/>
  <c r="G95" i="99" s="1"/>
  <c r="G96" i="99" s="1"/>
  <c r="A4" i="99"/>
  <c r="J25" i="45"/>
  <c r="J15" i="45"/>
  <c r="J12" i="45"/>
  <c r="M24" i="45"/>
  <c r="G72" i="33" l="1"/>
  <c r="G35" i="33"/>
  <c r="G97" i="99"/>
  <c r="G108" i="104"/>
  <c r="G112" i="102"/>
  <c r="G113" i="101"/>
  <c r="G101" i="100"/>
  <c r="O10" i="87"/>
  <c r="M18" i="44"/>
  <c r="P12" i="44" l="1"/>
  <c r="P11" i="44"/>
  <c r="L34" i="54"/>
  <c r="K35" i="53"/>
  <c r="K32" i="53"/>
  <c r="J31" i="53"/>
  <c r="N15" i="45"/>
  <c r="N24" i="81"/>
  <c r="N22" i="81"/>
  <c r="N21" i="81"/>
  <c r="J108" i="98"/>
  <c r="F108" i="98"/>
  <c r="F83" i="33" s="1"/>
  <c r="E108" i="98"/>
  <c r="E83" i="33" s="1"/>
  <c r="A10" i="98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105" i="98" s="1"/>
  <c r="A106" i="98" s="1"/>
  <c r="A107" i="98" s="1"/>
  <c r="G9" i="98"/>
  <c r="G10" i="98" s="1"/>
  <c r="G11" i="98" s="1"/>
  <c r="G12" i="98" s="1"/>
  <c r="G13" i="98" s="1"/>
  <c r="G14" i="98" s="1"/>
  <c r="G15" i="98" s="1"/>
  <c r="G16" i="98" s="1"/>
  <c r="G17" i="98" s="1"/>
  <c r="G18" i="98" s="1"/>
  <c r="G19" i="98" s="1"/>
  <c r="G20" i="98" s="1"/>
  <c r="G21" i="98" s="1"/>
  <c r="G22" i="98" s="1"/>
  <c r="G23" i="98" s="1"/>
  <c r="G24" i="98" s="1"/>
  <c r="G25" i="98" s="1"/>
  <c r="G26" i="98" s="1"/>
  <c r="G27" i="98" s="1"/>
  <c r="G28" i="98" s="1"/>
  <c r="G29" i="98" s="1"/>
  <c r="G30" i="98" s="1"/>
  <c r="G31" i="98" s="1"/>
  <c r="G32" i="98" s="1"/>
  <c r="G33" i="98" s="1"/>
  <c r="G34" i="98" s="1"/>
  <c r="G35" i="98" s="1"/>
  <c r="G36" i="98" s="1"/>
  <c r="G37" i="98" s="1"/>
  <c r="G38" i="98" s="1"/>
  <c r="G39" i="98" s="1"/>
  <c r="G40" i="98" s="1"/>
  <c r="G41" i="98" s="1"/>
  <c r="G42" i="98" s="1"/>
  <c r="G43" i="98" s="1"/>
  <c r="G44" i="98" s="1"/>
  <c r="G45" i="98" s="1"/>
  <c r="G46" i="98" s="1"/>
  <c r="G47" i="98" s="1"/>
  <c r="G48" i="98" s="1"/>
  <c r="G49" i="98" s="1"/>
  <c r="G50" i="98" s="1"/>
  <c r="G51" i="98" s="1"/>
  <c r="G52" i="98" s="1"/>
  <c r="G53" i="98" s="1"/>
  <c r="G54" i="98" s="1"/>
  <c r="G55" i="98" s="1"/>
  <c r="G56" i="98" s="1"/>
  <c r="G57" i="98" s="1"/>
  <c r="G58" i="98" s="1"/>
  <c r="G59" i="98" s="1"/>
  <c r="G60" i="98" s="1"/>
  <c r="G61" i="98" s="1"/>
  <c r="G62" i="98" s="1"/>
  <c r="G63" i="98" s="1"/>
  <c r="G64" i="98" s="1"/>
  <c r="G65" i="98" s="1"/>
  <c r="G66" i="98" s="1"/>
  <c r="G67" i="98" s="1"/>
  <c r="G68" i="98" s="1"/>
  <c r="G69" i="98" s="1"/>
  <c r="G70" i="98" s="1"/>
  <c r="G71" i="98" s="1"/>
  <c r="G72" i="98" s="1"/>
  <c r="G73" i="98" s="1"/>
  <c r="G74" i="98" s="1"/>
  <c r="G75" i="98" s="1"/>
  <c r="G76" i="98" s="1"/>
  <c r="G77" i="98" s="1"/>
  <c r="G78" i="98" s="1"/>
  <c r="G79" i="98" s="1"/>
  <c r="G80" i="98" s="1"/>
  <c r="G81" i="98" s="1"/>
  <c r="G82" i="98" s="1"/>
  <c r="G83" i="98" s="1"/>
  <c r="G84" i="98" s="1"/>
  <c r="G85" i="98" s="1"/>
  <c r="G86" i="98" s="1"/>
  <c r="G87" i="98" s="1"/>
  <c r="G88" i="98" s="1"/>
  <c r="G89" i="98" s="1"/>
  <c r="G90" i="98" s="1"/>
  <c r="G91" i="98" s="1"/>
  <c r="G92" i="98" s="1"/>
  <c r="G93" i="98" s="1"/>
  <c r="G94" i="98" s="1"/>
  <c r="G95" i="98" s="1"/>
  <c r="G96" i="98" s="1"/>
  <c r="G97" i="98" s="1"/>
  <c r="G98" i="98" s="1"/>
  <c r="G99" i="98" s="1"/>
  <c r="G100" i="98" s="1"/>
  <c r="G101" i="98" s="1"/>
  <c r="G102" i="98" s="1"/>
  <c r="G103" i="98" s="1"/>
  <c r="G104" i="98" s="1"/>
  <c r="G105" i="98" s="1"/>
  <c r="G106" i="98" s="1"/>
  <c r="G107" i="98" s="1"/>
  <c r="A4" i="98"/>
  <c r="F18" i="81"/>
  <c r="L25" i="54"/>
  <c r="L23" i="54"/>
  <c r="L24" i="54" s="1"/>
  <c r="G83" i="33" l="1"/>
  <c r="G108" i="98"/>
  <c r="F56" i="97"/>
  <c r="E56" i="97"/>
  <c r="A10" i="97"/>
  <c r="A11" i="97" s="1"/>
  <c r="A12" i="97" s="1"/>
  <c r="A13" i="97" s="1"/>
  <c r="A14" i="97" s="1"/>
  <c r="A15" i="97" s="1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A47" i="97" s="1"/>
  <c r="A48" i="97" s="1"/>
  <c r="A49" i="97" s="1"/>
  <c r="A50" i="97" s="1"/>
  <c r="A51" i="97" s="1"/>
  <c r="A52" i="97" s="1"/>
  <c r="A53" i="97" s="1"/>
  <c r="A54" i="97" s="1"/>
  <c r="A55" i="97" s="1"/>
  <c r="G9" i="97"/>
  <c r="G10" i="97" s="1"/>
  <c r="G11" i="97" s="1"/>
  <c r="G12" i="97" s="1"/>
  <c r="G13" i="97" s="1"/>
  <c r="G14" i="97" s="1"/>
  <c r="G15" i="97" s="1"/>
  <c r="G16" i="97" s="1"/>
  <c r="G17" i="97" s="1"/>
  <c r="G18" i="97" s="1"/>
  <c r="G19" i="97" s="1"/>
  <c r="G20" i="97" s="1"/>
  <c r="G21" i="97" s="1"/>
  <c r="G22" i="97" s="1"/>
  <c r="G23" i="97" s="1"/>
  <c r="G24" i="97" s="1"/>
  <c r="G25" i="97" s="1"/>
  <c r="G26" i="97" s="1"/>
  <c r="G27" i="97" s="1"/>
  <c r="G28" i="97" s="1"/>
  <c r="G29" i="97" s="1"/>
  <c r="G30" i="97" s="1"/>
  <c r="G31" i="97" s="1"/>
  <c r="G32" i="97" s="1"/>
  <c r="G33" i="97" s="1"/>
  <c r="G34" i="97" s="1"/>
  <c r="G35" i="97" s="1"/>
  <c r="G36" i="97" s="1"/>
  <c r="G37" i="97" s="1"/>
  <c r="G38" i="97" s="1"/>
  <c r="G39" i="97" s="1"/>
  <c r="G40" i="97" s="1"/>
  <c r="G41" i="97" s="1"/>
  <c r="G42" i="97" s="1"/>
  <c r="G43" i="97" s="1"/>
  <c r="G44" i="97" s="1"/>
  <c r="G45" i="97" s="1"/>
  <c r="G46" i="97" s="1"/>
  <c r="G47" i="97" s="1"/>
  <c r="G48" i="97" s="1"/>
  <c r="G49" i="97" s="1"/>
  <c r="G50" i="97" s="1"/>
  <c r="G51" i="97" s="1"/>
  <c r="G52" i="97" s="1"/>
  <c r="G53" i="97" s="1"/>
  <c r="G54" i="97" s="1"/>
  <c r="G55" i="97" s="1"/>
  <c r="F15" i="96"/>
  <c r="M35" i="57"/>
  <c r="M22" i="53"/>
  <c r="F97" i="96"/>
  <c r="E97" i="96"/>
  <c r="A10" i="96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G9" i="96"/>
  <c r="G10" i="96" s="1"/>
  <c r="G11" i="96" s="1"/>
  <c r="G12" i="96" s="1"/>
  <c r="G13" i="96" s="1"/>
  <c r="G14" i="96" s="1"/>
  <c r="G15" i="96" s="1"/>
  <c r="G16" i="96" s="1"/>
  <c r="G17" i="96" s="1"/>
  <c r="G18" i="96" s="1"/>
  <c r="G19" i="96" s="1"/>
  <c r="G20" i="96" s="1"/>
  <c r="G21" i="96" s="1"/>
  <c r="G22" i="96" s="1"/>
  <c r="G23" i="96" s="1"/>
  <c r="G24" i="96" s="1"/>
  <c r="G25" i="96" s="1"/>
  <c r="G26" i="96" s="1"/>
  <c r="G27" i="96" s="1"/>
  <c r="G28" i="96" s="1"/>
  <c r="G29" i="96" s="1"/>
  <c r="G30" i="96" s="1"/>
  <c r="G31" i="96" s="1"/>
  <c r="G32" i="96" s="1"/>
  <c r="G33" i="96" s="1"/>
  <c r="G34" i="96" s="1"/>
  <c r="G35" i="96" s="1"/>
  <c r="G36" i="96" s="1"/>
  <c r="G37" i="96" s="1"/>
  <c r="G38" i="96" s="1"/>
  <c r="G39" i="96" s="1"/>
  <c r="G40" i="96" s="1"/>
  <c r="G41" i="96" s="1"/>
  <c r="G42" i="96" s="1"/>
  <c r="G43" i="96" s="1"/>
  <c r="G44" i="96" s="1"/>
  <c r="G45" i="96" s="1"/>
  <c r="G46" i="96" s="1"/>
  <c r="G47" i="96" s="1"/>
  <c r="G48" i="96" s="1"/>
  <c r="G49" i="96" s="1"/>
  <c r="G50" i="96" s="1"/>
  <c r="G51" i="96" s="1"/>
  <c r="G52" i="96" s="1"/>
  <c r="G53" i="96" s="1"/>
  <c r="G54" i="96" s="1"/>
  <c r="G55" i="96" s="1"/>
  <c r="G56" i="96" s="1"/>
  <c r="G57" i="96" s="1"/>
  <c r="G58" i="96" s="1"/>
  <c r="G59" i="96" s="1"/>
  <c r="G60" i="96" s="1"/>
  <c r="G61" i="96" s="1"/>
  <c r="G62" i="96" s="1"/>
  <c r="G63" i="96" s="1"/>
  <c r="G64" i="96" s="1"/>
  <c r="G65" i="96" s="1"/>
  <c r="G66" i="96" s="1"/>
  <c r="G67" i="96" s="1"/>
  <c r="G68" i="96" s="1"/>
  <c r="G69" i="96" s="1"/>
  <c r="G70" i="96" s="1"/>
  <c r="G71" i="96" s="1"/>
  <c r="G72" i="96" s="1"/>
  <c r="G73" i="96" s="1"/>
  <c r="G74" i="96" s="1"/>
  <c r="G75" i="96" s="1"/>
  <c r="G76" i="96" s="1"/>
  <c r="G77" i="96" s="1"/>
  <c r="G78" i="96" s="1"/>
  <c r="G79" i="96" s="1"/>
  <c r="G80" i="96" s="1"/>
  <c r="G81" i="96" s="1"/>
  <c r="G82" i="96" s="1"/>
  <c r="G83" i="96" s="1"/>
  <c r="G84" i="96" s="1"/>
  <c r="G85" i="96" s="1"/>
  <c r="G86" i="96" s="1"/>
  <c r="G87" i="96" s="1"/>
  <c r="G88" i="96" s="1"/>
  <c r="G89" i="96" s="1"/>
  <c r="G90" i="96" s="1"/>
  <c r="G91" i="96" s="1"/>
  <c r="G92" i="96" s="1"/>
  <c r="G93" i="96" s="1"/>
  <c r="G94" i="96" s="1"/>
  <c r="G95" i="96" s="1"/>
  <c r="G96" i="96" s="1"/>
  <c r="A4" i="96"/>
  <c r="G56" i="97" l="1"/>
  <c r="G97" i="96"/>
  <c r="F113" i="95"/>
  <c r="F31" i="33" s="1"/>
  <c r="E113" i="95"/>
  <c r="E31" i="33" s="1"/>
  <c r="A10" i="95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A38" i="95" s="1"/>
  <c r="A39" i="95" s="1"/>
  <c r="A40" i="95" s="1"/>
  <c r="A41" i="95" s="1"/>
  <c r="A42" i="95" s="1"/>
  <c r="A43" i="95" s="1"/>
  <c r="A44" i="95" s="1"/>
  <c r="A45" i="95" s="1"/>
  <c r="A46" i="95" s="1"/>
  <c r="A47" i="95" s="1"/>
  <c r="A48" i="95" s="1"/>
  <c r="A49" i="95" s="1"/>
  <c r="A50" i="95" s="1"/>
  <c r="A51" i="95" s="1"/>
  <c r="A52" i="95" s="1"/>
  <c r="A53" i="95" s="1"/>
  <c r="A54" i="95" s="1"/>
  <c r="A55" i="95" s="1"/>
  <c r="A56" i="95" s="1"/>
  <c r="A57" i="95" s="1"/>
  <c r="A58" i="95" s="1"/>
  <c r="A59" i="95" s="1"/>
  <c r="A60" i="95" s="1"/>
  <c r="A61" i="95" s="1"/>
  <c r="A62" i="95" s="1"/>
  <c r="A63" i="95" s="1"/>
  <c r="A64" i="95" s="1"/>
  <c r="A65" i="95" s="1"/>
  <c r="A66" i="95" s="1"/>
  <c r="A67" i="95" s="1"/>
  <c r="A68" i="95" s="1"/>
  <c r="A69" i="95" s="1"/>
  <c r="A70" i="95" s="1"/>
  <c r="A71" i="95" s="1"/>
  <c r="A72" i="95" s="1"/>
  <c r="A73" i="95" s="1"/>
  <c r="A74" i="95" s="1"/>
  <c r="A75" i="95" s="1"/>
  <c r="A76" i="95" s="1"/>
  <c r="A77" i="95" s="1"/>
  <c r="A78" i="95" s="1"/>
  <c r="A79" i="95" s="1"/>
  <c r="A80" i="95" s="1"/>
  <c r="A81" i="95" s="1"/>
  <c r="A82" i="95" s="1"/>
  <c r="A83" i="95" s="1"/>
  <c r="A84" i="95" s="1"/>
  <c r="A85" i="95" s="1"/>
  <c r="A86" i="95" s="1"/>
  <c r="A87" i="95" s="1"/>
  <c r="A88" i="95" s="1"/>
  <c r="A89" i="95" s="1"/>
  <c r="A90" i="95" s="1"/>
  <c r="A91" i="95" s="1"/>
  <c r="A92" i="95" s="1"/>
  <c r="A93" i="95" s="1"/>
  <c r="A94" i="95" s="1"/>
  <c r="A95" i="95" s="1"/>
  <c r="A96" i="95" s="1"/>
  <c r="A97" i="95" s="1"/>
  <c r="A98" i="95" s="1"/>
  <c r="A99" i="95" s="1"/>
  <c r="A100" i="95" s="1"/>
  <c r="A101" i="95" s="1"/>
  <c r="A102" i="95" s="1"/>
  <c r="A103" i="95" s="1"/>
  <c r="A104" i="95" s="1"/>
  <c r="A105" i="95" s="1"/>
  <c r="A106" i="95" s="1"/>
  <c r="A107" i="95" s="1"/>
  <c r="A108" i="95" s="1"/>
  <c r="A109" i="95" s="1"/>
  <c r="A110" i="95" s="1"/>
  <c r="A111" i="95" s="1"/>
  <c r="A112" i="95" s="1"/>
  <c r="K9" i="95"/>
  <c r="G9" i="95"/>
  <c r="G10" i="95" s="1"/>
  <c r="G11" i="95" s="1"/>
  <c r="G12" i="95" s="1"/>
  <c r="G13" i="95" s="1"/>
  <c r="G14" i="95" s="1"/>
  <c r="G15" i="95" s="1"/>
  <c r="G16" i="95" s="1"/>
  <c r="G17" i="95" s="1"/>
  <c r="G18" i="95" s="1"/>
  <c r="G19" i="95" s="1"/>
  <c r="G20" i="95" s="1"/>
  <c r="G21" i="95" s="1"/>
  <c r="G22" i="95" s="1"/>
  <c r="G23" i="95" s="1"/>
  <c r="G24" i="95" s="1"/>
  <c r="G25" i="95" s="1"/>
  <c r="G26" i="95" s="1"/>
  <c r="G27" i="95" s="1"/>
  <c r="G28" i="95" s="1"/>
  <c r="G29" i="95" s="1"/>
  <c r="G30" i="95" s="1"/>
  <c r="G31" i="95" s="1"/>
  <c r="G32" i="95" s="1"/>
  <c r="G33" i="95" s="1"/>
  <c r="G34" i="95" s="1"/>
  <c r="G35" i="95" s="1"/>
  <c r="G36" i="95" s="1"/>
  <c r="G37" i="95" s="1"/>
  <c r="G38" i="95" s="1"/>
  <c r="G39" i="95" s="1"/>
  <c r="G40" i="95" s="1"/>
  <c r="G41" i="95" s="1"/>
  <c r="G42" i="95" s="1"/>
  <c r="G43" i="95" s="1"/>
  <c r="G44" i="95" s="1"/>
  <c r="G45" i="95" s="1"/>
  <c r="G46" i="95" s="1"/>
  <c r="G47" i="95" s="1"/>
  <c r="G48" i="95" s="1"/>
  <c r="G49" i="95" s="1"/>
  <c r="G50" i="95" s="1"/>
  <c r="G51" i="95" s="1"/>
  <c r="G52" i="95" s="1"/>
  <c r="G53" i="95" s="1"/>
  <c r="G54" i="95" s="1"/>
  <c r="G55" i="95" s="1"/>
  <c r="G56" i="95" s="1"/>
  <c r="G57" i="95" s="1"/>
  <c r="G58" i="95" s="1"/>
  <c r="G59" i="95" s="1"/>
  <c r="G60" i="95" s="1"/>
  <c r="G61" i="95" s="1"/>
  <c r="G62" i="95" s="1"/>
  <c r="G63" i="95" s="1"/>
  <c r="G64" i="95" s="1"/>
  <c r="G65" i="95" s="1"/>
  <c r="G66" i="95" s="1"/>
  <c r="G67" i="95" s="1"/>
  <c r="G68" i="95" s="1"/>
  <c r="G69" i="95" s="1"/>
  <c r="G70" i="95" s="1"/>
  <c r="G71" i="95" s="1"/>
  <c r="G72" i="95" s="1"/>
  <c r="G73" i="95" s="1"/>
  <c r="G74" i="95" s="1"/>
  <c r="G75" i="95" s="1"/>
  <c r="G76" i="95" s="1"/>
  <c r="G77" i="95" s="1"/>
  <c r="G78" i="95" s="1"/>
  <c r="G79" i="95" s="1"/>
  <c r="G80" i="95" s="1"/>
  <c r="G81" i="95" s="1"/>
  <c r="G82" i="95" s="1"/>
  <c r="G83" i="95" s="1"/>
  <c r="G84" i="95" s="1"/>
  <c r="G85" i="95" s="1"/>
  <c r="G86" i="95" s="1"/>
  <c r="G87" i="95" s="1"/>
  <c r="G88" i="95" s="1"/>
  <c r="G89" i="95" s="1"/>
  <c r="G90" i="95" s="1"/>
  <c r="G91" i="95" s="1"/>
  <c r="G92" i="95" s="1"/>
  <c r="G93" i="95" s="1"/>
  <c r="G94" i="95" s="1"/>
  <c r="G95" i="95" s="1"/>
  <c r="G96" i="95" s="1"/>
  <c r="G97" i="95" s="1"/>
  <c r="G98" i="95" s="1"/>
  <c r="G99" i="95" s="1"/>
  <c r="G100" i="95" s="1"/>
  <c r="G101" i="95" s="1"/>
  <c r="G102" i="95" s="1"/>
  <c r="G103" i="95" s="1"/>
  <c r="G104" i="95" s="1"/>
  <c r="G105" i="95" s="1"/>
  <c r="G106" i="95" s="1"/>
  <c r="G107" i="95" s="1"/>
  <c r="G108" i="95" s="1"/>
  <c r="G109" i="95" s="1"/>
  <c r="G110" i="95" s="1"/>
  <c r="G111" i="95" s="1"/>
  <c r="G112" i="95" s="1"/>
  <c r="A4" i="95"/>
  <c r="F151" i="94"/>
  <c r="F150" i="94"/>
  <c r="F118" i="94"/>
  <c r="F60" i="33" s="1"/>
  <c r="E118" i="94"/>
  <c r="E60" i="33" s="1"/>
  <c r="A10" i="94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G9" i="94"/>
  <c r="G10" i="94" s="1"/>
  <c r="G11" i="94" s="1"/>
  <c r="G12" i="94" s="1"/>
  <c r="G13" i="94" s="1"/>
  <c r="G14" i="94" s="1"/>
  <c r="G15" i="94" s="1"/>
  <c r="G16" i="94" s="1"/>
  <c r="G17" i="94" s="1"/>
  <c r="G18" i="94" s="1"/>
  <c r="G19" i="94" s="1"/>
  <c r="G20" i="94" s="1"/>
  <c r="G21" i="94" s="1"/>
  <c r="G22" i="94" s="1"/>
  <c r="G23" i="94" s="1"/>
  <c r="G24" i="94" s="1"/>
  <c r="G25" i="94" s="1"/>
  <c r="G26" i="94" s="1"/>
  <c r="G27" i="94" s="1"/>
  <c r="G28" i="94" s="1"/>
  <c r="G29" i="94" s="1"/>
  <c r="G30" i="94" s="1"/>
  <c r="G31" i="94" s="1"/>
  <c r="G32" i="94" s="1"/>
  <c r="G33" i="94" s="1"/>
  <c r="G34" i="94" s="1"/>
  <c r="G35" i="94" s="1"/>
  <c r="G36" i="94" s="1"/>
  <c r="G37" i="94" s="1"/>
  <c r="G38" i="94" s="1"/>
  <c r="G39" i="94" s="1"/>
  <c r="G40" i="94" s="1"/>
  <c r="G41" i="94" s="1"/>
  <c r="G42" i="94" s="1"/>
  <c r="G43" i="94" s="1"/>
  <c r="G44" i="94" s="1"/>
  <c r="G45" i="94" s="1"/>
  <c r="G46" i="94" s="1"/>
  <c r="G47" i="94" s="1"/>
  <c r="G48" i="94" s="1"/>
  <c r="G49" i="94" s="1"/>
  <c r="G50" i="94" s="1"/>
  <c r="G51" i="94" s="1"/>
  <c r="G52" i="94" s="1"/>
  <c r="G53" i="94" s="1"/>
  <c r="G54" i="94" s="1"/>
  <c r="G55" i="94" s="1"/>
  <c r="G56" i="94" s="1"/>
  <c r="G57" i="94" s="1"/>
  <c r="G58" i="94" s="1"/>
  <c r="G59" i="94" s="1"/>
  <c r="G60" i="94" s="1"/>
  <c r="G61" i="94" s="1"/>
  <c r="G62" i="94" s="1"/>
  <c r="G63" i="94" s="1"/>
  <c r="G64" i="94" s="1"/>
  <c r="G65" i="94" s="1"/>
  <c r="G66" i="94" s="1"/>
  <c r="G67" i="94" s="1"/>
  <c r="G68" i="94" s="1"/>
  <c r="G69" i="94" s="1"/>
  <c r="G70" i="94" s="1"/>
  <c r="G71" i="94" s="1"/>
  <c r="G72" i="94" s="1"/>
  <c r="G73" i="94" s="1"/>
  <c r="G74" i="94" s="1"/>
  <c r="G75" i="94" s="1"/>
  <c r="G76" i="94" s="1"/>
  <c r="G77" i="94" s="1"/>
  <c r="G78" i="94" s="1"/>
  <c r="G79" i="94" s="1"/>
  <c r="G80" i="94" s="1"/>
  <c r="G81" i="94" s="1"/>
  <c r="G82" i="94" s="1"/>
  <c r="G83" i="94" s="1"/>
  <c r="G84" i="94" s="1"/>
  <c r="G85" i="94" s="1"/>
  <c r="G86" i="94" s="1"/>
  <c r="G87" i="94" s="1"/>
  <c r="G88" i="94" s="1"/>
  <c r="G89" i="94" s="1"/>
  <c r="G90" i="94" s="1"/>
  <c r="G91" i="94" s="1"/>
  <c r="G92" i="94" s="1"/>
  <c r="G93" i="94" s="1"/>
  <c r="G94" i="94" s="1"/>
  <c r="G95" i="94" s="1"/>
  <c r="G96" i="94" s="1"/>
  <c r="G97" i="94" s="1"/>
  <c r="G98" i="94" s="1"/>
  <c r="G99" i="94" s="1"/>
  <c r="G100" i="94" s="1"/>
  <c r="G101" i="94" s="1"/>
  <c r="G102" i="94" s="1"/>
  <c r="G103" i="94" s="1"/>
  <c r="G104" i="94" s="1"/>
  <c r="G105" i="94" s="1"/>
  <c r="G106" i="94" s="1"/>
  <c r="G107" i="94" s="1"/>
  <c r="G108" i="94" s="1"/>
  <c r="G109" i="94" s="1"/>
  <c r="G110" i="94" s="1"/>
  <c r="G111" i="94" s="1"/>
  <c r="G112" i="94" s="1"/>
  <c r="G113" i="94" s="1"/>
  <c r="G114" i="94" s="1"/>
  <c r="G115" i="94" s="1"/>
  <c r="G116" i="94" s="1"/>
  <c r="G117" i="94" s="1"/>
  <c r="A4" i="94"/>
  <c r="F151" i="92"/>
  <c r="F150" i="92"/>
  <c r="F118" i="92"/>
  <c r="F58" i="33" s="1"/>
  <c r="E118" i="92"/>
  <c r="E58" i="33" s="1"/>
  <c r="A10" i="92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G9" i="92"/>
  <c r="G10" i="92" s="1"/>
  <c r="G11" i="92" s="1"/>
  <c r="G12" i="92" s="1"/>
  <c r="G13" i="92" s="1"/>
  <c r="G14" i="92" s="1"/>
  <c r="G15" i="92" s="1"/>
  <c r="G16" i="92" s="1"/>
  <c r="G17" i="92" s="1"/>
  <c r="G18" i="92" s="1"/>
  <c r="G19" i="92" s="1"/>
  <c r="G20" i="92" s="1"/>
  <c r="G21" i="92" s="1"/>
  <c r="G22" i="92" s="1"/>
  <c r="G23" i="92" s="1"/>
  <c r="G24" i="92" s="1"/>
  <c r="G25" i="92" s="1"/>
  <c r="G26" i="92" s="1"/>
  <c r="G27" i="92" s="1"/>
  <c r="G28" i="92" s="1"/>
  <c r="G29" i="92" s="1"/>
  <c r="G30" i="92" s="1"/>
  <c r="G31" i="92" s="1"/>
  <c r="G32" i="92" s="1"/>
  <c r="G33" i="92" s="1"/>
  <c r="G34" i="92" s="1"/>
  <c r="G35" i="92" s="1"/>
  <c r="G36" i="92" s="1"/>
  <c r="G37" i="92" s="1"/>
  <c r="G38" i="92" s="1"/>
  <c r="G39" i="92" s="1"/>
  <c r="G40" i="92" s="1"/>
  <c r="G41" i="92" s="1"/>
  <c r="G42" i="92" s="1"/>
  <c r="G43" i="92" s="1"/>
  <c r="G44" i="92" s="1"/>
  <c r="G45" i="92" s="1"/>
  <c r="G46" i="92" s="1"/>
  <c r="G47" i="92" s="1"/>
  <c r="G48" i="92" s="1"/>
  <c r="G49" i="92" s="1"/>
  <c r="G50" i="92" s="1"/>
  <c r="G51" i="92" s="1"/>
  <c r="G52" i="92" s="1"/>
  <c r="G53" i="92" s="1"/>
  <c r="G54" i="92" s="1"/>
  <c r="G55" i="92" s="1"/>
  <c r="G56" i="92" s="1"/>
  <c r="G57" i="92" s="1"/>
  <c r="G58" i="92" s="1"/>
  <c r="G59" i="92" s="1"/>
  <c r="G60" i="92" s="1"/>
  <c r="G61" i="92" s="1"/>
  <c r="G62" i="92" s="1"/>
  <c r="G63" i="92" s="1"/>
  <c r="G64" i="92" s="1"/>
  <c r="G65" i="92" s="1"/>
  <c r="G66" i="92" s="1"/>
  <c r="G67" i="92" s="1"/>
  <c r="G68" i="92" s="1"/>
  <c r="G69" i="92" s="1"/>
  <c r="G70" i="92" s="1"/>
  <c r="G71" i="92" s="1"/>
  <c r="G72" i="92" s="1"/>
  <c r="G73" i="92" s="1"/>
  <c r="G74" i="92" s="1"/>
  <c r="G75" i="92" s="1"/>
  <c r="G76" i="92" s="1"/>
  <c r="G77" i="92" s="1"/>
  <c r="G78" i="92" s="1"/>
  <c r="G79" i="92" s="1"/>
  <c r="G80" i="92" s="1"/>
  <c r="G81" i="92" s="1"/>
  <c r="G82" i="92" s="1"/>
  <c r="G83" i="92" s="1"/>
  <c r="G84" i="92" s="1"/>
  <c r="G85" i="92" s="1"/>
  <c r="G86" i="92" s="1"/>
  <c r="G87" i="92" s="1"/>
  <c r="G88" i="92" s="1"/>
  <c r="G89" i="92" s="1"/>
  <c r="G90" i="92" s="1"/>
  <c r="G91" i="92" s="1"/>
  <c r="G92" i="92" s="1"/>
  <c r="G93" i="92" s="1"/>
  <c r="G94" i="92" s="1"/>
  <c r="G95" i="92" s="1"/>
  <c r="G96" i="92" s="1"/>
  <c r="G97" i="92" s="1"/>
  <c r="G98" i="92" s="1"/>
  <c r="G99" i="92" s="1"/>
  <c r="G100" i="92" s="1"/>
  <c r="G101" i="92" s="1"/>
  <c r="G102" i="92" s="1"/>
  <c r="G103" i="92" s="1"/>
  <c r="G104" i="92" s="1"/>
  <c r="G105" i="92" s="1"/>
  <c r="G106" i="92" s="1"/>
  <c r="G107" i="92" s="1"/>
  <c r="G108" i="92" s="1"/>
  <c r="G109" i="92" s="1"/>
  <c r="G110" i="92" s="1"/>
  <c r="G111" i="92" s="1"/>
  <c r="G112" i="92" s="1"/>
  <c r="G113" i="92" s="1"/>
  <c r="G114" i="92" s="1"/>
  <c r="G115" i="92" s="1"/>
  <c r="G116" i="92" s="1"/>
  <c r="G117" i="92" s="1"/>
  <c r="A4" i="92"/>
  <c r="F154" i="91"/>
  <c r="F153" i="91"/>
  <c r="F121" i="91"/>
  <c r="F66" i="33" s="1"/>
  <c r="E121" i="91"/>
  <c r="E66" i="33" s="1"/>
  <c r="G9" i="91"/>
  <c r="G10" i="91" s="1"/>
  <c r="G11" i="91" s="1"/>
  <c r="G12" i="91" s="1"/>
  <c r="G13" i="91" s="1"/>
  <c r="G14" i="91" s="1"/>
  <c r="G15" i="91" s="1"/>
  <c r="G16" i="91" s="1"/>
  <c r="G17" i="91" s="1"/>
  <c r="G18" i="91" s="1"/>
  <c r="G19" i="91" s="1"/>
  <c r="G20" i="91" s="1"/>
  <c r="G21" i="91" s="1"/>
  <c r="G22" i="91" s="1"/>
  <c r="G23" i="91" s="1"/>
  <c r="G24" i="91" s="1"/>
  <c r="G25" i="91" s="1"/>
  <c r="G26" i="91" s="1"/>
  <c r="G27" i="91" s="1"/>
  <c r="G28" i="91" s="1"/>
  <c r="G29" i="91" s="1"/>
  <c r="G30" i="91" s="1"/>
  <c r="G31" i="91" s="1"/>
  <c r="G32" i="91" s="1"/>
  <c r="G33" i="91" s="1"/>
  <c r="G34" i="91" s="1"/>
  <c r="G35" i="91" s="1"/>
  <c r="G36" i="91" s="1"/>
  <c r="G37" i="91" s="1"/>
  <c r="G38" i="91" s="1"/>
  <c r="G39" i="91" s="1"/>
  <c r="G40" i="91" s="1"/>
  <c r="G41" i="91" s="1"/>
  <c r="G42" i="91" s="1"/>
  <c r="G43" i="91" s="1"/>
  <c r="G44" i="91" s="1"/>
  <c r="G45" i="91" s="1"/>
  <c r="G46" i="91" s="1"/>
  <c r="G47" i="91" s="1"/>
  <c r="G48" i="91" s="1"/>
  <c r="G49" i="91" s="1"/>
  <c r="G50" i="91" s="1"/>
  <c r="G51" i="91" s="1"/>
  <c r="G52" i="91" s="1"/>
  <c r="G53" i="91" s="1"/>
  <c r="G54" i="91" s="1"/>
  <c r="G55" i="91" s="1"/>
  <c r="G56" i="91" s="1"/>
  <c r="G57" i="91" s="1"/>
  <c r="G58" i="91" s="1"/>
  <c r="G59" i="91" s="1"/>
  <c r="G60" i="91" s="1"/>
  <c r="G61" i="91" s="1"/>
  <c r="G62" i="91" s="1"/>
  <c r="G63" i="91" s="1"/>
  <c r="G64" i="91" s="1"/>
  <c r="G65" i="91" s="1"/>
  <c r="G66" i="91" s="1"/>
  <c r="G67" i="91" s="1"/>
  <c r="G68" i="91" s="1"/>
  <c r="G69" i="91" s="1"/>
  <c r="G70" i="91" s="1"/>
  <c r="G71" i="91" s="1"/>
  <c r="G72" i="91" s="1"/>
  <c r="G73" i="91" s="1"/>
  <c r="G74" i="91" s="1"/>
  <c r="G75" i="91" s="1"/>
  <c r="G76" i="91" s="1"/>
  <c r="G77" i="91" s="1"/>
  <c r="G78" i="91" s="1"/>
  <c r="G79" i="91" s="1"/>
  <c r="G80" i="91" s="1"/>
  <c r="G81" i="91" s="1"/>
  <c r="G82" i="91" s="1"/>
  <c r="G83" i="91" s="1"/>
  <c r="G84" i="91" s="1"/>
  <c r="G85" i="91" s="1"/>
  <c r="G86" i="91" s="1"/>
  <c r="G87" i="91" s="1"/>
  <c r="G88" i="91" s="1"/>
  <c r="G89" i="91" s="1"/>
  <c r="G90" i="91" s="1"/>
  <c r="G91" i="91" s="1"/>
  <c r="G92" i="91" s="1"/>
  <c r="G93" i="91" s="1"/>
  <c r="G94" i="91" s="1"/>
  <c r="G95" i="91" s="1"/>
  <c r="G96" i="91" s="1"/>
  <c r="G97" i="91" s="1"/>
  <c r="G98" i="91" s="1"/>
  <c r="G99" i="91" s="1"/>
  <c r="G100" i="91" s="1"/>
  <c r="G101" i="91" s="1"/>
  <c r="G102" i="91" s="1"/>
  <c r="G103" i="91" s="1"/>
  <c r="G104" i="91" s="1"/>
  <c r="G105" i="91" s="1"/>
  <c r="G106" i="91" s="1"/>
  <c r="G107" i="91" s="1"/>
  <c r="G108" i="91" s="1"/>
  <c r="G109" i="91" s="1"/>
  <c r="G110" i="91" s="1"/>
  <c r="G111" i="91" s="1"/>
  <c r="G112" i="91" s="1"/>
  <c r="G113" i="91" s="1"/>
  <c r="G114" i="91" s="1"/>
  <c r="G115" i="91" s="1"/>
  <c r="G116" i="91" s="1"/>
  <c r="G117" i="91" s="1"/>
  <c r="G118" i="91" s="1"/>
  <c r="G119" i="91" s="1"/>
  <c r="G120" i="91" s="1"/>
  <c r="A4" i="91"/>
  <c r="F151" i="90"/>
  <c r="F150" i="90"/>
  <c r="F118" i="90"/>
  <c r="F65" i="33" s="1"/>
  <c r="E118" i="90"/>
  <c r="E65" i="33" s="1"/>
  <c r="A10" i="90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G9" i="90"/>
  <c r="G10" i="90" s="1"/>
  <c r="G11" i="90" s="1"/>
  <c r="G12" i="90" s="1"/>
  <c r="G13" i="90" s="1"/>
  <c r="G14" i="90" s="1"/>
  <c r="G15" i="90" s="1"/>
  <c r="G16" i="90" s="1"/>
  <c r="G17" i="90" s="1"/>
  <c r="G18" i="90" s="1"/>
  <c r="G19" i="90" s="1"/>
  <c r="G20" i="90" s="1"/>
  <c r="G21" i="90" s="1"/>
  <c r="G22" i="90" s="1"/>
  <c r="G23" i="90" s="1"/>
  <c r="G24" i="90" s="1"/>
  <c r="G25" i="90" s="1"/>
  <c r="G26" i="90" s="1"/>
  <c r="G27" i="90" s="1"/>
  <c r="G28" i="90" s="1"/>
  <c r="G29" i="90" s="1"/>
  <c r="G30" i="90" s="1"/>
  <c r="G31" i="90" s="1"/>
  <c r="G32" i="90" s="1"/>
  <c r="G33" i="90" s="1"/>
  <c r="G34" i="90" s="1"/>
  <c r="G35" i="90" s="1"/>
  <c r="G36" i="90" s="1"/>
  <c r="G37" i="90" s="1"/>
  <c r="G38" i="90" s="1"/>
  <c r="G39" i="90" s="1"/>
  <c r="G40" i="90" s="1"/>
  <c r="G41" i="90" s="1"/>
  <c r="G42" i="90" s="1"/>
  <c r="G43" i="90" s="1"/>
  <c r="G44" i="90" s="1"/>
  <c r="G45" i="90" s="1"/>
  <c r="G46" i="90" s="1"/>
  <c r="G47" i="90" s="1"/>
  <c r="G48" i="90" s="1"/>
  <c r="G49" i="90" s="1"/>
  <c r="G50" i="90" s="1"/>
  <c r="G51" i="90" s="1"/>
  <c r="G52" i="90" s="1"/>
  <c r="G53" i="90" s="1"/>
  <c r="G54" i="90" s="1"/>
  <c r="G55" i="90" s="1"/>
  <c r="G56" i="90" s="1"/>
  <c r="G57" i="90" s="1"/>
  <c r="G58" i="90" s="1"/>
  <c r="G59" i="90" s="1"/>
  <c r="G60" i="90" s="1"/>
  <c r="G61" i="90" s="1"/>
  <c r="G62" i="90" s="1"/>
  <c r="G63" i="90" s="1"/>
  <c r="G64" i="90" s="1"/>
  <c r="G65" i="90" s="1"/>
  <c r="G66" i="90" s="1"/>
  <c r="G67" i="90" s="1"/>
  <c r="G68" i="90" s="1"/>
  <c r="G69" i="90" s="1"/>
  <c r="G70" i="90" s="1"/>
  <c r="G71" i="90" s="1"/>
  <c r="G72" i="90" s="1"/>
  <c r="G73" i="90" s="1"/>
  <c r="G74" i="90" s="1"/>
  <c r="G75" i="90" s="1"/>
  <c r="G76" i="90" s="1"/>
  <c r="G77" i="90" s="1"/>
  <c r="G78" i="90" s="1"/>
  <c r="G79" i="90" s="1"/>
  <c r="G80" i="90" s="1"/>
  <c r="G81" i="90" s="1"/>
  <c r="G82" i="90" s="1"/>
  <c r="G83" i="90" s="1"/>
  <c r="G84" i="90" s="1"/>
  <c r="G85" i="90" s="1"/>
  <c r="G86" i="90" s="1"/>
  <c r="G87" i="90" s="1"/>
  <c r="G88" i="90" s="1"/>
  <c r="G89" i="90" s="1"/>
  <c r="G90" i="90" s="1"/>
  <c r="G91" i="90" s="1"/>
  <c r="G92" i="90" s="1"/>
  <c r="G93" i="90" s="1"/>
  <c r="G94" i="90" s="1"/>
  <c r="G95" i="90" s="1"/>
  <c r="G96" i="90" s="1"/>
  <c r="G97" i="90" s="1"/>
  <c r="G98" i="90" s="1"/>
  <c r="G99" i="90" s="1"/>
  <c r="G100" i="90" s="1"/>
  <c r="G101" i="90" s="1"/>
  <c r="G102" i="90" s="1"/>
  <c r="G103" i="90" s="1"/>
  <c r="G104" i="90" s="1"/>
  <c r="G105" i="90" s="1"/>
  <c r="G106" i="90" s="1"/>
  <c r="G107" i="90" s="1"/>
  <c r="G108" i="90" s="1"/>
  <c r="G109" i="90" s="1"/>
  <c r="G110" i="90" s="1"/>
  <c r="G111" i="90" s="1"/>
  <c r="G112" i="90" s="1"/>
  <c r="G113" i="90" s="1"/>
  <c r="G114" i="90" s="1"/>
  <c r="G115" i="90" s="1"/>
  <c r="G116" i="90" s="1"/>
  <c r="G117" i="90" s="1"/>
  <c r="A4" i="90"/>
  <c r="F92" i="89"/>
  <c r="F45" i="33" s="1"/>
  <c r="E92" i="89"/>
  <c r="E45" i="33" s="1"/>
  <c r="J16" i="89"/>
  <c r="A11" i="89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A60" i="89" s="1"/>
  <c r="A61" i="89" s="1"/>
  <c r="A62" i="89" s="1"/>
  <c r="A63" i="89" s="1"/>
  <c r="A64" i="89" s="1"/>
  <c r="A65" i="89" s="1"/>
  <c r="A66" i="89" s="1"/>
  <c r="A67" i="89" s="1"/>
  <c r="A68" i="89" s="1"/>
  <c r="A69" i="89" s="1"/>
  <c r="A70" i="89" s="1"/>
  <c r="A71" i="89" s="1"/>
  <c r="A72" i="89" s="1"/>
  <c r="A73" i="89" s="1"/>
  <c r="A74" i="89" s="1"/>
  <c r="A75" i="89" s="1"/>
  <c r="A76" i="89" s="1"/>
  <c r="A77" i="89" s="1"/>
  <c r="A78" i="89" s="1"/>
  <c r="A79" i="89" s="1"/>
  <c r="A80" i="89" s="1"/>
  <c r="A81" i="89" s="1"/>
  <c r="A82" i="89" s="1"/>
  <c r="A83" i="89" s="1"/>
  <c r="A84" i="89" s="1"/>
  <c r="A85" i="89" s="1"/>
  <c r="A86" i="89" s="1"/>
  <c r="A87" i="89" s="1"/>
  <c r="A88" i="89" s="1"/>
  <c r="A89" i="89" s="1"/>
  <c r="A90" i="89" s="1"/>
  <c r="A91" i="89" s="1"/>
  <c r="G10" i="89"/>
  <c r="G11" i="89" s="1"/>
  <c r="G12" i="89" s="1"/>
  <c r="G13" i="89" s="1"/>
  <c r="G14" i="89" s="1"/>
  <c r="G15" i="89" s="1"/>
  <c r="G16" i="89" s="1"/>
  <c r="G17" i="89" s="1"/>
  <c r="G18" i="89" s="1"/>
  <c r="G19" i="89" s="1"/>
  <c r="G20" i="89" s="1"/>
  <c r="G21" i="89" s="1"/>
  <c r="G22" i="89" s="1"/>
  <c r="G23" i="89" s="1"/>
  <c r="G24" i="89" s="1"/>
  <c r="G25" i="89" s="1"/>
  <c r="G26" i="89" s="1"/>
  <c r="G27" i="89" s="1"/>
  <c r="G28" i="89" s="1"/>
  <c r="G29" i="89" s="1"/>
  <c r="G30" i="89" s="1"/>
  <c r="G31" i="89" s="1"/>
  <c r="G32" i="89" s="1"/>
  <c r="G33" i="89" s="1"/>
  <c r="G34" i="89" s="1"/>
  <c r="G35" i="89" s="1"/>
  <c r="G36" i="89" s="1"/>
  <c r="G37" i="89" s="1"/>
  <c r="G38" i="89" s="1"/>
  <c r="G39" i="89" s="1"/>
  <c r="G40" i="89" s="1"/>
  <c r="G41" i="89" s="1"/>
  <c r="G42" i="89" s="1"/>
  <c r="G43" i="89" s="1"/>
  <c r="G44" i="89" s="1"/>
  <c r="G45" i="89" s="1"/>
  <c r="G46" i="89" s="1"/>
  <c r="G47" i="89" s="1"/>
  <c r="G48" i="89" s="1"/>
  <c r="G49" i="89" s="1"/>
  <c r="G50" i="89" s="1"/>
  <c r="G51" i="89" s="1"/>
  <c r="G52" i="89" s="1"/>
  <c r="G53" i="89" s="1"/>
  <c r="G54" i="89" s="1"/>
  <c r="G55" i="89" s="1"/>
  <c r="G56" i="89" s="1"/>
  <c r="G57" i="89" s="1"/>
  <c r="G58" i="89" s="1"/>
  <c r="G59" i="89" s="1"/>
  <c r="G60" i="89" s="1"/>
  <c r="G61" i="89" s="1"/>
  <c r="G62" i="89" s="1"/>
  <c r="G63" i="89" s="1"/>
  <c r="G64" i="89" s="1"/>
  <c r="G65" i="89" s="1"/>
  <c r="G66" i="89" s="1"/>
  <c r="G67" i="89" s="1"/>
  <c r="G68" i="89" s="1"/>
  <c r="G69" i="89" s="1"/>
  <c r="G70" i="89" s="1"/>
  <c r="G71" i="89" s="1"/>
  <c r="G72" i="89" s="1"/>
  <c r="G73" i="89" s="1"/>
  <c r="G74" i="89" s="1"/>
  <c r="G75" i="89" s="1"/>
  <c r="G76" i="89" s="1"/>
  <c r="G77" i="89" s="1"/>
  <c r="G78" i="89" s="1"/>
  <c r="G79" i="89" s="1"/>
  <c r="G80" i="89" s="1"/>
  <c r="G81" i="89" s="1"/>
  <c r="G82" i="89" s="1"/>
  <c r="G83" i="89" s="1"/>
  <c r="G84" i="89" s="1"/>
  <c r="G85" i="89" s="1"/>
  <c r="G86" i="89" s="1"/>
  <c r="G87" i="89" s="1"/>
  <c r="G88" i="89" s="1"/>
  <c r="G89" i="89" s="1"/>
  <c r="G90" i="89" s="1"/>
  <c r="G91" i="89" s="1"/>
  <c r="J9" i="89"/>
  <c r="F108" i="86"/>
  <c r="F91" i="88"/>
  <c r="F44" i="33" s="1"/>
  <c r="E91" i="88"/>
  <c r="E44" i="33" s="1"/>
  <c r="J15" i="88"/>
  <c r="A11" i="88"/>
  <c r="A12" i="88" s="1"/>
  <c r="A13" i="88" s="1"/>
  <c r="A14" i="88" s="1"/>
  <c r="A15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A38" i="88" s="1"/>
  <c r="A39" i="88" s="1"/>
  <c r="A40" i="88" s="1"/>
  <c r="A41" i="88" s="1"/>
  <c r="A42" i="88" s="1"/>
  <c r="A43" i="88" s="1"/>
  <c r="A44" i="88" s="1"/>
  <c r="A45" i="88" s="1"/>
  <c r="A46" i="88" s="1"/>
  <c r="A47" i="88" s="1"/>
  <c r="A48" i="88" s="1"/>
  <c r="A49" i="88" s="1"/>
  <c r="A50" i="88" s="1"/>
  <c r="A51" i="88" s="1"/>
  <c r="A52" i="88" s="1"/>
  <c r="A53" i="88" s="1"/>
  <c r="A54" i="88" s="1"/>
  <c r="A55" i="88" s="1"/>
  <c r="A56" i="88" s="1"/>
  <c r="A57" i="88" s="1"/>
  <c r="A58" i="88" s="1"/>
  <c r="A59" i="88" s="1"/>
  <c r="A60" i="88" s="1"/>
  <c r="A61" i="88" s="1"/>
  <c r="A62" i="88" s="1"/>
  <c r="A63" i="88" s="1"/>
  <c r="A64" i="88" s="1"/>
  <c r="A65" i="88" s="1"/>
  <c r="A66" i="88" s="1"/>
  <c r="A67" i="88" s="1"/>
  <c r="A68" i="88" s="1"/>
  <c r="A69" i="88" s="1"/>
  <c r="A70" i="88" s="1"/>
  <c r="A71" i="88" s="1"/>
  <c r="A72" i="88" s="1"/>
  <c r="A73" i="88" s="1"/>
  <c r="A74" i="88" s="1"/>
  <c r="A75" i="88" s="1"/>
  <c r="A76" i="88" s="1"/>
  <c r="A77" i="88" s="1"/>
  <c r="A78" i="88" s="1"/>
  <c r="A88" i="88" s="1"/>
  <c r="A89" i="88" s="1"/>
  <c r="A90" i="88" s="1"/>
  <c r="G10" i="88"/>
  <c r="G11" i="88" s="1"/>
  <c r="G12" i="88" s="1"/>
  <c r="G13" i="88" s="1"/>
  <c r="G14" i="88" s="1"/>
  <c r="G15" i="88" s="1"/>
  <c r="G16" i="88" s="1"/>
  <c r="G17" i="88" s="1"/>
  <c r="G18" i="88" s="1"/>
  <c r="G19" i="88" s="1"/>
  <c r="G20" i="88" s="1"/>
  <c r="G21" i="88" s="1"/>
  <c r="G22" i="88" s="1"/>
  <c r="G23" i="88" s="1"/>
  <c r="G24" i="88" s="1"/>
  <c r="G25" i="88" s="1"/>
  <c r="G26" i="88" s="1"/>
  <c r="G27" i="88" s="1"/>
  <c r="G28" i="88" s="1"/>
  <c r="G29" i="88" s="1"/>
  <c r="G30" i="88" s="1"/>
  <c r="G31" i="88" s="1"/>
  <c r="G32" i="88" s="1"/>
  <c r="G33" i="88" s="1"/>
  <c r="G34" i="88" s="1"/>
  <c r="G35" i="88" s="1"/>
  <c r="G36" i="88" s="1"/>
  <c r="G37" i="88" s="1"/>
  <c r="G38" i="88" s="1"/>
  <c r="G39" i="88" s="1"/>
  <c r="G40" i="88" s="1"/>
  <c r="G41" i="88" s="1"/>
  <c r="G42" i="88" s="1"/>
  <c r="G43" i="88" s="1"/>
  <c r="G44" i="88" s="1"/>
  <c r="G45" i="88" s="1"/>
  <c r="G46" i="88" s="1"/>
  <c r="G47" i="88" s="1"/>
  <c r="G48" i="88" s="1"/>
  <c r="G49" i="88" s="1"/>
  <c r="G50" i="88" s="1"/>
  <c r="G51" i="88" s="1"/>
  <c r="G52" i="88" s="1"/>
  <c r="G53" i="88" s="1"/>
  <c r="G54" i="88" s="1"/>
  <c r="G55" i="88" s="1"/>
  <c r="G56" i="88" s="1"/>
  <c r="G57" i="88" s="1"/>
  <c r="G58" i="88" s="1"/>
  <c r="G59" i="88" s="1"/>
  <c r="G60" i="88" s="1"/>
  <c r="G61" i="88" s="1"/>
  <c r="G62" i="88" s="1"/>
  <c r="G63" i="88" s="1"/>
  <c r="G64" i="88" s="1"/>
  <c r="G65" i="88" s="1"/>
  <c r="G66" i="88" s="1"/>
  <c r="G67" i="88" s="1"/>
  <c r="G68" i="88" s="1"/>
  <c r="G69" i="88" s="1"/>
  <c r="G70" i="88" s="1"/>
  <c r="G71" i="88" s="1"/>
  <c r="G72" i="88" s="1"/>
  <c r="G73" i="88" s="1"/>
  <c r="G74" i="88" s="1"/>
  <c r="G75" i="88" s="1"/>
  <c r="G76" i="88" s="1"/>
  <c r="G77" i="88" s="1"/>
  <c r="G78" i="88" s="1"/>
  <c r="G79" i="88" s="1"/>
  <c r="G80" i="88" s="1"/>
  <c r="G81" i="88" s="1"/>
  <c r="G82" i="88" s="1"/>
  <c r="G83" i="88" s="1"/>
  <c r="G84" i="88" s="1"/>
  <c r="G85" i="88" s="1"/>
  <c r="G86" i="88" s="1"/>
  <c r="G87" i="88" s="1"/>
  <c r="G88" i="88" s="1"/>
  <c r="G89" i="88" s="1"/>
  <c r="G90" i="88" s="1"/>
  <c r="J9" i="88"/>
  <c r="E108" i="87"/>
  <c r="F108" i="87"/>
  <c r="M38" i="87"/>
  <c r="M37" i="87"/>
  <c r="M18" i="87"/>
  <c r="A10" i="87"/>
  <c r="A11" i="87" s="1"/>
  <c r="A12" i="87" s="1"/>
  <c r="A13" i="87" s="1"/>
  <c r="A14" i="87" s="1"/>
  <c r="A15" i="87" s="1"/>
  <c r="A16" i="87" s="1"/>
  <c r="A17" i="87" s="1"/>
  <c r="A18" i="87" s="1"/>
  <c r="A19" i="87" s="1"/>
  <c r="A20" i="87" s="1"/>
  <c r="A21" i="87" s="1"/>
  <c r="A22" i="87" s="1"/>
  <c r="A23" i="87" s="1"/>
  <c r="A24" i="87" s="1"/>
  <c r="A25" i="87" s="1"/>
  <c r="A26" i="87" s="1"/>
  <c r="A27" i="87" s="1"/>
  <c r="A28" i="87" s="1"/>
  <c r="A29" i="87" s="1"/>
  <c r="A30" i="87" s="1"/>
  <c r="A31" i="87" s="1"/>
  <c r="A32" i="87" s="1"/>
  <c r="A33" i="87" s="1"/>
  <c r="A34" i="87" s="1"/>
  <c r="A35" i="87" s="1"/>
  <c r="A36" i="87" s="1"/>
  <c r="A37" i="87" s="1"/>
  <c r="A38" i="87" s="1"/>
  <c r="A39" i="87" s="1"/>
  <c r="A40" i="87" s="1"/>
  <c r="A41" i="87" s="1"/>
  <c r="A42" i="87" s="1"/>
  <c r="A43" i="87" s="1"/>
  <c r="A44" i="87" s="1"/>
  <c r="A45" i="87" s="1"/>
  <c r="A46" i="87" s="1"/>
  <c r="A47" i="87" s="1"/>
  <c r="A48" i="87" s="1"/>
  <c r="A49" i="87" s="1"/>
  <c r="A50" i="87" s="1"/>
  <c r="A51" i="87" s="1"/>
  <c r="A52" i="87" s="1"/>
  <c r="A53" i="87" s="1"/>
  <c r="A54" i="87" s="1"/>
  <c r="A55" i="87" s="1"/>
  <c r="A56" i="87" s="1"/>
  <c r="A57" i="87" s="1"/>
  <c r="A58" i="87" s="1"/>
  <c r="A59" i="87" s="1"/>
  <c r="A60" i="87" s="1"/>
  <c r="A61" i="87" s="1"/>
  <c r="A62" i="87" s="1"/>
  <c r="A63" i="87" s="1"/>
  <c r="A64" i="87" s="1"/>
  <c r="A65" i="87" s="1"/>
  <c r="A66" i="87" s="1"/>
  <c r="A67" i="87" s="1"/>
  <c r="A68" i="87" s="1"/>
  <c r="A69" i="87" s="1"/>
  <c r="A70" i="87" s="1"/>
  <c r="A71" i="87" s="1"/>
  <c r="A72" i="87" s="1"/>
  <c r="A73" i="87" s="1"/>
  <c r="A74" i="87" s="1"/>
  <c r="A75" i="87" s="1"/>
  <c r="A76" i="87" s="1"/>
  <c r="A77" i="87" s="1"/>
  <c r="A78" i="87" s="1"/>
  <c r="A79" i="87" s="1"/>
  <c r="A80" i="87" s="1"/>
  <c r="A81" i="87" s="1"/>
  <c r="A82" i="87" s="1"/>
  <c r="A83" i="87" s="1"/>
  <c r="A84" i="87" s="1"/>
  <c r="A85" i="87" s="1"/>
  <c r="A86" i="87" s="1"/>
  <c r="A87" i="87" s="1"/>
  <c r="A88" i="87" s="1"/>
  <c r="A89" i="87" s="1"/>
  <c r="A90" i="87" s="1"/>
  <c r="A91" i="87" s="1"/>
  <c r="A92" i="87" s="1"/>
  <c r="A93" i="87" s="1"/>
  <c r="A105" i="87" s="1"/>
  <c r="A106" i="87" s="1"/>
  <c r="A107" i="87" s="1"/>
  <c r="J108" i="87"/>
  <c r="A4" i="87"/>
  <c r="J108" i="86"/>
  <c r="E108" i="86"/>
  <c r="A10" i="86"/>
  <c r="A11" i="86" s="1"/>
  <c r="A12" i="86" s="1"/>
  <c r="A13" i="86" s="1"/>
  <c r="A14" i="86" s="1"/>
  <c r="A15" i="86" s="1"/>
  <c r="A16" i="86" s="1"/>
  <c r="A17" i="86" s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54" i="86" s="1"/>
  <c r="A55" i="86" s="1"/>
  <c r="A56" i="86" s="1"/>
  <c r="A57" i="86" s="1"/>
  <c r="A58" i="86" s="1"/>
  <c r="A59" i="86" s="1"/>
  <c r="A60" i="86" s="1"/>
  <c r="A61" i="86" s="1"/>
  <c r="A62" i="86" s="1"/>
  <c r="A63" i="86" s="1"/>
  <c r="A64" i="86" s="1"/>
  <c r="A65" i="86" s="1"/>
  <c r="A66" i="86" s="1"/>
  <c r="A67" i="86" s="1"/>
  <c r="A68" i="86" s="1"/>
  <c r="A69" i="86" s="1"/>
  <c r="A70" i="86" s="1"/>
  <c r="A71" i="86" s="1"/>
  <c r="A72" i="86" s="1"/>
  <c r="A73" i="86" s="1"/>
  <c r="A74" i="86" s="1"/>
  <c r="A75" i="86" s="1"/>
  <c r="A76" i="86" s="1"/>
  <c r="A77" i="86" s="1"/>
  <c r="A78" i="86" s="1"/>
  <c r="A79" i="86" s="1"/>
  <c r="A80" i="86" s="1"/>
  <c r="A81" i="86" s="1"/>
  <c r="A82" i="86" s="1"/>
  <c r="A83" i="86" s="1"/>
  <c r="A84" i="86" s="1"/>
  <c r="A85" i="86" s="1"/>
  <c r="A86" i="86" s="1"/>
  <c r="A87" i="86" s="1"/>
  <c r="A88" i="86" s="1"/>
  <c r="A89" i="86" s="1"/>
  <c r="A90" i="86" s="1"/>
  <c r="A91" i="86" s="1"/>
  <c r="A92" i="86" s="1"/>
  <c r="A93" i="86" s="1"/>
  <c r="A105" i="86" s="1"/>
  <c r="A106" i="86" s="1"/>
  <c r="A107" i="86" s="1"/>
  <c r="M9" i="86"/>
  <c r="G9" i="86"/>
  <c r="G10" i="86" s="1"/>
  <c r="A4" i="86"/>
  <c r="J108" i="85"/>
  <c r="F108" i="85"/>
  <c r="E108" i="85"/>
  <c r="A10" i="85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105" i="85" s="1"/>
  <c r="A106" i="85" s="1"/>
  <c r="A107" i="85" s="1"/>
  <c r="G9" i="85"/>
  <c r="G10" i="85" s="1"/>
  <c r="G11" i="85" s="1"/>
  <c r="G12" i="85" s="1"/>
  <c r="G13" i="85" s="1"/>
  <c r="G14" i="85" s="1"/>
  <c r="G15" i="85" s="1"/>
  <c r="G16" i="85" s="1"/>
  <c r="G17" i="85" s="1"/>
  <c r="G18" i="85" s="1"/>
  <c r="G19" i="85" s="1"/>
  <c r="G20" i="85" s="1"/>
  <c r="G21" i="85" s="1"/>
  <c r="G22" i="85" s="1"/>
  <c r="G23" i="85" s="1"/>
  <c r="G24" i="85" s="1"/>
  <c r="G25" i="85" s="1"/>
  <c r="G26" i="85" s="1"/>
  <c r="G27" i="85" s="1"/>
  <c r="G28" i="85" s="1"/>
  <c r="G29" i="85" s="1"/>
  <c r="G30" i="85" s="1"/>
  <c r="G31" i="85" s="1"/>
  <c r="G32" i="85" s="1"/>
  <c r="G33" i="85" s="1"/>
  <c r="G34" i="85" s="1"/>
  <c r="G35" i="85" s="1"/>
  <c r="G36" i="85" s="1"/>
  <c r="G37" i="85" s="1"/>
  <c r="G38" i="85" s="1"/>
  <c r="G39" i="85" s="1"/>
  <c r="G40" i="85" s="1"/>
  <c r="G41" i="85" s="1"/>
  <c r="G42" i="85" s="1"/>
  <c r="G43" i="85" s="1"/>
  <c r="G44" i="85" s="1"/>
  <c r="G45" i="85" s="1"/>
  <c r="G46" i="85" s="1"/>
  <c r="G47" i="85" s="1"/>
  <c r="G48" i="85" s="1"/>
  <c r="G49" i="85" s="1"/>
  <c r="G50" i="85" s="1"/>
  <c r="G51" i="85" s="1"/>
  <c r="G52" i="85" s="1"/>
  <c r="G53" i="85" s="1"/>
  <c r="G54" i="85" s="1"/>
  <c r="G55" i="85" s="1"/>
  <c r="G56" i="85" s="1"/>
  <c r="G57" i="85" s="1"/>
  <c r="G58" i="85" s="1"/>
  <c r="G59" i="85" s="1"/>
  <c r="G60" i="85" s="1"/>
  <c r="G61" i="85" s="1"/>
  <c r="G62" i="85" s="1"/>
  <c r="G63" i="85" s="1"/>
  <c r="G64" i="85" s="1"/>
  <c r="G65" i="85" s="1"/>
  <c r="G66" i="85" s="1"/>
  <c r="G67" i="85" s="1"/>
  <c r="G68" i="85" s="1"/>
  <c r="G69" i="85" s="1"/>
  <c r="G70" i="85" s="1"/>
  <c r="G71" i="85" s="1"/>
  <c r="G72" i="85" s="1"/>
  <c r="G73" i="85" s="1"/>
  <c r="G74" i="85" s="1"/>
  <c r="G75" i="85" s="1"/>
  <c r="G76" i="85" s="1"/>
  <c r="G77" i="85" s="1"/>
  <c r="G78" i="85" s="1"/>
  <c r="G79" i="85" s="1"/>
  <c r="G80" i="85" s="1"/>
  <c r="G81" i="85" s="1"/>
  <c r="G82" i="85" s="1"/>
  <c r="G83" i="85" s="1"/>
  <c r="G84" i="85" s="1"/>
  <c r="G85" i="85" s="1"/>
  <c r="G86" i="85" s="1"/>
  <c r="G87" i="85" s="1"/>
  <c r="G88" i="85" s="1"/>
  <c r="G89" i="85" s="1"/>
  <c r="G90" i="85" s="1"/>
  <c r="G91" i="85" s="1"/>
  <c r="G92" i="85" s="1"/>
  <c r="G93" i="85" s="1"/>
  <c r="G94" i="85" s="1"/>
  <c r="G95" i="85" s="1"/>
  <c r="G96" i="85" s="1"/>
  <c r="G97" i="85" s="1"/>
  <c r="G98" i="85" s="1"/>
  <c r="G99" i="85" s="1"/>
  <c r="G100" i="85" s="1"/>
  <c r="G101" i="85" s="1"/>
  <c r="G102" i="85" s="1"/>
  <c r="G103" i="85" s="1"/>
  <c r="G104" i="85" s="1"/>
  <c r="G105" i="85" s="1"/>
  <c r="G106" i="85" s="1"/>
  <c r="G107" i="85" s="1"/>
  <c r="A4" i="85"/>
  <c r="J108" i="84"/>
  <c r="F108" i="84"/>
  <c r="E108" i="84"/>
  <c r="A10" i="84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53" i="84" s="1"/>
  <c r="A54" i="84" s="1"/>
  <c r="A55" i="84" s="1"/>
  <c r="A56" i="84" s="1"/>
  <c r="A57" i="84" s="1"/>
  <c r="A58" i="84" s="1"/>
  <c r="A59" i="84" s="1"/>
  <c r="A60" i="84" s="1"/>
  <c r="A61" i="84" s="1"/>
  <c r="A62" i="84" s="1"/>
  <c r="A63" i="84" s="1"/>
  <c r="A64" i="84" s="1"/>
  <c r="A65" i="84" s="1"/>
  <c r="A66" i="84" s="1"/>
  <c r="A67" i="84" s="1"/>
  <c r="A68" i="84" s="1"/>
  <c r="A69" i="84" s="1"/>
  <c r="A70" i="84" s="1"/>
  <c r="A71" i="84" s="1"/>
  <c r="A72" i="84" s="1"/>
  <c r="A73" i="84" s="1"/>
  <c r="A74" i="84" s="1"/>
  <c r="A75" i="84" s="1"/>
  <c r="A76" i="84" s="1"/>
  <c r="A77" i="84" s="1"/>
  <c r="A78" i="84" s="1"/>
  <c r="A79" i="84" s="1"/>
  <c r="A80" i="84" s="1"/>
  <c r="A81" i="84" s="1"/>
  <c r="A82" i="84" s="1"/>
  <c r="A83" i="84" s="1"/>
  <c r="A84" i="84" s="1"/>
  <c r="A85" i="84" s="1"/>
  <c r="A86" i="84" s="1"/>
  <c r="A87" i="84" s="1"/>
  <c r="A88" i="84" s="1"/>
  <c r="A89" i="84" s="1"/>
  <c r="A90" i="84" s="1"/>
  <c r="A91" i="84" s="1"/>
  <c r="A92" i="84" s="1"/>
  <c r="A93" i="84" s="1"/>
  <c r="A105" i="84" s="1"/>
  <c r="A106" i="84" s="1"/>
  <c r="A107" i="84" s="1"/>
  <c r="L9" i="84"/>
  <c r="M9" i="84" s="1"/>
  <c r="G9" i="84"/>
  <c r="G10" i="84" s="1"/>
  <c r="G11" i="84" s="1"/>
  <c r="G12" i="84" s="1"/>
  <c r="G13" i="84" s="1"/>
  <c r="G14" i="84" s="1"/>
  <c r="G15" i="84" s="1"/>
  <c r="G16" i="84" s="1"/>
  <c r="G17" i="84" s="1"/>
  <c r="G18" i="84" s="1"/>
  <c r="G19" i="84" s="1"/>
  <c r="G20" i="84" s="1"/>
  <c r="G21" i="84" s="1"/>
  <c r="G22" i="84" s="1"/>
  <c r="G23" i="84" s="1"/>
  <c r="G24" i="84" s="1"/>
  <c r="G25" i="84" s="1"/>
  <c r="G26" i="84" s="1"/>
  <c r="G27" i="84" s="1"/>
  <c r="G28" i="84" s="1"/>
  <c r="G29" i="84" s="1"/>
  <c r="G30" i="84" s="1"/>
  <c r="G31" i="84" s="1"/>
  <c r="G32" i="84" s="1"/>
  <c r="G33" i="84" s="1"/>
  <c r="G34" i="84" s="1"/>
  <c r="G35" i="84" s="1"/>
  <c r="G36" i="84" s="1"/>
  <c r="G37" i="84" s="1"/>
  <c r="G38" i="84" s="1"/>
  <c r="G39" i="84" s="1"/>
  <c r="G40" i="84" s="1"/>
  <c r="G41" i="84" s="1"/>
  <c r="G42" i="84" s="1"/>
  <c r="G43" i="84" s="1"/>
  <c r="G44" i="84" s="1"/>
  <c r="G45" i="84" s="1"/>
  <c r="G46" i="84" s="1"/>
  <c r="G47" i="84" s="1"/>
  <c r="G48" i="84" s="1"/>
  <c r="G49" i="84" s="1"/>
  <c r="G50" i="84" s="1"/>
  <c r="G51" i="84" s="1"/>
  <c r="G52" i="84" s="1"/>
  <c r="G53" i="84" s="1"/>
  <c r="G54" i="84" s="1"/>
  <c r="G55" i="84" s="1"/>
  <c r="G56" i="84" s="1"/>
  <c r="G57" i="84" s="1"/>
  <c r="G58" i="84" s="1"/>
  <c r="G59" i="84" s="1"/>
  <c r="G60" i="84" s="1"/>
  <c r="G61" i="84" s="1"/>
  <c r="G62" i="84" s="1"/>
  <c r="G63" i="84" s="1"/>
  <c r="G64" i="84" s="1"/>
  <c r="G65" i="84" s="1"/>
  <c r="G66" i="84" s="1"/>
  <c r="G67" i="84" s="1"/>
  <c r="G68" i="84" s="1"/>
  <c r="G69" i="84" s="1"/>
  <c r="G70" i="84" s="1"/>
  <c r="G71" i="84" s="1"/>
  <c r="G72" i="84" s="1"/>
  <c r="G73" i="84" s="1"/>
  <c r="G74" i="84" s="1"/>
  <c r="G75" i="84" s="1"/>
  <c r="G76" i="84" s="1"/>
  <c r="G77" i="84" s="1"/>
  <c r="G78" i="84" s="1"/>
  <c r="G79" i="84" s="1"/>
  <c r="G80" i="84" s="1"/>
  <c r="G81" i="84" s="1"/>
  <c r="G82" i="84" s="1"/>
  <c r="G83" i="84" s="1"/>
  <c r="G84" i="84" s="1"/>
  <c r="G85" i="84" s="1"/>
  <c r="G86" i="84" s="1"/>
  <c r="G87" i="84" s="1"/>
  <c r="G88" i="84" s="1"/>
  <c r="G89" i="84" s="1"/>
  <c r="G90" i="84" s="1"/>
  <c r="G91" i="84" s="1"/>
  <c r="G92" i="84" s="1"/>
  <c r="G93" i="84" s="1"/>
  <c r="G94" i="84" s="1"/>
  <c r="G95" i="84" s="1"/>
  <c r="G96" i="84" s="1"/>
  <c r="G97" i="84" s="1"/>
  <c r="G98" i="84" s="1"/>
  <c r="G99" i="84" s="1"/>
  <c r="G100" i="84" s="1"/>
  <c r="G101" i="84" s="1"/>
  <c r="G102" i="84" s="1"/>
  <c r="G103" i="84" s="1"/>
  <c r="G104" i="84" s="1"/>
  <c r="G105" i="84" s="1"/>
  <c r="G106" i="84" s="1"/>
  <c r="G107" i="84" s="1"/>
  <c r="A4" i="84"/>
  <c r="F35" i="83"/>
  <c r="E35" i="83"/>
  <c r="A11" i="83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10" i="83"/>
  <c r="G9" i="83"/>
  <c r="G10" i="83" s="1"/>
  <c r="G11" i="83" s="1"/>
  <c r="G12" i="83" s="1"/>
  <c r="G13" i="83" s="1"/>
  <c r="G14" i="83" s="1"/>
  <c r="G15" i="83" s="1"/>
  <c r="G16" i="83" s="1"/>
  <c r="G17" i="83" s="1"/>
  <c r="G18" i="83" s="1"/>
  <c r="G19" i="83" s="1"/>
  <c r="G20" i="83" s="1"/>
  <c r="G21" i="83" s="1"/>
  <c r="G22" i="83" s="1"/>
  <c r="G23" i="83" s="1"/>
  <c r="G24" i="83" s="1"/>
  <c r="G25" i="83" s="1"/>
  <c r="G26" i="83" s="1"/>
  <c r="G27" i="83" s="1"/>
  <c r="G28" i="83" s="1"/>
  <c r="G29" i="83" s="1"/>
  <c r="G30" i="83" s="1"/>
  <c r="G31" i="83" s="1"/>
  <c r="G32" i="83" s="1"/>
  <c r="G33" i="83" s="1"/>
  <c r="G34" i="83" s="1"/>
  <c r="A4" i="83"/>
  <c r="F109" i="81"/>
  <c r="E109" i="81"/>
  <c r="M38" i="81"/>
  <c r="M39" i="81" s="1"/>
  <c r="M19" i="81"/>
  <c r="A10" i="8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A58" i="81" s="1"/>
  <c r="A59" i="81" s="1"/>
  <c r="A60" i="81" s="1"/>
  <c r="A61" i="81" s="1"/>
  <c r="A62" i="81" s="1"/>
  <c r="A63" i="81" s="1"/>
  <c r="A64" i="81" s="1"/>
  <c r="A65" i="81" s="1"/>
  <c r="A66" i="81" s="1"/>
  <c r="A67" i="81" s="1"/>
  <c r="A68" i="81" s="1"/>
  <c r="A69" i="81" s="1"/>
  <c r="A70" i="81" s="1"/>
  <c r="A71" i="81" s="1"/>
  <c r="A72" i="81" s="1"/>
  <c r="A73" i="81" s="1"/>
  <c r="A74" i="81" s="1"/>
  <c r="A75" i="81" s="1"/>
  <c r="A76" i="81" s="1"/>
  <c r="A77" i="81" s="1"/>
  <c r="A78" i="81" s="1"/>
  <c r="A79" i="81" s="1"/>
  <c r="A80" i="81" s="1"/>
  <c r="A81" i="81" s="1"/>
  <c r="A82" i="81" s="1"/>
  <c r="A83" i="81" s="1"/>
  <c r="A84" i="81" s="1"/>
  <c r="A85" i="81" s="1"/>
  <c r="A86" i="81" s="1"/>
  <c r="A87" i="81" s="1"/>
  <c r="A88" i="81" s="1"/>
  <c r="A89" i="81" s="1"/>
  <c r="A90" i="81" s="1"/>
  <c r="A91" i="81" s="1"/>
  <c r="A92" i="81" s="1"/>
  <c r="A93" i="81" s="1"/>
  <c r="A94" i="81" s="1"/>
  <c r="A95" i="81" s="1"/>
  <c r="A96" i="81" s="1"/>
  <c r="A97" i="81" s="1"/>
  <c r="A98" i="81" s="1"/>
  <c r="A99" i="81" s="1"/>
  <c r="A100" i="81" s="1"/>
  <c r="A101" i="81" s="1"/>
  <c r="A102" i="81" s="1"/>
  <c r="A103" i="81" s="1"/>
  <c r="A104" i="81" s="1"/>
  <c r="A105" i="81" s="1"/>
  <c r="A106" i="81" s="1"/>
  <c r="A107" i="81" s="1"/>
  <c r="A108" i="81" s="1"/>
  <c r="G9" i="81"/>
  <c r="G10" i="81" s="1"/>
  <c r="G11" i="81" s="1"/>
  <c r="G12" i="81" s="1"/>
  <c r="G13" i="81" s="1"/>
  <c r="G14" i="81" s="1"/>
  <c r="G15" i="81" s="1"/>
  <c r="G16" i="81" s="1"/>
  <c r="G17" i="81" s="1"/>
  <c r="G18" i="81" s="1"/>
  <c r="G19" i="81" s="1"/>
  <c r="G20" i="81" s="1"/>
  <c r="G21" i="81" s="1"/>
  <c r="G22" i="81" s="1"/>
  <c r="G23" i="81" s="1"/>
  <c r="G24" i="81" s="1"/>
  <c r="G25" i="81" s="1"/>
  <c r="G26" i="81" s="1"/>
  <c r="G27" i="81" s="1"/>
  <c r="G28" i="81" s="1"/>
  <c r="G29" i="81" s="1"/>
  <c r="G30" i="81" s="1"/>
  <c r="G31" i="81" s="1"/>
  <c r="G32" i="81" s="1"/>
  <c r="G33" i="81" s="1"/>
  <c r="G34" i="81" s="1"/>
  <c r="G35" i="81" s="1"/>
  <c r="G36" i="81" s="1"/>
  <c r="G37" i="81" s="1"/>
  <c r="G38" i="81" s="1"/>
  <c r="G39" i="81" s="1"/>
  <c r="G40" i="81" s="1"/>
  <c r="G41" i="81" s="1"/>
  <c r="G42" i="81" s="1"/>
  <c r="G43" i="81" s="1"/>
  <c r="G44" i="81" s="1"/>
  <c r="G45" i="81" s="1"/>
  <c r="G46" i="81" s="1"/>
  <c r="G47" i="81" s="1"/>
  <c r="G48" i="81" s="1"/>
  <c r="G49" i="81" s="1"/>
  <c r="G50" i="81" s="1"/>
  <c r="G51" i="81" s="1"/>
  <c r="G52" i="81" s="1"/>
  <c r="G53" i="81" s="1"/>
  <c r="G54" i="81" s="1"/>
  <c r="G55" i="81" s="1"/>
  <c r="G56" i="81" s="1"/>
  <c r="G57" i="81" s="1"/>
  <c r="G58" i="81" s="1"/>
  <c r="G59" i="81" s="1"/>
  <c r="G60" i="81" s="1"/>
  <c r="G61" i="81" s="1"/>
  <c r="G62" i="81" s="1"/>
  <c r="G63" i="81" s="1"/>
  <c r="G64" i="81" s="1"/>
  <c r="G65" i="81" s="1"/>
  <c r="G66" i="81" s="1"/>
  <c r="G67" i="81" s="1"/>
  <c r="G68" i="81" s="1"/>
  <c r="G69" i="81" s="1"/>
  <c r="G70" i="81" s="1"/>
  <c r="G71" i="81" s="1"/>
  <c r="G72" i="81" s="1"/>
  <c r="G73" i="81" s="1"/>
  <c r="G74" i="81" s="1"/>
  <c r="G75" i="81" s="1"/>
  <c r="G76" i="81" s="1"/>
  <c r="G77" i="81" s="1"/>
  <c r="G78" i="81" s="1"/>
  <c r="G79" i="81" s="1"/>
  <c r="G80" i="81" s="1"/>
  <c r="G81" i="81" s="1"/>
  <c r="G82" i="81" s="1"/>
  <c r="G83" i="81" s="1"/>
  <c r="G84" i="81" s="1"/>
  <c r="G85" i="81" s="1"/>
  <c r="G86" i="81" s="1"/>
  <c r="G87" i="81" s="1"/>
  <c r="G88" i="81" s="1"/>
  <c r="G89" i="81" s="1"/>
  <c r="G90" i="81" s="1"/>
  <c r="G91" i="81" s="1"/>
  <c r="G92" i="81" s="1"/>
  <c r="G93" i="81" s="1"/>
  <c r="G94" i="81" s="1"/>
  <c r="G95" i="81" s="1"/>
  <c r="G96" i="81" s="1"/>
  <c r="G97" i="81" s="1"/>
  <c r="G98" i="81" s="1"/>
  <c r="G99" i="81" s="1"/>
  <c r="G100" i="81" s="1"/>
  <c r="G101" i="81" s="1"/>
  <c r="G102" i="81" s="1"/>
  <c r="G103" i="81" s="1"/>
  <c r="G104" i="81" s="1"/>
  <c r="G105" i="81" s="1"/>
  <c r="G106" i="81" s="1"/>
  <c r="G107" i="81" s="1"/>
  <c r="G108" i="81" s="1"/>
  <c r="A4" i="81"/>
  <c r="F35" i="80"/>
  <c r="E35" i="80"/>
  <c r="A10" i="80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G9" i="80"/>
  <c r="G10" i="80" s="1"/>
  <c r="G11" i="80" s="1"/>
  <c r="G12" i="80" s="1"/>
  <c r="G13" i="80" s="1"/>
  <c r="G14" i="80" s="1"/>
  <c r="G15" i="80" s="1"/>
  <c r="G16" i="80" s="1"/>
  <c r="G17" i="80" s="1"/>
  <c r="G18" i="80" s="1"/>
  <c r="G19" i="80" s="1"/>
  <c r="G20" i="80" s="1"/>
  <c r="G21" i="80" s="1"/>
  <c r="G22" i="80" s="1"/>
  <c r="G23" i="80" s="1"/>
  <c r="G24" i="80" s="1"/>
  <c r="G25" i="80" s="1"/>
  <c r="G26" i="80" s="1"/>
  <c r="G27" i="80" s="1"/>
  <c r="G28" i="80" s="1"/>
  <c r="G29" i="80" s="1"/>
  <c r="G30" i="80" s="1"/>
  <c r="G31" i="80" s="1"/>
  <c r="G32" i="80" s="1"/>
  <c r="G33" i="80" s="1"/>
  <c r="G34" i="80" s="1"/>
  <c r="A4" i="80"/>
  <c r="F108" i="79"/>
  <c r="E108" i="79"/>
  <c r="M37" i="79"/>
  <c r="M38" i="79" s="1"/>
  <c r="A10" i="79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A54" i="79" s="1"/>
  <c r="A55" i="79" s="1"/>
  <c r="A56" i="79" s="1"/>
  <c r="A57" i="79" s="1"/>
  <c r="A58" i="79" s="1"/>
  <c r="A59" i="79" s="1"/>
  <c r="A60" i="79" s="1"/>
  <c r="A61" i="79" s="1"/>
  <c r="A62" i="79" s="1"/>
  <c r="A63" i="79" s="1"/>
  <c r="A64" i="79" s="1"/>
  <c r="A65" i="79" s="1"/>
  <c r="A66" i="79" s="1"/>
  <c r="A67" i="79" s="1"/>
  <c r="A68" i="79" s="1"/>
  <c r="A69" i="79" s="1"/>
  <c r="A70" i="79" s="1"/>
  <c r="A71" i="79" s="1"/>
  <c r="A72" i="79" s="1"/>
  <c r="A73" i="79" s="1"/>
  <c r="A74" i="79" s="1"/>
  <c r="A75" i="79" s="1"/>
  <c r="A76" i="79" s="1"/>
  <c r="A77" i="79" s="1"/>
  <c r="A78" i="79" s="1"/>
  <c r="A79" i="79" s="1"/>
  <c r="A80" i="79" s="1"/>
  <c r="A81" i="79" s="1"/>
  <c r="A82" i="79" s="1"/>
  <c r="A83" i="79" s="1"/>
  <c r="A84" i="79" s="1"/>
  <c r="A85" i="79" s="1"/>
  <c r="A86" i="79" s="1"/>
  <c r="A87" i="79" s="1"/>
  <c r="A88" i="79" s="1"/>
  <c r="A89" i="79" s="1"/>
  <c r="A90" i="79" s="1"/>
  <c r="A91" i="79" s="1"/>
  <c r="A92" i="79" s="1"/>
  <c r="A93" i="79" s="1"/>
  <c r="A105" i="79" s="1"/>
  <c r="A106" i="79" s="1"/>
  <c r="A107" i="79" s="1"/>
  <c r="J108" i="79"/>
  <c r="G9" i="79"/>
  <c r="G10" i="79" s="1"/>
  <c r="G11" i="79" s="1"/>
  <c r="G12" i="79" s="1"/>
  <c r="G13" i="79" s="1"/>
  <c r="G14" i="79" s="1"/>
  <c r="G15" i="79" s="1"/>
  <c r="G16" i="79" s="1"/>
  <c r="G17" i="79" s="1"/>
  <c r="G18" i="79" s="1"/>
  <c r="G19" i="79" s="1"/>
  <c r="G20" i="79" s="1"/>
  <c r="G21" i="79" s="1"/>
  <c r="G22" i="79" s="1"/>
  <c r="G23" i="79" s="1"/>
  <c r="G24" i="79" s="1"/>
  <c r="G25" i="79" s="1"/>
  <c r="G26" i="79" s="1"/>
  <c r="G27" i="79" s="1"/>
  <c r="G28" i="79" s="1"/>
  <c r="G29" i="79" s="1"/>
  <c r="G30" i="79" s="1"/>
  <c r="G31" i="79" s="1"/>
  <c r="G32" i="79" s="1"/>
  <c r="G33" i="79" s="1"/>
  <c r="G34" i="79" s="1"/>
  <c r="G35" i="79" s="1"/>
  <c r="G36" i="79" s="1"/>
  <c r="G37" i="79" s="1"/>
  <c r="G38" i="79" s="1"/>
  <c r="G39" i="79" s="1"/>
  <c r="G40" i="79" s="1"/>
  <c r="G41" i="79" s="1"/>
  <c r="G42" i="79" s="1"/>
  <c r="G43" i="79" s="1"/>
  <c r="G44" i="79" s="1"/>
  <c r="G45" i="79" s="1"/>
  <c r="G46" i="79" s="1"/>
  <c r="G47" i="79" s="1"/>
  <c r="G48" i="79" s="1"/>
  <c r="G49" i="79" s="1"/>
  <c r="G50" i="79" s="1"/>
  <c r="G51" i="79" s="1"/>
  <c r="G52" i="79" s="1"/>
  <c r="G53" i="79" s="1"/>
  <c r="G54" i="79" s="1"/>
  <c r="G55" i="79" s="1"/>
  <c r="G56" i="79" s="1"/>
  <c r="G57" i="79" s="1"/>
  <c r="G58" i="79" s="1"/>
  <c r="G59" i="79" s="1"/>
  <c r="G60" i="79" s="1"/>
  <c r="G61" i="79" s="1"/>
  <c r="G62" i="79" s="1"/>
  <c r="G63" i="79" s="1"/>
  <c r="G64" i="79" s="1"/>
  <c r="G65" i="79" s="1"/>
  <c r="G66" i="79" s="1"/>
  <c r="G67" i="79" s="1"/>
  <c r="G68" i="79" s="1"/>
  <c r="G69" i="79" s="1"/>
  <c r="G70" i="79" s="1"/>
  <c r="G71" i="79" s="1"/>
  <c r="G72" i="79" s="1"/>
  <c r="G73" i="79" s="1"/>
  <c r="G74" i="79" s="1"/>
  <c r="G75" i="79" s="1"/>
  <c r="G76" i="79" s="1"/>
  <c r="G77" i="79" s="1"/>
  <c r="G78" i="79" s="1"/>
  <c r="G79" i="79" s="1"/>
  <c r="G80" i="79" s="1"/>
  <c r="G81" i="79" s="1"/>
  <c r="G82" i="79" s="1"/>
  <c r="G83" i="79" s="1"/>
  <c r="G84" i="79" s="1"/>
  <c r="G85" i="79" s="1"/>
  <c r="G86" i="79" s="1"/>
  <c r="G87" i="79" s="1"/>
  <c r="G88" i="79" s="1"/>
  <c r="G89" i="79" s="1"/>
  <c r="G90" i="79" s="1"/>
  <c r="G91" i="79" s="1"/>
  <c r="G92" i="79" s="1"/>
  <c r="G93" i="79" s="1"/>
  <c r="G94" i="79" s="1"/>
  <c r="G95" i="79" s="1"/>
  <c r="G96" i="79" s="1"/>
  <c r="G97" i="79" s="1"/>
  <c r="G98" i="79" s="1"/>
  <c r="G99" i="79" s="1"/>
  <c r="G100" i="79" s="1"/>
  <c r="G101" i="79" s="1"/>
  <c r="G102" i="79" s="1"/>
  <c r="G103" i="79" s="1"/>
  <c r="G104" i="79" s="1"/>
  <c r="G105" i="79" s="1"/>
  <c r="G106" i="79" s="1"/>
  <c r="G107" i="79" s="1"/>
  <c r="A4" i="79"/>
  <c r="G9" i="78"/>
  <c r="G10" i="78" s="1"/>
  <c r="G11" i="78" s="1"/>
  <c r="G12" i="78" s="1"/>
  <c r="G13" i="78" s="1"/>
  <c r="G14" i="78" s="1"/>
  <c r="G15" i="78" s="1"/>
  <c r="G16" i="78" s="1"/>
  <c r="G17" i="78" s="1"/>
  <c r="G18" i="78" s="1"/>
  <c r="G19" i="78" s="1"/>
  <c r="G20" i="78" s="1"/>
  <c r="G21" i="78" s="1"/>
  <c r="G22" i="78" s="1"/>
  <c r="G23" i="78" s="1"/>
  <c r="G24" i="78" s="1"/>
  <c r="G25" i="78" s="1"/>
  <c r="G26" i="78" s="1"/>
  <c r="G27" i="78" s="1"/>
  <c r="G28" i="78" s="1"/>
  <c r="G29" i="78" s="1"/>
  <c r="G30" i="78" s="1"/>
  <c r="G31" i="78" s="1"/>
  <c r="G32" i="78" s="1"/>
  <c r="G33" i="78" s="1"/>
  <c r="G34" i="78" s="1"/>
  <c r="G35" i="78" s="1"/>
  <c r="G36" i="78" s="1"/>
  <c r="G37" i="78" s="1"/>
  <c r="G38" i="78" s="1"/>
  <c r="G39" i="78" s="1"/>
  <c r="G40" i="78" s="1"/>
  <c r="G41" i="78" s="1"/>
  <c r="G42" i="78" s="1"/>
  <c r="G43" i="78" s="1"/>
  <c r="G44" i="78" s="1"/>
  <c r="G45" i="78" s="1"/>
  <c r="G46" i="78" s="1"/>
  <c r="G47" i="78" s="1"/>
  <c r="G48" i="78" s="1"/>
  <c r="G49" i="78" s="1"/>
  <c r="G50" i="78" s="1"/>
  <c r="G51" i="78" s="1"/>
  <c r="G52" i="78" s="1"/>
  <c r="G53" i="78" s="1"/>
  <c r="G54" i="78" s="1"/>
  <c r="G55" i="78" s="1"/>
  <c r="G56" i="78" s="1"/>
  <c r="G57" i="78" s="1"/>
  <c r="G58" i="78" s="1"/>
  <c r="G59" i="78" s="1"/>
  <c r="G60" i="78" s="1"/>
  <c r="G61" i="78" s="1"/>
  <c r="G62" i="78" s="1"/>
  <c r="G63" i="78" s="1"/>
  <c r="G64" i="78" s="1"/>
  <c r="G65" i="78" s="1"/>
  <c r="G66" i="78" s="1"/>
  <c r="G67" i="78" s="1"/>
  <c r="G68" i="78" s="1"/>
  <c r="G69" i="78" s="1"/>
  <c r="G70" i="78" s="1"/>
  <c r="G71" i="78" s="1"/>
  <c r="G72" i="78" s="1"/>
  <c r="G73" i="78" s="1"/>
  <c r="G74" i="78" s="1"/>
  <c r="G75" i="78" s="1"/>
  <c r="G76" i="78" s="1"/>
  <c r="G77" i="78" s="1"/>
  <c r="G78" i="78" s="1"/>
  <c r="G79" i="78" s="1"/>
  <c r="G80" i="78" s="1"/>
  <c r="G81" i="78" s="1"/>
  <c r="G82" i="78" s="1"/>
  <c r="G83" i="78" s="1"/>
  <c r="G84" i="78" s="1"/>
  <c r="G85" i="78" s="1"/>
  <c r="G86" i="78" s="1"/>
  <c r="G87" i="78" s="1"/>
  <c r="G88" i="78" s="1"/>
  <c r="G89" i="78" s="1"/>
  <c r="G90" i="78" s="1"/>
  <c r="G91" i="78" s="1"/>
  <c r="G92" i="78" s="1"/>
  <c r="G93" i="78" s="1"/>
  <c r="G94" i="78" s="1"/>
  <c r="G95" i="78" s="1"/>
  <c r="G96" i="78" s="1"/>
  <c r="G97" i="78" s="1"/>
  <c r="G98" i="78" s="1"/>
  <c r="G99" i="78" s="1"/>
  <c r="G100" i="78" s="1"/>
  <c r="G101" i="78" s="1"/>
  <c r="G102" i="78" s="1"/>
  <c r="G103" i="78" s="1"/>
  <c r="G104" i="78" s="1"/>
  <c r="G105" i="78" s="1"/>
  <c r="G106" i="78" s="1"/>
  <c r="G107" i="78" s="1"/>
  <c r="F108" i="78"/>
  <c r="A10" i="78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A62" i="78" s="1"/>
  <c r="A63" i="78" s="1"/>
  <c r="A64" i="78" s="1"/>
  <c r="A65" i="78" s="1"/>
  <c r="A66" i="78" s="1"/>
  <c r="A67" i="78" s="1"/>
  <c r="A68" i="78" s="1"/>
  <c r="A69" i="78" s="1"/>
  <c r="A70" i="78" s="1"/>
  <c r="A71" i="78" s="1"/>
  <c r="A72" i="78" s="1"/>
  <c r="A73" i="78" s="1"/>
  <c r="A74" i="78" s="1"/>
  <c r="A75" i="78" s="1"/>
  <c r="A76" i="78" s="1"/>
  <c r="A77" i="78" s="1"/>
  <c r="A78" i="78" s="1"/>
  <c r="A79" i="78" s="1"/>
  <c r="A80" i="78" s="1"/>
  <c r="A81" i="78" s="1"/>
  <c r="A82" i="78" s="1"/>
  <c r="A83" i="78" s="1"/>
  <c r="A84" i="78" s="1"/>
  <c r="A85" i="78" s="1"/>
  <c r="A86" i="78" s="1"/>
  <c r="A87" i="78" s="1"/>
  <c r="A88" i="78" s="1"/>
  <c r="A89" i="78" s="1"/>
  <c r="A90" i="78" s="1"/>
  <c r="A91" i="78" s="1"/>
  <c r="A92" i="78" s="1"/>
  <c r="A93" i="78" s="1"/>
  <c r="A105" i="78" s="1"/>
  <c r="A106" i="78" s="1"/>
  <c r="A107" i="78" s="1"/>
  <c r="J108" i="78"/>
  <c r="A4" i="78"/>
  <c r="I9" i="77"/>
  <c r="F108" i="77"/>
  <c r="L37" i="77"/>
  <c r="L38" i="77" s="1"/>
  <c r="A10" i="77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105" i="77" s="1"/>
  <c r="A106" i="77" s="1"/>
  <c r="A107" i="77" s="1"/>
  <c r="I108" i="77"/>
  <c r="G9" i="77"/>
  <c r="G10" i="77" s="1"/>
  <c r="G11" i="77" s="1"/>
  <c r="G12" i="77" s="1"/>
  <c r="G13" i="77" s="1"/>
  <c r="G14" i="77" s="1"/>
  <c r="G15" i="77" s="1"/>
  <c r="G16" i="77" s="1"/>
  <c r="G17" i="77" s="1"/>
  <c r="G18" i="77" s="1"/>
  <c r="G19" i="77" s="1"/>
  <c r="G20" i="77" s="1"/>
  <c r="G21" i="77" s="1"/>
  <c r="G22" i="77" s="1"/>
  <c r="G23" i="77" s="1"/>
  <c r="G24" i="77" s="1"/>
  <c r="G25" i="77" s="1"/>
  <c r="G26" i="77" s="1"/>
  <c r="G27" i="77" s="1"/>
  <c r="G28" i="77" s="1"/>
  <c r="G29" i="77" s="1"/>
  <c r="G30" i="77" s="1"/>
  <c r="G31" i="77" s="1"/>
  <c r="G32" i="77" s="1"/>
  <c r="G33" i="77" s="1"/>
  <c r="G34" i="77" s="1"/>
  <c r="G35" i="77" s="1"/>
  <c r="G36" i="77" s="1"/>
  <c r="G37" i="77" s="1"/>
  <c r="G38" i="77" s="1"/>
  <c r="G39" i="77" s="1"/>
  <c r="G40" i="77" s="1"/>
  <c r="G41" i="77" s="1"/>
  <c r="G42" i="77" s="1"/>
  <c r="G43" i="77" s="1"/>
  <c r="G44" i="77" s="1"/>
  <c r="G45" i="77" s="1"/>
  <c r="G46" i="77" s="1"/>
  <c r="G47" i="77" s="1"/>
  <c r="G48" i="77" s="1"/>
  <c r="G49" i="77" s="1"/>
  <c r="G50" i="77" s="1"/>
  <c r="G51" i="77" s="1"/>
  <c r="G52" i="77" s="1"/>
  <c r="G53" i="77" s="1"/>
  <c r="G54" i="77" s="1"/>
  <c r="G55" i="77" s="1"/>
  <c r="G56" i="77" s="1"/>
  <c r="G57" i="77" s="1"/>
  <c r="G58" i="77" s="1"/>
  <c r="G59" i="77" s="1"/>
  <c r="G60" i="77" s="1"/>
  <c r="G61" i="77" s="1"/>
  <c r="G62" i="77" s="1"/>
  <c r="G63" i="77" s="1"/>
  <c r="G64" i="77" s="1"/>
  <c r="G65" i="77" s="1"/>
  <c r="G66" i="77" s="1"/>
  <c r="G67" i="77" s="1"/>
  <c r="G68" i="77" s="1"/>
  <c r="G69" i="77" s="1"/>
  <c r="G70" i="77" s="1"/>
  <c r="G71" i="77" s="1"/>
  <c r="G72" i="77" s="1"/>
  <c r="G73" i="77" s="1"/>
  <c r="G74" i="77" s="1"/>
  <c r="G75" i="77" s="1"/>
  <c r="G76" i="77" s="1"/>
  <c r="G77" i="77" s="1"/>
  <c r="G78" i="77" s="1"/>
  <c r="G79" i="77" s="1"/>
  <c r="G80" i="77" s="1"/>
  <c r="G81" i="77" s="1"/>
  <c r="G82" i="77" s="1"/>
  <c r="G83" i="77" s="1"/>
  <c r="G84" i="77" s="1"/>
  <c r="G85" i="77" s="1"/>
  <c r="G86" i="77" s="1"/>
  <c r="G87" i="77" s="1"/>
  <c r="G88" i="77" s="1"/>
  <c r="G89" i="77" s="1"/>
  <c r="G90" i="77" s="1"/>
  <c r="G91" i="77" s="1"/>
  <c r="G92" i="77" s="1"/>
  <c r="G93" i="77" s="1"/>
  <c r="G94" i="77" s="1"/>
  <c r="G95" i="77" s="1"/>
  <c r="G96" i="77" s="1"/>
  <c r="G97" i="77" s="1"/>
  <c r="G98" i="77" s="1"/>
  <c r="G99" i="77" s="1"/>
  <c r="G100" i="77" s="1"/>
  <c r="G101" i="77" s="1"/>
  <c r="G102" i="77" s="1"/>
  <c r="G103" i="77" s="1"/>
  <c r="G104" i="77" s="1"/>
  <c r="G105" i="77" s="1"/>
  <c r="G106" i="77" s="1"/>
  <c r="G107" i="77" s="1"/>
  <c r="E108" i="77"/>
  <c r="A4" i="77"/>
  <c r="G60" i="33" l="1"/>
  <c r="G108" i="85"/>
  <c r="G44" i="33"/>
  <c r="G66" i="33"/>
  <c r="G58" i="33"/>
  <c r="G65" i="33"/>
  <c r="G31" i="33"/>
  <c r="G45" i="33"/>
  <c r="E108" i="78"/>
  <c r="G108" i="78" s="1"/>
  <c r="G118" i="94"/>
  <c r="G113" i="95"/>
  <c r="G121" i="91"/>
  <c r="G118" i="92"/>
  <c r="G118" i="90"/>
  <c r="G92" i="89"/>
  <c r="G11" i="86"/>
  <c r="G12" i="86" s="1"/>
  <c r="G13" i="86" s="1"/>
  <c r="G14" i="86" s="1"/>
  <c r="G15" i="86" s="1"/>
  <c r="G16" i="86" s="1"/>
  <c r="G17" i="86" s="1"/>
  <c r="G18" i="86" s="1"/>
  <c r="G19" i="86" s="1"/>
  <c r="G20" i="86" s="1"/>
  <c r="G21" i="86" s="1"/>
  <c r="G22" i="86" s="1"/>
  <c r="G23" i="86" s="1"/>
  <c r="G24" i="86" s="1"/>
  <c r="G25" i="86" s="1"/>
  <c r="G26" i="86" s="1"/>
  <c r="G27" i="86" s="1"/>
  <c r="G28" i="86" s="1"/>
  <c r="G29" i="86" s="1"/>
  <c r="G30" i="86" s="1"/>
  <c r="G31" i="86" s="1"/>
  <c r="G32" i="86" s="1"/>
  <c r="G33" i="86" s="1"/>
  <c r="G34" i="86" s="1"/>
  <c r="G35" i="86" s="1"/>
  <c r="G36" i="86" s="1"/>
  <c r="G37" i="86" s="1"/>
  <c r="G38" i="86" s="1"/>
  <c r="G39" i="86" s="1"/>
  <c r="G40" i="86" s="1"/>
  <c r="G41" i="86" s="1"/>
  <c r="G42" i="86" s="1"/>
  <c r="G43" i="86" s="1"/>
  <c r="G44" i="86" s="1"/>
  <c r="G45" i="86" s="1"/>
  <c r="G46" i="86" s="1"/>
  <c r="G47" i="86" s="1"/>
  <c r="G48" i="86" s="1"/>
  <c r="G49" i="86" s="1"/>
  <c r="G50" i="86" s="1"/>
  <c r="G51" i="86" s="1"/>
  <c r="G52" i="86" s="1"/>
  <c r="G53" i="86" s="1"/>
  <c r="G54" i="86" s="1"/>
  <c r="G55" i="86" s="1"/>
  <c r="G56" i="86" s="1"/>
  <c r="G57" i="86" s="1"/>
  <c r="G58" i="86" s="1"/>
  <c r="G59" i="86" s="1"/>
  <c r="G60" i="86" s="1"/>
  <c r="G61" i="86" s="1"/>
  <c r="G62" i="86" s="1"/>
  <c r="G63" i="86" s="1"/>
  <c r="G64" i="86" s="1"/>
  <c r="G65" i="86" s="1"/>
  <c r="G66" i="86" s="1"/>
  <c r="G67" i="86" s="1"/>
  <c r="G68" i="86" s="1"/>
  <c r="G69" i="86" s="1"/>
  <c r="G70" i="86" s="1"/>
  <c r="G71" i="86" s="1"/>
  <c r="G72" i="86" s="1"/>
  <c r="G73" i="86" s="1"/>
  <c r="G74" i="86" s="1"/>
  <c r="G75" i="86" s="1"/>
  <c r="G76" i="86" s="1"/>
  <c r="G77" i="86" s="1"/>
  <c r="G78" i="86" s="1"/>
  <c r="G79" i="86" s="1"/>
  <c r="G80" i="86" s="1"/>
  <c r="G81" i="86" s="1"/>
  <c r="G82" i="86" s="1"/>
  <c r="G83" i="86" s="1"/>
  <c r="G84" i="86" s="1"/>
  <c r="G85" i="86" s="1"/>
  <c r="G86" i="86" s="1"/>
  <c r="G87" i="86" s="1"/>
  <c r="G88" i="86" s="1"/>
  <c r="G89" i="86" s="1"/>
  <c r="G90" i="86" s="1"/>
  <c r="G91" i="86" s="1"/>
  <c r="G92" i="86" s="1"/>
  <c r="G93" i="86" s="1"/>
  <c r="G94" i="86" s="1"/>
  <c r="G95" i="86" s="1"/>
  <c r="G96" i="86" s="1"/>
  <c r="G97" i="86" s="1"/>
  <c r="G98" i="86" s="1"/>
  <c r="G99" i="86" s="1"/>
  <c r="G100" i="86" s="1"/>
  <c r="G101" i="86" s="1"/>
  <c r="G102" i="86" s="1"/>
  <c r="G103" i="86" s="1"/>
  <c r="G104" i="86" s="1"/>
  <c r="G105" i="86" s="1"/>
  <c r="G106" i="86" s="1"/>
  <c r="G107" i="86" s="1"/>
  <c r="G108" i="86"/>
  <c r="G91" i="88"/>
  <c r="G108" i="87"/>
  <c r="G9" i="87"/>
  <c r="G10" i="87" s="1"/>
  <c r="G11" i="87" s="1"/>
  <c r="G12" i="87" s="1"/>
  <c r="G13" i="87" s="1"/>
  <c r="G14" i="87" s="1"/>
  <c r="G15" i="87" s="1"/>
  <c r="G16" i="87" s="1"/>
  <c r="G17" i="87" s="1"/>
  <c r="G18" i="87" s="1"/>
  <c r="G19" i="87" s="1"/>
  <c r="G20" i="87" s="1"/>
  <c r="G21" i="87" s="1"/>
  <c r="G22" i="87" s="1"/>
  <c r="G23" i="87" s="1"/>
  <c r="G24" i="87" s="1"/>
  <c r="G25" i="87" s="1"/>
  <c r="G26" i="87" s="1"/>
  <c r="G27" i="87" s="1"/>
  <c r="G28" i="87" s="1"/>
  <c r="G29" i="87" s="1"/>
  <c r="G30" i="87" s="1"/>
  <c r="G31" i="87" s="1"/>
  <c r="G32" i="87" s="1"/>
  <c r="G33" i="87" s="1"/>
  <c r="G34" i="87" s="1"/>
  <c r="G35" i="87" s="1"/>
  <c r="G36" i="87" s="1"/>
  <c r="G37" i="87" s="1"/>
  <c r="G38" i="87" s="1"/>
  <c r="G39" i="87" s="1"/>
  <c r="G40" i="87" s="1"/>
  <c r="G41" i="87" s="1"/>
  <c r="G42" i="87" s="1"/>
  <c r="G43" i="87" s="1"/>
  <c r="G44" i="87" s="1"/>
  <c r="G45" i="87" s="1"/>
  <c r="G46" i="87" s="1"/>
  <c r="G47" i="87" s="1"/>
  <c r="G48" i="87" s="1"/>
  <c r="G49" i="87" s="1"/>
  <c r="G50" i="87" s="1"/>
  <c r="G51" i="87" s="1"/>
  <c r="G52" i="87" s="1"/>
  <c r="G53" i="87" s="1"/>
  <c r="G54" i="87" s="1"/>
  <c r="G55" i="87" s="1"/>
  <c r="G56" i="87" s="1"/>
  <c r="G57" i="87" s="1"/>
  <c r="G58" i="87" s="1"/>
  <c r="G59" i="87" s="1"/>
  <c r="G60" i="87" s="1"/>
  <c r="G61" i="87" s="1"/>
  <c r="G62" i="87" s="1"/>
  <c r="G63" i="87" s="1"/>
  <c r="G64" i="87" s="1"/>
  <c r="G65" i="87" s="1"/>
  <c r="G66" i="87" s="1"/>
  <c r="G67" i="87" s="1"/>
  <c r="G68" i="87" s="1"/>
  <c r="G69" i="87" s="1"/>
  <c r="G70" i="87" s="1"/>
  <c r="G71" i="87" s="1"/>
  <c r="G72" i="87" s="1"/>
  <c r="G73" i="87" s="1"/>
  <c r="G74" i="87" s="1"/>
  <c r="G75" i="87" s="1"/>
  <c r="G76" i="87" s="1"/>
  <c r="G77" i="87" s="1"/>
  <c r="G78" i="87" s="1"/>
  <c r="G79" i="87" s="1"/>
  <c r="G80" i="87" s="1"/>
  <c r="G81" i="87" s="1"/>
  <c r="G82" i="87" s="1"/>
  <c r="G83" i="87" s="1"/>
  <c r="G84" i="87" s="1"/>
  <c r="G85" i="87" s="1"/>
  <c r="G86" i="87" s="1"/>
  <c r="G87" i="87" s="1"/>
  <c r="G88" i="87" s="1"/>
  <c r="G89" i="87" s="1"/>
  <c r="G90" i="87" s="1"/>
  <c r="G91" i="87" s="1"/>
  <c r="G92" i="87" s="1"/>
  <c r="G93" i="87" s="1"/>
  <c r="G94" i="87" s="1"/>
  <c r="G95" i="87" s="1"/>
  <c r="G96" i="87" s="1"/>
  <c r="G97" i="87" s="1"/>
  <c r="G98" i="87" s="1"/>
  <c r="G99" i="87" s="1"/>
  <c r="G100" i="87" s="1"/>
  <c r="G101" i="87" s="1"/>
  <c r="G102" i="87" s="1"/>
  <c r="G103" i="87" s="1"/>
  <c r="G104" i="87" s="1"/>
  <c r="G105" i="87" s="1"/>
  <c r="G106" i="87" s="1"/>
  <c r="G107" i="87" s="1"/>
  <c r="G108" i="84"/>
  <c r="G35" i="83"/>
  <c r="G108" i="77"/>
  <c r="G109" i="81"/>
  <c r="G35" i="80"/>
  <c r="G108" i="79"/>
  <c r="F97" i="76"/>
  <c r="E97" i="76"/>
  <c r="A10" i="76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G9" i="76"/>
  <c r="G10" i="76" s="1"/>
  <c r="G11" i="76" s="1"/>
  <c r="G12" i="76" s="1"/>
  <c r="G13" i="76" s="1"/>
  <c r="G14" i="76" s="1"/>
  <c r="G15" i="76" s="1"/>
  <c r="G16" i="76" s="1"/>
  <c r="G17" i="76" s="1"/>
  <c r="G18" i="76" s="1"/>
  <c r="G19" i="76" s="1"/>
  <c r="G20" i="76" s="1"/>
  <c r="G21" i="76" s="1"/>
  <c r="G22" i="76" s="1"/>
  <c r="G23" i="76" s="1"/>
  <c r="G24" i="76" s="1"/>
  <c r="G25" i="76" s="1"/>
  <c r="G26" i="76" s="1"/>
  <c r="G27" i="76" s="1"/>
  <c r="G28" i="76" s="1"/>
  <c r="G29" i="76" s="1"/>
  <c r="G30" i="76" s="1"/>
  <c r="G31" i="76" s="1"/>
  <c r="G32" i="76" s="1"/>
  <c r="G33" i="76" s="1"/>
  <c r="G34" i="76" s="1"/>
  <c r="G35" i="76" s="1"/>
  <c r="G36" i="76" s="1"/>
  <c r="G37" i="76" s="1"/>
  <c r="G38" i="76" s="1"/>
  <c r="G39" i="76" s="1"/>
  <c r="G40" i="76" s="1"/>
  <c r="G41" i="76" s="1"/>
  <c r="G42" i="76" s="1"/>
  <c r="G43" i="76" s="1"/>
  <c r="G44" i="76" s="1"/>
  <c r="G45" i="76" s="1"/>
  <c r="G46" i="76" s="1"/>
  <c r="G47" i="76" s="1"/>
  <c r="G48" i="76" s="1"/>
  <c r="G49" i="76" s="1"/>
  <c r="G50" i="76" s="1"/>
  <c r="G51" i="76" s="1"/>
  <c r="G52" i="76" s="1"/>
  <c r="G53" i="76" s="1"/>
  <c r="G54" i="76" s="1"/>
  <c r="G55" i="76" s="1"/>
  <c r="G56" i="76" s="1"/>
  <c r="G57" i="76" s="1"/>
  <c r="G58" i="76" s="1"/>
  <c r="G59" i="76" s="1"/>
  <c r="G60" i="76" s="1"/>
  <c r="G61" i="76" s="1"/>
  <c r="G62" i="76" s="1"/>
  <c r="G63" i="76" s="1"/>
  <c r="G64" i="76" s="1"/>
  <c r="G65" i="76" s="1"/>
  <c r="G66" i="76" s="1"/>
  <c r="G67" i="76" s="1"/>
  <c r="G68" i="76" s="1"/>
  <c r="G69" i="76" s="1"/>
  <c r="G70" i="76" s="1"/>
  <c r="G71" i="76" s="1"/>
  <c r="G72" i="76" s="1"/>
  <c r="G73" i="76" s="1"/>
  <c r="G74" i="76" s="1"/>
  <c r="G75" i="76" s="1"/>
  <c r="G76" i="76" s="1"/>
  <c r="G77" i="76" s="1"/>
  <c r="G78" i="76" s="1"/>
  <c r="G79" i="76" s="1"/>
  <c r="G80" i="76" s="1"/>
  <c r="G81" i="76" s="1"/>
  <c r="G82" i="76" s="1"/>
  <c r="G83" i="76" s="1"/>
  <c r="G84" i="76" s="1"/>
  <c r="G85" i="76" s="1"/>
  <c r="G86" i="76" s="1"/>
  <c r="G87" i="76" s="1"/>
  <c r="G88" i="76" s="1"/>
  <c r="G89" i="76" s="1"/>
  <c r="G90" i="76" s="1"/>
  <c r="G91" i="76" s="1"/>
  <c r="G92" i="76" s="1"/>
  <c r="G93" i="76" s="1"/>
  <c r="G94" i="76" s="1"/>
  <c r="G95" i="76" s="1"/>
  <c r="G96" i="76" s="1"/>
  <c r="A4" i="76"/>
  <c r="F151" i="75"/>
  <c r="F150" i="75"/>
  <c r="F118" i="75"/>
  <c r="F62" i="33" s="1"/>
  <c r="E118" i="75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  <c r="A67" i="75" s="1"/>
  <c r="A68" i="75" s="1"/>
  <c r="A69" i="75" s="1"/>
  <c r="A70" i="75" s="1"/>
  <c r="A71" i="75" s="1"/>
  <c r="A72" i="75" s="1"/>
  <c r="A73" i="75" s="1"/>
  <c r="A74" i="75" s="1"/>
  <c r="A75" i="75" s="1"/>
  <c r="A76" i="75" s="1"/>
  <c r="A77" i="75" s="1"/>
  <c r="A78" i="75" s="1"/>
  <c r="A79" i="75" s="1"/>
  <c r="A80" i="75" s="1"/>
  <c r="A81" i="75" s="1"/>
  <c r="A82" i="75" s="1"/>
  <c r="A83" i="75" s="1"/>
  <c r="A84" i="75" s="1"/>
  <c r="A85" i="75" s="1"/>
  <c r="A86" i="75" s="1"/>
  <c r="A87" i="75" s="1"/>
  <c r="A88" i="75" s="1"/>
  <c r="A89" i="75" s="1"/>
  <c r="A90" i="75" s="1"/>
  <c r="A91" i="75" s="1"/>
  <c r="A92" i="75" s="1"/>
  <c r="A93" i="75" s="1"/>
  <c r="A94" i="75" s="1"/>
  <c r="A95" i="75" s="1"/>
  <c r="A96" i="75" s="1"/>
  <c r="A97" i="75" s="1"/>
  <c r="A98" i="75" s="1"/>
  <c r="A99" i="75" s="1"/>
  <c r="A100" i="75" s="1"/>
  <c r="A101" i="75" s="1"/>
  <c r="A102" i="75" s="1"/>
  <c r="A103" i="75" s="1"/>
  <c r="A104" i="75" s="1"/>
  <c r="A105" i="75" s="1"/>
  <c r="A106" i="75" s="1"/>
  <c r="A107" i="75" s="1"/>
  <c r="A108" i="75" s="1"/>
  <c r="A109" i="75" s="1"/>
  <c r="A110" i="75" s="1"/>
  <c r="A111" i="75" s="1"/>
  <c r="A112" i="75" s="1"/>
  <c r="A113" i="75" s="1"/>
  <c r="A114" i="75" s="1"/>
  <c r="A115" i="75" s="1"/>
  <c r="A116" i="75" s="1"/>
  <c r="A117" i="75" s="1"/>
  <c r="G9" i="75"/>
  <c r="G10" i="75" s="1"/>
  <c r="G11" i="75" s="1"/>
  <c r="G12" i="75" s="1"/>
  <c r="G13" i="75" s="1"/>
  <c r="G14" i="75" s="1"/>
  <c r="G15" i="75" s="1"/>
  <c r="G16" i="75" s="1"/>
  <c r="G17" i="75" s="1"/>
  <c r="G18" i="75" s="1"/>
  <c r="G19" i="75" s="1"/>
  <c r="G20" i="75" s="1"/>
  <c r="G21" i="75" s="1"/>
  <c r="G22" i="75" s="1"/>
  <c r="G23" i="75" s="1"/>
  <c r="G24" i="75" s="1"/>
  <c r="G25" i="75" s="1"/>
  <c r="G26" i="75" s="1"/>
  <c r="G27" i="75" s="1"/>
  <c r="G28" i="75" s="1"/>
  <c r="G29" i="75" s="1"/>
  <c r="G30" i="75" s="1"/>
  <c r="G31" i="75" s="1"/>
  <c r="G32" i="75" s="1"/>
  <c r="G33" i="75" s="1"/>
  <c r="G34" i="75" s="1"/>
  <c r="G35" i="75" s="1"/>
  <c r="G36" i="75" s="1"/>
  <c r="G37" i="75" s="1"/>
  <c r="G38" i="75" s="1"/>
  <c r="G39" i="75" s="1"/>
  <c r="G40" i="75" s="1"/>
  <c r="G41" i="75" s="1"/>
  <c r="G42" i="75" s="1"/>
  <c r="G43" i="75" s="1"/>
  <c r="G44" i="75" s="1"/>
  <c r="G45" i="75" s="1"/>
  <c r="G46" i="75" s="1"/>
  <c r="G47" i="75" s="1"/>
  <c r="G48" i="75" s="1"/>
  <c r="G49" i="75" s="1"/>
  <c r="G50" i="75" s="1"/>
  <c r="G51" i="75" s="1"/>
  <c r="G52" i="75" s="1"/>
  <c r="G53" i="75" s="1"/>
  <c r="G54" i="75" s="1"/>
  <c r="G55" i="75" s="1"/>
  <c r="G56" i="75" s="1"/>
  <c r="G57" i="75" s="1"/>
  <c r="G58" i="75" s="1"/>
  <c r="G59" i="75" s="1"/>
  <c r="G60" i="75" s="1"/>
  <c r="G61" i="75" s="1"/>
  <c r="G62" i="75" s="1"/>
  <c r="G63" i="75" s="1"/>
  <c r="G64" i="75" s="1"/>
  <c r="G65" i="75" s="1"/>
  <c r="G66" i="75" s="1"/>
  <c r="G67" i="75" s="1"/>
  <c r="G68" i="75" s="1"/>
  <c r="G69" i="75" s="1"/>
  <c r="G70" i="75" s="1"/>
  <c r="G71" i="75" s="1"/>
  <c r="G72" i="75" s="1"/>
  <c r="G73" i="75" s="1"/>
  <c r="G74" i="75" s="1"/>
  <c r="G75" i="75" s="1"/>
  <c r="G76" i="75" s="1"/>
  <c r="G77" i="75" s="1"/>
  <c r="G78" i="75" s="1"/>
  <c r="G79" i="75" s="1"/>
  <c r="G80" i="75" s="1"/>
  <c r="G81" i="75" s="1"/>
  <c r="G82" i="75" s="1"/>
  <c r="G83" i="75" s="1"/>
  <c r="G84" i="75" s="1"/>
  <c r="G85" i="75" s="1"/>
  <c r="G86" i="75" s="1"/>
  <c r="G87" i="75" s="1"/>
  <c r="G88" i="75" s="1"/>
  <c r="G89" i="75" s="1"/>
  <c r="G90" i="75" s="1"/>
  <c r="G91" i="75" s="1"/>
  <c r="G92" i="75" s="1"/>
  <c r="G93" i="75" s="1"/>
  <c r="G94" i="75" s="1"/>
  <c r="G95" i="75" s="1"/>
  <c r="G96" i="75" s="1"/>
  <c r="G97" i="75" s="1"/>
  <c r="G98" i="75" s="1"/>
  <c r="G99" i="75" s="1"/>
  <c r="G100" i="75" s="1"/>
  <c r="G101" i="75" s="1"/>
  <c r="G102" i="75" s="1"/>
  <c r="G103" i="75" s="1"/>
  <c r="G104" i="75" s="1"/>
  <c r="G105" i="75" s="1"/>
  <c r="G106" i="75" s="1"/>
  <c r="G107" i="75" s="1"/>
  <c r="G108" i="75" s="1"/>
  <c r="G109" i="75" s="1"/>
  <c r="G110" i="75" s="1"/>
  <c r="G111" i="75" s="1"/>
  <c r="G112" i="75" s="1"/>
  <c r="G113" i="75" s="1"/>
  <c r="G114" i="75" s="1"/>
  <c r="G115" i="75" s="1"/>
  <c r="G116" i="75" s="1"/>
  <c r="G117" i="75" s="1"/>
  <c r="A4" i="75"/>
  <c r="F152" i="74"/>
  <c r="F151" i="74"/>
  <c r="F119" i="74"/>
  <c r="F64" i="33" s="1"/>
  <c r="E119" i="74"/>
  <c r="E64" i="33" s="1"/>
  <c r="A10" i="74"/>
  <c r="G9" i="74"/>
  <c r="G10" i="74" s="1"/>
  <c r="G11" i="74" s="1"/>
  <c r="G12" i="74" s="1"/>
  <c r="G13" i="74" s="1"/>
  <c r="G14" i="74" s="1"/>
  <c r="G15" i="74" s="1"/>
  <c r="G16" i="74" s="1"/>
  <c r="G17" i="74" s="1"/>
  <c r="G18" i="74" s="1"/>
  <c r="G19" i="74" s="1"/>
  <c r="G20" i="74" s="1"/>
  <c r="G21" i="74" s="1"/>
  <c r="G22" i="74" s="1"/>
  <c r="G23" i="74" s="1"/>
  <c r="G24" i="74" s="1"/>
  <c r="G25" i="74" s="1"/>
  <c r="G26" i="74" s="1"/>
  <c r="G27" i="74" s="1"/>
  <c r="G28" i="74" s="1"/>
  <c r="G29" i="74" s="1"/>
  <c r="G30" i="74" s="1"/>
  <c r="G31" i="74" s="1"/>
  <c r="G32" i="74" s="1"/>
  <c r="G33" i="74" s="1"/>
  <c r="G34" i="74" s="1"/>
  <c r="G35" i="74" s="1"/>
  <c r="G36" i="74" s="1"/>
  <c r="G37" i="74" s="1"/>
  <c r="G38" i="74" s="1"/>
  <c r="G39" i="74" s="1"/>
  <c r="G40" i="74" s="1"/>
  <c r="G41" i="74" s="1"/>
  <c r="G42" i="74" s="1"/>
  <c r="G43" i="74" s="1"/>
  <c r="G44" i="74" s="1"/>
  <c r="G45" i="74" s="1"/>
  <c r="G46" i="74" s="1"/>
  <c r="G47" i="74" s="1"/>
  <c r="G48" i="74" s="1"/>
  <c r="G49" i="74" s="1"/>
  <c r="G50" i="74" s="1"/>
  <c r="G51" i="74" s="1"/>
  <c r="G52" i="74" s="1"/>
  <c r="G53" i="74" s="1"/>
  <c r="G54" i="74" s="1"/>
  <c r="G55" i="74" s="1"/>
  <c r="G56" i="74" s="1"/>
  <c r="G57" i="74" s="1"/>
  <c r="G58" i="74" s="1"/>
  <c r="G59" i="74" s="1"/>
  <c r="G60" i="74" s="1"/>
  <c r="G61" i="74" s="1"/>
  <c r="G62" i="74" s="1"/>
  <c r="G63" i="74" s="1"/>
  <c r="G64" i="74" s="1"/>
  <c r="G65" i="74" s="1"/>
  <c r="G66" i="74" s="1"/>
  <c r="G67" i="74" s="1"/>
  <c r="G68" i="74" s="1"/>
  <c r="G69" i="74" s="1"/>
  <c r="G70" i="74" s="1"/>
  <c r="G71" i="74" s="1"/>
  <c r="G72" i="74" s="1"/>
  <c r="G73" i="74" s="1"/>
  <c r="G74" i="74" s="1"/>
  <c r="G75" i="74" s="1"/>
  <c r="G76" i="74" s="1"/>
  <c r="G77" i="74" s="1"/>
  <c r="G78" i="74" s="1"/>
  <c r="G79" i="74" s="1"/>
  <c r="G80" i="74" s="1"/>
  <c r="G81" i="74" s="1"/>
  <c r="G82" i="74" s="1"/>
  <c r="G83" i="74" s="1"/>
  <c r="G84" i="74" s="1"/>
  <c r="G85" i="74" s="1"/>
  <c r="G86" i="74" s="1"/>
  <c r="G87" i="74" s="1"/>
  <c r="G88" i="74" s="1"/>
  <c r="G89" i="74" s="1"/>
  <c r="G90" i="74" s="1"/>
  <c r="G91" i="74" s="1"/>
  <c r="G92" i="74" s="1"/>
  <c r="G93" i="74" s="1"/>
  <c r="G94" i="74" s="1"/>
  <c r="G95" i="74" s="1"/>
  <c r="G96" i="74" s="1"/>
  <c r="G97" i="74" s="1"/>
  <c r="G98" i="74" s="1"/>
  <c r="G99" i="74" s="1"/>
  <c r="G100" i="74" s="1"/>
  <c r="G101" i="74" s="1"/>
  <c r="G102" i="74" s="1"/>
  <c r="G103" i="74" s="1"/>
  <c r="G104" i="74" s="1"/>
  <c r="G105" i="74" s="1"/>
  <c r="G106" i="74" s="1"/>
  <c r="G107" i="74" s="1"/>
  <c r="G108" i="74" s="1"/>
  <c r="G109" i="74" s="1"/>
  <c r="G110" i="74" s="1"/>
  <c r="G111" i="74" s="1"/>
  <c r="G112" i="74" s="1"/>
  <c r="G113" i="74" s="1"/>
  <c r="G114" i="74" s="1"/>
  <c r="G115" i="74" s="1"/>
  <c r="G116" i="74" s="1"/>
  <c r="G117" i="74" s="1"/>
  <c r="G118" i="74" s="1"/>
  <c r="A4" i="74"/>
  <c r="F151" i="73"/>
  <c r="F150" i="73"/>
  <c r="F118" i="73"/>
  <c r="F63" i="33" s="1"/>
  <c r="E118" i="73"/>
  <c r="E63" i="33" s="1"/>
  <c r="A10" i="73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A58" i="73" s="1"/>
  <c r="A59" i="73" s="1"/>
  <c r="A60" i="73" s="1"/>
  <c r="A61" i="73" s="1"/>
  <c r="A62" i="73" s="1"/>
  <c r="A63" i="73" s="1"/>
  <c r="A64" i="73" s="1"/>
  <c r="A65" i="73" s="1"/>
  <c r="A66" i="73" s="1"/>
  <c r="A67" i="73" s="1"/>
  <c r="A68" i="73" s="1"/>
  <c r="A69" i="73" s="1"/>
  <c r="A70" i="73" s="1"/>
  <c r="A71" i="73" s="1"/>
  <c r="A72" i="73" s="1"/>
  <c r="A73" i="73" s="1"/>
  <c r="A74" i="73" s="1"/>
  <c r="A75" i="73" s="1"/>
  <c r="A76" i="73" s="1"/>
  <c r="A77" i="73" s="1"/>
  <c r="A78" i="73" s="1"/>
  <c r="A79" i="73" s="1"/>
  <c r="A80" i="73" s="1"/>
  <c r="A81" i="73" s="1"/>
  <c r="A82" i="73" s="1"/>
  <c r="A83" i="73" s="1"/>
  <c r="A84" i="73" s="1"/>
  <c r="A85" i="73" s="1"/>
  <c r="A86" i="73" s="1"/>
  <c r="A87" i="73" s="1"/>
  <c r="A88" i="73" s="1"/>
  <c r="A89" i="73" s="1"/>
  <c r="A90" i="73" s="1"/>
  <c r="A91" i="73" s="1"/>
  <c r="A92" i="73" s="1"/>
  <c r="A93" i="73" s="1"/>
  <c r="A94" i="73" s="1"/>
  <c r="A95" i="73" s="1"/>
  <c r="A96" i="73" s="1"/>
  <c r="A97" i="73" s="1"/>
  <c r="A98" i="73" s="1"/>
  <c r="A99" i="73" s="1"/>
  <c r="A100" i="73" s="1"/>
  <c r="A101" i="73" s="1"/>
  <c r="A102" i="73" s="1"/>
  <c r="A103" i="73" s="1"/>
  <c r="A104" i="73" s="1"/>
  <c r="A105" i="73" s="1"/>
  <c r="A106" i="73" s="1"/>
  <c r="A107" i="73" s="1"/>
  <c r="A108" i="73" s="1"/>
  <c r="A109" i="73" s="1"/>
  <c r="A110" i="73" s="1"/>
  <c r="A111" i="73" s="1"/>
  <c r="A112" i="73" s="1"/>
  <c r="A113" i="73" s="1"/>
  <c r="A114" i="73" s="1"/>
  <c r="A115" i="73" s="1"/>
  <c r="A116" i="73" s="1"/>
  <c r="A117" i="73" s="1"/>
  <c r="G9" i="73"/>
  <c r="G10" i="73" s="1"/>
  <c r="G11" i="73" s="1"/>
  <c r="G12" i="73" s="1"/>
  <c r="G13" i="73" s="1"/>
  <c r="G14" i="73" s="1"/>
  <c r="G15" i="73" s="1"/>
  <c r="G16" i="73" s="1"/>
  <c r="G17" i="73" s="1"/>
  <c r="G18" i="73" s="1"/>
  <c r="G19" i="73" s="1"/>
  <c r="G20" i="73" s="1"/>
  <c r="G21" i="73" s="1"/>
  <c r="G22" i="73" s="1"/>
  <c r="G23" i="73" s="1"/>
  <c r="G24" i="73" s="1"/>
  <c r="G25" i="73" s="1"/>
  <c r="G26" i="73" s="1"/>
  <c r="G27" i="73" s="1"/>
  <c r="G28" i="73" s="1"/>
  <c r="G29" i="73" s="1"/>
  <c r="G30" i="73" s="1"/>
  <c r="G31" i="73" s="1"/>
  <c r="G32" i="73" s="1"/>
  <c r="G33" i="73" s="1"/>
  <c r="G34" i="73" s="1"/>
  <c r="G35" i="73" s="1"/>
  <c r="G36" i="73" s="1"/>
  <c r="G37" i="73" s="1"/>
  <c r="G38" i="73" s="1"/>
  <c r="G39" i="73" s="1"/>
  <c r="G40" i="73" s="1"/>
  <c r="G41" i="73" s="1"/>
  <c r="G42" i="73" s="1"/>
  <c r="G43" i="73" s="1"/>
  <c r="G44" i="73" s="1"/>
  <c r="G45" i="73" s="1"/>
  <c r="G46" i="73" s="1"/>
  <c r="G47" i="73" s="1"/>
  <c r="G48" i="73" s="1"/>
  <c r="G49" i="73" s="1"/>
  <c r="G50" i="73" s="1"/>
  <c r="G51" i="73" s="1"/>
  <c r="G52" i="73" s="1"/>
  <c r="G53" i="73" s="1"/>
  <c r="G54" i="73" s="1"/>
  <c r="G55" i="73" s="1"/>
  <c r="G56" i="73" s="1"/>
  <c r="G57" i="73" s="1"/>
  <c r="G58" i="73" s="1"/>
  <c r="G59" i="73" s="1"/>
  <c r="G60" i="73" s="1"/>
  <c r="G61" i="73" s="1"/>
  <c r="G62" i="73" s="1"/>
  <c r="G63" i="73" s="1"/>
  <c r="G64" i="73" s="1"/>
  <c r="G65" i="73" s="1"/>
  <c r="G66" i="73" s="1"/>
  <c r="G67" i="73" s="1"/>
  <c r="G68" i="73" s="1"/>
  <c r="G69" i="73" s="1"/>
  <c r="G70" i="73" s="1"/>
  <c r="G71" i="73" s="1"/>
  <c r="G72" i="73" s="1"/>
  <c r="G73" i="73" s="1"/>
  <c r="G74" i="73" s="1"/>
  <c r="G75" i="73" s="1"/>
  <c r="G76" i="73" s="1"/>
  <c r="G77" i="73" s="1"/>
  <c r="G78" i="73" s="1"/>
  <c r="G79" i="73" s="1"/>
  <c r="G80" i="73" s="1"/>
  <c r="G81" i="73" s="1"/>
  <c r="G82" i="73" s="1"/>
  <c r="G83" i="73" s="1"/>
  <c r="G84" i="73" s="1"/>
  <c r="G85" i="73" s="1"/>
  <c r="G86" i="73" s="1"/>
  <c r="G87" i="73" s="1"/>
  <c r="G88" i="73" s="1"/>
  <c r="G89" i="73" s="1"/>
  <c r="G90" i="73" s="1"/>
  <c r="G91" i="73" s="1"/>
  <c r="G92" i="73" s="1"/>
  <c r="G93" i="73" s="1"/>
  <c r="G94" i="73" s="1"/>
  <c r="G95" i="73" s="1"/>
  <c r="G96" i="73" s="1"/>
  <c r="G97" i="73" s="1"/>
  <c r="G98" i="73" s="1"/>
  <c r="G99" i="73" s="1"/>
  <c r="G100" i="73" s="1"/>
  <c r="G101" i="73" s="1"/>
  <c r="G102" i="73" s="1"/>
  <c r="G103" i="73" s="1"/>
  <c r="G104" i="73" s="1"/>
  <c r="G105" i="73" s="1"/>
  <c r="G106" i="73" s="1"/>
  <c r="G107" i="73" s="1"/>
  <c r="G108" i="73" s="1"/>
  <c r="G109" i="73" s="1"/>
  <c r="G110" i="73" s="1"/>
  <c r="G111" i="73" s="1"/>
  <c r="G112" i="73" s="1"/>
  <c r="G113" i="73" s="1"/>
  <c r="G114" i="73" s="1"/>
  <c r="G115" i="73" s="1"/>
  <c r="G116" i="73" s="1"/>
  <c r="G117" i="73" s="1"/>
  <c r="A4" i="73"/>
  <c r="F151" i="72"/>
  <c r="F150" i="72"/>
  <c r="F118" i="72"/>
  <c r="F61" i="33" s="1"/>
  <c r="E118" i="72"/>
  <c r="E61" i="33" s="1"/>
  <c r="A10" i="72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A79" i="72" s="1"/>
  <c r="A80" i="72" s="1"/>
  <c r="A81" i="72" s="1"/>
  <c r="A82" i="72" s="1"/>
  <c r="A83" i="72" s="1"/>
  <c r="A84" i="72" s="1"/>
  <c r="A85" i="72" s="1"/>
  <c r="A86" i="72" s="1"/>
  <c r="A87" i="72" s="1"/>
  <c r="A88" i="72" s="1"/>
  <c r="A89" i="72" s="1"/>
  <c r="A90" i="72" s="1"/>
  <c r="A91" i="72" s="1"/>
  <c r="A92" i="72" s="1"/>
  <c r="A93" i="72" s="1"/>
  <c r="A94" i="72" s="1"/>
  <c r="A95" i="72" s="1"/>
  <c r="A96" i="72" s="1"/>
  <c r="A97" i="72" s="1"/>
  <c r="A98" i="72" s="1"/>
  <c r="A99" i="72" s="1"/>
  <c r="A100" i="72" s="1"/>
  <c r="A101" i="72" s="1"/>
  <c r="A102" i="72" s="1"/>
  <c r="A103" i="72" s="1"/>
  <c r="A104" i="72" s="1"/>
  <c r="A105" i="72" s="1"/>
  <c r="A106" i="72" s="1"/>
  <c r="A107" i="72" s="1"/>
  <c r="A108" i="72" s="1"/>
  <c r="A109" i="72" s="1"/>
  <c r="A110" i="72" s="1"/>
  <c r="A111" i="72" s="1"/>
  <c r="A112" i="72" s="1"/>
  <c r="A113" i="72" s="1"/>
  <c r="A114" i="72" s="1"/>
  <c r="A115" i="72" s="1"/>
  <c r="A116" i="72" s="1"/>
  <c r="A117" i="72" s="1"/>
  <c r="G9" i="72"/>
  <c r="G10" i="72" s="1"/>
  <c r="G11" i="72" s="1"/>
  <c r="G12" i="72" s="1"/>
  <c r="G13" i="72" s="1"/>
  <c r="G14" i="72" s="1"/>
  <c r="G15" i="72" s="1"/>
  <c r="G16" i="72" s="1"/>
  <c r="G17" i="72" s="1"/>
  <c r="G18" i="72" s="1"/>
  <c r="G19" i="72" s="1"/>
  <c r="G20" i="72" s="1"/>
  <c r="G21" i="72" s="1"/>
  <c r="G22" i="72" s="1"/>
  <c r="G23" i="72" s="1"/>
  <c r="G24" i="72" s="1"/>
  <c r="G25" i="72" s="1"/>
  <c r="G26" i="72" s="1"/>
  <c r="G27" i="72" s="1"/>
  <c r="G28" i="72" s="1"/>
  <c r="G29" i="72" s="1"/>
  <c r="G30" i="72" s="1"/>
  <c r="G31" i="72" s="1"/>
  <c r="G32" i="72" s="1"/>
  <c r="G33" i="72" s="1"/>
  <c r="G34" i="72" s="1"/>
  <c r="G35" i="72" s="1"/>
  <c r="G36" i="72" s="1"/>
  <c r="G37" i="72" s="1"/>
  <c r="G38" i="72" s="1"/>
  <c r="G39" i="72" s="1"/>
  <c r="G40" i="72" s="1"/>
  <c r="G41" i="72" s="1"/>
  <c r="G42" i="72" s="1"/>
  <c r="G43" i="72" s="1"/>
  <c r="G44" i="72" s="1"/>
  <c r="G45" i="72" s="1"/>
  <c r="G46" i="72" s="1"/>
  <c r="G47" i="72" s="1"/>
  <c r="G48" i="72" s="1"/>
  <c r="G49" i="72" s="1"/>
  <c r="G50" i="72" s="1"/>
  <c r="G51" i="72" s="1"/>
  <c r="G52" i="72" s="1"/>
  <c r="G53" i="72" s="1"/>
  <c r="G54" i="72" s="1"/>
  <c r="G55" i="72" s="1"/>
  <c r="G56" i="72" s="1"/>
  <c r="G57" i="72" s="1"/>
  <c r="G58" i="72" s="1"/>
  <c r="G59" i="72" s="1"/>
  <c r="G60" i="72" s="1"/>
  <c r="G61" i="72" s="1"/>
  <c r="G62" i="72" s="1"/>
  <c r="G63" i="72" s="1"/>
  <c r="G64" i="72" s="1"/>
  <c r="G65" i="72" s="1"/>
  <c r="G66" i="72" s="1"/>
  <c r="G67" i="72" s="1"/>
  <c r="G68" i="72" s="1"/>
  <c r="G69" i="72" s="1"/>
  <c r="G70" i="72" s="1"/>
  <c r="G71" i="72" s="1"/>
  <c r="G72" i="72" s="1"/>
  <c r="G73" i="72" s="1"/>
  <c r="G74" i="72" s="1"/>
  <c r="G75" i="72" s="1"/>
  <c r="G76" i="72" s="1"/>
  <c r="G77" i="72" s="1"/>
  <c r="G78" i="72" s="1"/>
  <c r="G79" i="72" s="1"/>
  <c r="G80" i="72" s="1"/>
  <c r="G81" i="72" s="1"/>
  <c r="G82" i="72" s="1"/>
  <c r="G83" i="72" s="1"/>
  <c r="G84" i="72" s="1"/>
  <c r="G85" i="72" s="1"/>
  <c r="G86" i="72" s="1"/>
  <c r="G87" i="72" s="1"/>
  <c r="G88" i="72" s="1"/>
  <c r="G89" i="72" s="1"/>
  <c r="G90" i="72" s="1"/>
  <c r="G91" i="72" s="1"/>
  <c r="G92" i="72" s="1"/>
  <c r="G93" i="72" s="1"/>
  <c r="G94" i="72" s="1"/>
  <c r="G95" i="72" s="1"/>
  <c r="G96" i="72" s="1"/>
  <c r="G97" i="72" s="1"/>
  <c r="G98" i="72" s="1"/>
  <c r="G99" i="72" s="1"/>
  <c r="G100" i="72" s="1"/>
  <c r="G101" i="72" s="1"/>
  <c r="G102" i="72" s="1"/>
  <c r="G103" i="72" s="1"/>
  <c r="G104" i="72" s="1"/>
  <c r="G105" i="72" s="1"/>
  <c r="G106" i="72" s="1"/>
  <c r="G107" i="72" s="1"/>
  <c r="G108" i="72" s="1"/>
  <c r="G109" i="72" s="1"/>
  <c r="G110" i="72" s="1"/>
  <c r="G111" i="72" s="1"/>
  <c r="G112" i="72" s="1"/>
  <c r="G113" i="72" s="1"/>
  <c r="G114" i="72" s="1"/>
  <c r="G115" i="72" s="1"/>
  <c r="G116" i="72" s="1"/>
  <c r="G117" i="72" s="1"/>
  <c r="A4" i="72"/>
  <c r="F152" i="71"/>
  <c r="F151" i="71"/>
  <c r="F119" i="71"/>
  <c r="F59" i="33" s="1"/>
  <c r="E119" i="71"/>
  <c r="E59" i="33" s="1"/>
  <c r="G9" i="71"/>
  <c r="A4" i="71"/>
  <c r="F152" i="70"/>
  <c r="F151" i="70"/>
  <c r="F119" i="70"/>
  <c r="F57" i="33" s="1"/>
  <c r="E119" i="70"/>
  <c r="E57" i="33" s="1"/>
  <c r="A11" i="70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67" i="70" s="1"/>
  <c r="A68" i="70" s="1"/>
  <c r="A69" i="70" s="1"/>
  <c r="A70" i="70" s="1"/>
  <c r="A71" i="70" s="1"/>
  <c r="A72" i="70" s="1"/>
  <c r="A73" i="70" s="1"/>
  <c r="A74" i="70" s="1"/>
  <c r="A75" i="70" s="1"/>
  <c r="A76" i="70" s="1"/>
  <c r="A77" i="70" s="1"/>
  <c r="A78" i="70" s="1"/>
  <c r="A79" i="70" s="1"/>
  <c r="A80" i="70" s="1"/>
  <c r="A81" i="70" s="1"/>
  <c r="A82" i="70" s="1"/>
  <c r="A83" i="70" s="1"/>
  <c r="A84" i="70" s="1"/>
  <c r="A85" i="70" s="1"/>
  <c r="A86" i="70" s="1"/>
  <c r="A87" i="70" s="1"/>
  <c r="A88" i="70" s="1"/>
  <c r="A89" i="70" s="1"/>
  <c r="A90" i="70" s="1"/>
  <c r="A91" i="70" s="1"/>
  <c r="A92" i="70" s="1"/>
  <c r="A93" i="70" s="1"/>
  <c r="A94" i="70" s="1"/>
  <c r="A95" i="70" s="1"/>
  <c r="A96" i="70" s="1"/>
  <c r="A97" i="70" s="1"/>
  <c r="A98" i="70" s="1"/>
  <c r="A99" i="70" s="1"/>
  <c r="A100" i="70" s="1"/>
  <c r="A101" i="70" s="1"/>
  <c r="A102" i="70" s="1"/>
  <c r="A103" i="70" s="1"/>
  <c r="A104" i="70" s="1"/>
  <c r="A105" i="70" s="1"/>
  <c r="A106" i="70" s="1"/>
  <c r="A107" i="70" s="1"/>
  <c r="A108" i="70" s="1"/>
  <c r="A109" i="70" s="1"/>
  <c r="A110" i="70" s="1"/>
  <c r="A111" i="70" s="1"/>
  <c r="A112" i="70" s="1"/>
  <c r="A113" i="70" s="1"/>
  <c r="A114" i="70" s="1"/>
  <c r="A115" i="70" s="1"/>
  <c r="A116" i="70" s="1"/>
  <c r="A117" i="70" s="1"/>
  <c r="A118" i="70" s="1"/>
  <c r="G9" i="70"/>
  <c r="A4" i="70"/>
  <c r="F97" i="69"/>
  <c r="E97" i="69"/>
  <c r="A10" i="69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A58" i="69" s="1"/>
  <c r="A59" i="69" s="1"/>
  <c r="A60" i="69" s="1"/>
  <c r="A61" i="69" s="1"/>
  <c r="A62" i="69" s="1"/>
  <c r="A63" i="69" s="1"/>
  <c r="A64" i="69" s="1"/>
  <c r="A65" i="69" s="1"/>
  <c r="A66" i="69" s="1"/>
  <c r="A67" i="69" s="1"/>
  <c r="A68" i="69" s="1"/>
  <c r="A69" i="69" s="1"/>
  <c r="A70" i="69" s="1"/>
  <c r="A71" i="69" s="1"/>
  <c r="A72" i="69" s="1"/>
  <c r="A73" i="69" s="1"/>
  <c r="A74" i="69" s="1"/>
  <c r="A75" i="69" s="1"/>
  <c r="A76" i="69" s="1"/>
  <c r="A77" i="69" s="1"/>
  <c r="A78" i="69" s="1"/>
  <c r="A79" i="69" s="1"/>
  <c r="A80" i="69" s="1"/>
  <c r="A81" i="69" s="1"/>
  <c r="A82" i="69" s="1"/>
  <c r="A83" i="69" s="1"/>
  <c r="A84" i="69" s="1"/>
  <c r="A85" i="69" s="1"/>
  <c r="A86" i="69" s="1"/>
  <c r="A87" i="69" s="1"/>
  <c r="A88" i="69" s="1"/>
  <c r="A89" i="69" s="1"/>
  <c r="A90" i="69" s="1"/>
  <c r="A91" i="69" s="1"/>
  <c r="A92" i="69" s="1"/>
  <c r="A93" i="69" s="1"/>
  <c r="A94" i="69" s="1"/>
  <c r="A95" i="69" s="1"/>
  <c r="A96" i="69" s="1"/>
  <c r="A97" i="69" s="1"/>
  <c r="G9" i="69"/>
  <c r="G10" i="69" s="1"/>
  <c r="G11" i="69" s="1"/>
  <c r="G12" i="69" s="1"/>
  <c r="G13" i="69" s="1"/>
  <c r="G14" i="69" s="1"/>
  <c r="G15" i="69" s="1"/>
  <c r="G16" i="69" s="1"/>
  <c r="G17" i="69" s="1"/>
  <c r="G18" i="69" s="1"/>
  <c r="G19" i="69" s="1"/>
  <c r="G20" i="69" s="1"/>
  <c r="G21" i="69" s="1"/>
  <c r="G22" i="69" s="1"/>
  <c r="G23" i="69" s="1"/>
  <c r="G24" i="69" s="1"/>
  <c r="G25" i="69" s="1"/>
  <c r="G26" i="69" s="1"/>
  <c r="G27" i="69" s="1"/>
  <c r="G28" i="69" s="1"/>
  <c r="G29" i="69" s="1"/>
  <c r="G30" i="69" s="1"/>
  <c r="G31" i="69" s="1"/>
  <c r="G32" i="69" s="1"/>
  <c r="G33" i="69" s="1"/>
  <c r="G34" i="69" s="1"/>
  <c r="G35" i="69" s="1"/>
  <c r="G36" i="69" s="1"/>
  <c r="G37" i="69" s="1"/>
  <c r="G38" i="69" s="1"/>
  <c r="G39" i="69" s="1"/>
  <c r="G40" i="69" s="1"/>
  <c r="G41" i="69" s="1"/>
  <c r="G42" i="69" s="1"/>
  <c r="G43" i="69" s="1"/>
  <c r="G44" i="69" s="1"/>
  <c r="G45" i="69" s="1"/>
  <c r="G46" i="69" s="1"/>
  <c r="G47" i="69" s="1"/>
  <c r="G48" i="69" s="1"/>
  <c r="G49" i="69" s="1"/>
  <c r="G50" i="69" s="1"/>
  <c r="G51" i="69" s="1"/>
  <c r="G52" i="69" s="1"/>
  <c r="G53" i="69" s="1"/>
  <c r="G54" i="69" s="1"/>
  <c r="G55" i="69" s="1"/>
  <c r="G56" i="69" s="1"/>
  <c r="G57" i="69" s="1"/>
  <c r="G58" i="69" s="1"/>
  <c r="G59" i="69" s="1"/>
  <c r="G60" i="69" s="1"/>
  <c r="G61" i="69" s="1"/>
  <c r="G62" i="69" s="1"/>
  <c r="G63" i="69" s="1"/>
  <c r="G64" i="69" s="1"/>
  <c r="G65" i="69" s="1"/>
  <c r="G66" i="69" s="1"/>
  <c r="G67" i="69" s="1"/>
  <c r="G68" i="69" s="1"/>
  <c r="G69" i="69" s="1"/>
  <c r="G70" i="69" s="1"/>
  <c r="G71" i="69" s="1"/>
  <c r="G72" i="69" s="1"/>
  <c r="G73" i="69" s="1"/>
  <c r="G74" i="69" s="1"/>
  <c r="G75" i="69" s="1"/>
  <c r="G76" i="69" s="1"/>
  <c r="G77" i="69" s="1"/>
  <c r="G78" i="69" s="1"/>
  <c r="G79" i="69" s="1"/>
  <c r="G80" i="69" s="1"/>
  <c r="G81" i="69" s="1"/>
  <c r="G82" i="69" s="1"/>
  <c r="G83" i="69" s="1"/>
  <c r="G84" i="69" s="1"/>
  <c r="G85" i="69" s="1"/>
  <c r="G86" i="69" s="1"/>
  <c r="G87" i="69" s="1"/>
  <c r="G88" i="69" s="1"/>
  <c r="G89" i="69" s="1"/>
  <c r="G90" i="69" s="1"/>
  <c r="G91" i="69" s="1"/>
  <c r="G92" i="69" s="1"/>
  <c r="G93" i="69" s="1"/>
  <c r="G94" i="69" s="1"/>
  <c r="G95" i="69" s="1"/>
  <c r="G96" i="69" s="1"/>
  <c r="A4" i="69"/>
  <c r="G57" i="33" l="1"/>
  <c r="G64" i="33"/>
  <c r="G59" i="33"/>
  <c r="G10" i="71"/>
  <c r="G11" i="71" s="1"/>
  <c r="G12" i="71" s="1"/>
  <c r="G13" i="71" s="1"/>
  <c r="G14" i="71" s="1"/>
  <c r="G15" i="71" s="1"/>
  <c r="G16" i="71" s="1"/>
  <c r="G17" i="71" s="1"/>
  <c r="G18" i="71" s="1"/>
  <c r="G19" i="71" s="1"/>
  <c r="G20" i="71" s="1"/>
  <c r="G21" i="71" s="1"/>
  <c r="G22" i="71" s="1"/>
  <c r="G23" i="71" s="1"/>
  <c r="G24" i="71" s="1"/>
  <c r="G25" i="71" s="1"/>
  <c r="G26" i="71" s="1"/>
  <c r="G27" i="71" s="1"/>
  <c r="G28" i="71" s="1"/>
  <c r="G29" i="71" s="1"/>
  <c r="G30" i="71" s="1"/>
  <c r="G31" i="71" s="1"/>
  <c r="G32" i="71" s="1"/>
  <c r="G33" i="71" s="1"/>
  <c r="G34" i="71" s="1"/>
  <c r="G35" i="71" s="1"/>
  <c r="G36" i="71" s="1"/>
  <c r="G37" i="71" s="1"/>
  <c r="G38" i="71" s="1"/>
  <c r="G39" i="71" s="1"/>
  <c r="G40" i="71" s="1"/>
  <c r="G41" i="71" s="1"/>
  <c r="G42" i="71" s="1"/>
  <c r="G43" i="71" s="1"/>
  <c r="G44" i="71" s="1"/>
  <c r="G45" i="71" s="1"/>
  <c r="G46" i="71" s="1"/>
  <c r="G47" i="71" s="1"/>
  <c r="G48" i="71" s="1"/>
  <c r="G49" i="71" s="1"/>
  <c r="G50" i="71" s="1"/>
  <c r="G51" i="71" s="1"/>
  <c r="G52" i="71" s="1"/>
  <c r="G53" i="71" s="1"/>
  <c r="G54" i="71" s="1"/>
  <c r="G55" i="71" s="1"/>
  <c r="G56" i="71" s="1"/>
  <c r="G57" i="71" s="1"/>
  <c r="G58" i="71" s="1"/>
  <c r="G59" i="71" s="1"/>
  <c r="G60" i="71" s="1"/>
  <c r="G61" i="71" s="1"/>
  <c r="G62" i="71" s="1"/>
  <c r="G63" i="71" s="1"/>
  <c r="G64" i="71" s="1"/>
  <c r="G65" i="71" s="1"/>
  <c r="G66" i="71" s="1"/>
  <c r="G67" i="71" s="1"/>
  <c r="G68" i="71" s="1"/>
  <c r="G69" i="71" s="1"/>
  <c r="G70" i="71" s="1"/>
  <c r="G71" i="71" s="1"/>
  <c r="G72" i="71" s="1"/>
  <c r="G73" i="71" s="1"/>
  <c r="G74" i="71" s="1"/>
  <c r="G75" i="71" s="1"/>
  <c r="G76" i="71" s="1"/>
  <c r="G77" i="71" s="1"/>
  <c r="G78" i="71" s="1"/>
  <c r="G79" i="71" s="1"/>
  <c r="G80" i="71" s="1"/>
  <c r="G81" i="71" s="1"/>
  <c r="G82" i="71" s="1"/>
  <c r="G83" i="71" s="1"/>
  <c r="G84" i="71" s="1"/>
  <c r="G85" i="71" s="1"/>
  <c r="G86" i="71" s="1"/>
  <c r="G87" i="71" s="1"/>
  <c r="G88" i="71" s="1"/>
  <c r="G89" i="71" s="1"/>
  <c r="G90" i="71" s="1"/>
  <c r="G91" i="71" s="1"/>
  <c r="G92" i="71" s="1"/>
  <c r="G93" i="71" s="1"/>
  <c r="G94" i="71" s="1"/>
  <c r="G95" i="71" s="1"/>
  <c r="G96" i="71" s="1"/>
  <c r="G97" i="71" s="1"/>
  <c r="G98" i="71" s="1"/>
  <c r="G99" i="71" s="1"/>
  <c r="G100" i="71" s="1"/>
  <c r="G101" i="71" s="1"/>
  <c r="G102" i="71" s="1"/>
  <c r="G103" i="71" s="1"/>
  <c r="G104" i="71" s="1"/>
  <c r="G105" i="71" s="1"/>
  <c r="G106" i="71" s="1"/>
  <c r="G107" i="71" s="1"/>
  <c r="G108" i="71" s="1"/>
  <c r="G109" i="71" s="1"/>
  <c r="G110" i="71" s="1"/>
  <c r="G111" i="71" s="1"/>
  <c r="G112" i="71" s="1"/>
  <c r="G113" i="71" s="1"/>
  <c r="G114" i="71" s="1"/>
  <c r="G115" i="71" s="1"/>
  <c r="G116" i="71" s="1"/>
  <c r="G117" i="71" s="1"/>
  <c r="G118" i="71" s="1"/>
  <c r="G10" i="70"/>
  <c r="G11" i="70" s="1"/>
  <c r="G12" i="70" s="1"/>
  <c r="G13" i="70" s="1"/>
  <c r="G14" i="70" s="1"/>
  <c r="G15" i="70" s="1"/>
  <c r="G16" i="70" s="1"/>
  <c r="G17" i="70" s="1"/>
  <c r="G18" i="70" s="1"/>
  <c r="G19" i="70" s="1"/>
  <c r="G20" i="70" s="1"/>
  <c r="G21" i="70" s="1"/>
  <c r="G22" i="70" s="1"/>
  <c r="G23" i="70" s="1"/>
  <c r="G24" i="70" s="1"/>
  <c r="G25" i="70" s="1"/>
  <c r="G26" i="70" s="1"/>
  <c r="G27" i="70" s="1"/>
  <c r="G28" i="70" s="1"/>
  <c r="G29" i="70" s="1"/>
  <c r="G30" i="70" s="1"/>
  <c r="G31" i="70" s="1"/>
  <c r="G32" i="70" s="1"/>
  <c r="G33" i="70" s="1"/>
  <c r="G34" i="70" s="1"/>
  <c r="G35" i="70" s="1"/>
  <c r="G36" i="70" s="1"/>
  <c r="G37" i="70" s="1"/>
  <c r="G38" i="70" s="1"/>
  <c r="G39" i="70" s="1"/>
  <c r="G40" i="70" s="1"/>
  <c r="G41" i="70" s="1"/>
  <c r="G42" i="70" s="1"/>
  <c r="G43" i="70" s="1"/>
  <c r="G44" i="70" s="1"/>
  <c r="G45" i="70" s="1"/>
  <c r="G46" i="70" s="1"/>
  <c r="G47" i="70" s="1"/>
  <c r="G48" i="70" s="1"/>
  <c r="G49" i="70" s="1"/>
  <c r="G50" i="70" s="1"/>
  <c r="G51" i="70" s="1"/>
  <c r="G52" i="70" s="1"/>
  <c r="G53" i="70" s="1"/>
  <c r="G54" i="70" s="1"/>
  <c r="G55" i="70" s="1"/>
  <c r="G56" i="70" s="1"/>
  <c r="G57" i="70" s="1"/>
  <c r="G58" i="70" s="1"/>
  <c r="G59" i="70" s="1"/>
  <c r="G60" i="70" s="1"/>
  <c r="G61" i="70" s="1"/>
  <c r="G62" i="70" s="1"/>
  <c r="G63" i="70" s="1"/>
  <c r="G64" i="70" s="1"/>
  <c r="G65" i="70" s="1"/>
  <c r="G66" i="70" s="1"/>
  <c r="G67" i="70" s="1"/>
  <c r="G68" i="70" s="1"/>
  <c r="G69" i="70" s="1"/>
  <c r="G70" i="70" s="1"/>
  <c r="G71" i="70" s="1"/>
  <c r="G72" i="70" s="1"/>
  <c r="G73" i="70" s="1"/>
  <c r="G74" i="70" s="1"/>
  <c r="G75" i="70" s="1"/>
  <c r="G76" i="70" s="1"/>
  <c r="G77" i="70" s="1"/>
  <c r="G78" i="70" s="1"/>
  <c r="G79" i="70" s="1"/>
  <c r="G80" i="70" s="1"/>
  <c r="G81" i="70" s="1"/>
  <c r="G82" i="70" s="1"/>
  <c r="G83" i="70" s="1"/>
  <c r="G84" i="70" s="1"/>
  <c r="G85" i="70" s="1"/>
  <c r="G86" i="70" s="1"/>
  <c r="G87" i="70" s="1"/>
  <c r="G88" i="70" s="1"/>
  <c r="G89" i="70" s="1"/>
  <c r="G90" i="70" s="1"/>
  <c r="G91" i="70" s="1"/>
  <c r="G92" i="70" s="1"/>
  <c r="G93" i="70" s="1"/>
  <c r="G94" i="70" s="1"/>
  <c r="G95" i="70" s="1"/>
  <c r="G96" i="70" s="1"/>
  <c r="G97" i="70" s="1"/>
  <c r="G98" i="70" s="1"/>
  <c r="G99" i="70" s="1"/>
  <c r="G100" i="70" s="1"/>
  <c r="G101" i="70" s="1"/>
  <c r="G102" i="70" s="1"/>
  <c r="G103" i="70" s="1"/>
  <c r="G104" i="70" s="1"/>
  <c r="G105" i="70" s="1"/>
  <c r="G106" i="70" s="1"/>
  <c r="G107" i="70" s="1"/>
  <c r="G108" i="70" s="1"/>
  <c r="G109" i="70" s="1"/>
  <c r="G110" i="70" s="1"/>
  <c r="G111" i="70" s="1"/>
  <c r="G112" i="70" s="1"/>
  <c r="G113" i="70" s="1"/>
  <c r="G114" i="70" s="1"/>
  <c r="G115" i="70" s="1"/>
  <c r="G116" i="70" s="1"/>
  <c r="G117" i="70" s="1"/>
  <c r="G118" i="70" s="1"/>
  <c r="G61" i="33"/>
  <c r="G118" i="75"/>
  <c r="E62" i="33"/>
  <c r="G62" i="33" s="1"/>
  <c r="G63" i="33"/>
  <c r="G97" i="76"/>
  <c r="G97" i="69"/>
  <c r="G118" i="73"/>
  <c r="G119" i="74"/>
  <c r="G118" i="72"/>
  <c r="G119" i="71"/>
  <c r="G119" i="70"/>
  <c r="E108" i="68" l="1"/>
  <c r="P20" i="68"/>
  <c r="F108" i="68"/>
  <c r="F76" i="33" s="1"/>
  <c r="G76" i="33" s="1"/>
  <c r="L11" i="68"/>
  <c r="A10" i="68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4" i="68" s="1"/>
  <c r="A65" i="68" s="1"/>
  <c r="A66" i="68" s="1"/>
  <c r="A67" i="68" s="1"/>
  <c r="A68" i="68" s="1"/>
  <c r="A69" i="68" s="1"/>
  <c r="A70" i="68" s="1"/>
  <c r="A71" i="68" s="1"/>
  <c r="A72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A88" i="68" s="1"/>
  <c r="A89" i="68" s="1"/>
  <c r="A90" i="68" s="1"/>
  <c r="A91" i="68" s="1"/>
  <c r="A92" i="68" s="1"/>
  <c r="A93" i="68" s="1"/>
  <c r="A105" i="68" s="1"/>
  <c r="A106" i="68" s="1"/>
  <c r="A107" i="68" s="1"/>
  <c r="G9" i="68"/>
  <c r="G10" i="68" s="1"/>
  <c r="G11" i="68" s="1"/>
  <c r="G12" i="68" s="1"/>
  <c r="G13" i="68" s="1"/>
  <c r="G14" i="68" s="1"/>
  <c r="G15" i="68" s="1"/>
  <c r="G16" i="68" s="1"/>
  <c r="G17" i="68" s="1"/>
  <c r="G18" i="68" s="1"/>
  <c r="G19" i="68" s="1"/>
  <c r="G20" i="68" s="1"/>
  <c r="G21" i="68" s="1"/>
  <c r="G22" i="68" s="1"/>
  <c r="G23" i="68" s="1"/>
  <c r="G24" i="68" s="1"/>
  <c r="G25" i="68" s="1"/>
  <c r="G26" i="68" s="1"/>
  <c r="G27" i="68" s="1"/>
  <c r="G28" i="68" s="1"/>
  <c r="G29" i="68" s="1"/>
  <c r="G30" i="68" s="1"/>
  <c r="G31" i="68" s="1"/>
  <c r="G32" i="68" s="1"/>
  <c r="G33" i="68" s="1"/>
  <c r="G34" i="68" s="1"/>
  <c r="G35" i="68" s="1"/>
  <c r="G36" i="68" s="1"/>
  <c r="G37" i="68" s="1"/>
  <c r="G38" i="68" s="1"/>
  <c r="G39" i="68" s="1"/>
  <c r="G40" i="68" s="1"/>
  <c r="G41" i="68" s="1"/>
  <c r="G42" i="68" s="1"/>
  <c r="G43" i="68" s="1"/>
  <c r="G44" i="68" s="1"/>
  <c r="G45" i="68" s="1"/>
  <c r="G46" i="68" s="1"/>
  <c r="G47" i="68" s="1"/>
  <c r="G48" i="68" s="1"/>
  <c r="G49" i="68" s="1"/>
  <c r="G50" i="68" s="1"/>
  <c r="G51" i="68" s="1"/>
  <c r="G52" i="68" s="1"/>
  <c r="G53" i="68" s="1"/>
  <c r="G54" i="68" s="1"/>
  <c r="G55" i="68" s="1"/>
  <c r="G56" i="68" s="1"/>
  <c r="G57" i="68" s="1"/>
  <c r="G58" i="68" s="1"/>
  <c r="G59" i="68" s="1"/>
  <c r="G60" i="68" s="1"/>
  <c r="G61" i="68" s="1"/>
  <c r="G62" i="68" s="1"/>
  <c r="G63" i="68" s="1"/>
  <c r="G64" i="68" s="1"/>
  <c r="G65" i="68" s="1"/>
  <c r="G66" i="68" s="1"/>
  <c r="G67" i="68" s="1"/>
  <c r="G68" i="68" s="1"/>
  <c r="G69" i="68" s="1"/>
  <c r="G70" i="68" s="1"/>
  <c r="G71" i="68" s="1"/>
  <c r="G72" i="68" s="1"/>
  <c r="G73" i="68" s="1"/>
  <c r="G74" i="68" s="1"/>
  <c r="G75" i="68" s="1"/>
  <c r="G76" i="68" s="1"/>
  <c r="G77" i="68" s="1"/>
  <c r="G78" i="68" s="1"/>
  <c r="G79" i="68" s="1"/>
  <c r="G80" i="68" s="1"/>
  <c r="G81" i="68" s="1"/>
  <c r="G82" i="68" s="1"/>
  <c r="G83" i="68" s="1"/>
  <c r="G84" i="68" s="1"/>
  <c r="G85" i="68" s="1"/>
  <c r="G86" i="68" s="1"/>
  <c r="G87" i="68" s="1"/>
  <c r="G88" i="68" s="1"/>
  <c r="G89" i="68" s="1"/>
  <c r="G90" i="68" s="1"/>
  <c r="G91" i="68" s="1"/>
  <c r="G92" i="68" s="1"/>
  <c r="G93" i="68" s="1"/>
  <c r="G94" i="68" s="1"/>
  <c r="G95" i="68" s="1"/>
  <c r="G96" i="68" s="1"/>
  <c r="G97" i="68" s="1"/>
  <c r="G98" i="68" s="1"/>
  <c r="G99" i="68" s="1"/>
  <c r="G100" i="68" s="1"/>
  <c r="G101" i="68" s="1"/>
  <c r="G102" i="68" s="1"/>
  <c r="G103" i="68" s="1"/>
  <c r="G104" i="68" s="1"/>
  <c r="G105" i="68" s="1"/>
  <c r="G106" i="68" s="1"/>
  <c r="G107" i="68" s="1"/>
  <c r="A4" i="68"/>
  <c r="G9" i="66"/>
  <c r="G10" i="66" s="1"/>
  <c r="G11" i="66" s="1"/>
  <c r="G12" i="66" s="1"/>
  <c r="G13" i="66" s="1"/>
  <c r="G14" i="66" s="1"/>
  <c r="G15" i="66" s="1"/>
  <c r="G16" i="66" s="1"/>
  <c r="G17" i="66" s="1"/>
  <c r="G18" i="66" s="1"/>
  <c r="G19" i="66" s="1"/>
  <c r="G20" i="66" s="1"/>
  <c r="G21" i="66" s="1"/>
  <c r="G22" i="66" s="1"/>
  <c r="G23" i="66" s="1"/>
  <c r="G24" i="66" s="1"/>
  <c r="G25" i="66" s="1"/>
  <c r="G26" i="66" s="1"/>
  <c r="G27" i="66" s="1"/>
  <c r="G28" i="66" s="1"/>
  <c r="G29" i="66" s="1"/>
  <c r="G30" i="66" s="1"/>
  <c r="G31" i="66" s="1"/>
  <c r="G32" i="66" s="1"/>
  <c r="G33" i="66" s="1"/>
  <c r="G34" i="66" s="1"/>
  <c r="G35" i="66" s="1"/>
  <c r="G36" i="66" s="1"/>
  <c r="G37" i="66" s="1"/>
  <c r="G38" i="66" s="1"/>
  <c r="G39" i="66" s="1"/>
  <c r="G40" i="66" s="1"/>
  <c r="G41" i="66" s="1"/>
  <c r="G42" i="66" s="1"/>
  <c r="G43" i="66" s="1"/>
  <c r="G44" i="66" s="1"/>
  <c r="G45" i="66" s="1"/>
  <c r="G46" i="66" s="1"/>
  <c r="G47" i="66" s="1"/>
  <c r="G48" i="66" s="1"/>
  <c r="G49" i="66" s="1"/>
  <c r="G50" i="66" s="1"/>
  <c r="G51" i="66" s="1"/>
  <c r="G52" i="66" s="1"/>
  <c r="G53" i="66" s="1"/>
  <c r="G54" i="66" s="1"/>
  <c r="G55" i="66" s="1"/>
  <c r="G56" i="66" s="1"/>
  <c r="G57" i="66" s="1"/>
  <c r="G58" i="66" s="1"/>
  <c r="G59" i="66" s="1"/>
  <c r="G60" i="66" s="1"/>
  <c r="G61" i="66" s="1"/>
  <c r="G62" i="66" s="1"/>
  <c r="G63" i="66" s="1"/>
  <c r="G64" i="66" s="1"/>
  <c r="G65" i="66" s="1"/>
  <c r="G66" i="66" s="1"/>
  <c r="G67" i="66" s="1"/>
  <c r="G68" i="66" s="1"/>
  <c r="G69" i="66" s="1"/>
  <c r="G70" i="66" s="1"/>
  <c r="G71" i="66" s="1"/>
  <c r="G72" i="66" s="1"/>
  <c r="G73" i="66" s="1"/>
  <c r="G74" i="66" s="1"/>
  <c r="G75" i="66" s="1"/>
  <c r="G76" i="66" s="1"/>
  <c r="G77" i="66" s="1"/>
  <c r="G78" i="66" s="1"/>
  <c r="G79" i="66" s="1"/>
  <c r="G80" i="66" s="1"/>
  <c r="G81" i="66" s="1"/>
  <c r="G82" i="66" s="1"/>
  <c r="G83" i="66" s="1"/>
  <c r="G84" i="66" s="1"/>
  <c r="G85" i="66" s="1"/>
  <c r="G86" i="66" s="1"/>
  <c r="G87" i="66" s="1"/>
  <c r="G88" i="66" s="1"/>
  <c r="G89" i="66" s="1"/>
  <c r="G90" i="66" s="1"/>
  <c r="G91" i="66" s="1"/>
  <c r="G92" i="66" s="1"/>
  <c r="G93" i="66" s="1"/>
  <c r="G94" i="66" s="1"/>
  <c r="G95" i="66" s="1"/>
  <c r="G96" i="66" s="1"/>
  <c r="G97" i="66" s="1"/>
  <c r="G98" i="66" s="1"/>
  <c r="G99" i="66" s="1"/>
  <c r="G100" i="66" s="1"/>
  <c r="G101" i="66" s="1"/>
  <c r="G102" i="66" s="1"/>
  <c r="G103" i="66" s="1"/>
  <c r="G104" i="66" s="1"/>
  <c r="G105" i="66" s="1"/>
  <c r="G106" i="66" s="1"/>
  <c r="G107" i="66" s="1"/>
  <c r="P20" i="66"/>
  <c r="F108" i="66"/>
  <c r="F77" i="33" s="1"/>
  <c r="G77" i="33" s="1"/>
  <c r="L11" i="66"/>
  <c r="A10" i="66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A58" i="66" s="1"/>
  <c r="A59" i="66" s="1"/>
  <c r="A60" i="66" s="1"/>
  <c r="A61" i="66" s="1"/>
  <c r="A62" i="66" s="1"/>
  <c r="A63" i="66" s="1"/>
  <c r="A64" i="66" s="1"/>
  <c r="A65" i="66" s="1"/>
  <c r="A66" i="66" s="1"/>
  <c r="A67" i="66" s="1"/>
  <c r="A68" i="66" s="1"/>
  <c r="A69" i="66" s="1"/>
  <c r="A70" i="66" s="1"/>
  <c r="A71" i="66" s="1"/>
  <c r="A72" i="66" s="1"/>
  <c r="A73" i="66" s="1"/>
  <c r="A74" i="66" s="1"/>
  <c r="A75" i="66" s="1"/>
  <c r="A76" i="66" s="1"/>
  <c r="A77" i="66" s="1"/>
  <c r="A78" i="66" s="1"/>
  <c r="A79" i="66" s="1"/>
  <c r="A80" i="66" s="1"/>
  <c r="A81" i="66" s="1"/>
  <c r="A82" i="66" s="1"/>
  <c r="A83" i="66" s="1"/>
  <c r="A84" i="66" s="1"/>
  <c r="A85" i="66" s="1"/>
  <c r="A86" i="66" s="1"/>
  <c r="A87" i="66" s="1"/>
  <c r="A88" i="66" s="1"/>
  <c r="A89" i="66" s="1"/>
  <c r="A90" i="66" s="1"/>
  <c r="A91" i="66" s="1"/>
  <c r="A92" i="66" s="1"/>
  <c r="A93" i="66" s="1"/>
  <c r="A105" i="66" s="1"/>
  <c r="A106" i="66" s="1"/>
  <c r="A107" i="66" s="1"/>
  <c r="A4" i="66"/>
  <c r="A10" i="65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A67" i="65" s="1"/>
  <c r="A68" i="65" s="1"/>
  <c r="A69" i="65" s="1"/>
  <c r="A70" i="65" s="1"/>
  <c r="A71" i="65" s="1"/>
  <c r="A72" i="65" s="1"/>
  <c r="A73" i="65" s="1"/>
  <c r="A74" i="65" s="1"/>
  <c r="A75" i="65" s="1"/>
  <c r="A76" i="65" s="1"/>
  <c r="A77" i="65" s="1"/>
  <c r="A78" i="65" s="1"/>
  <c r="A79" i="65" s="1"/>
  <c r="A80" i="65" s="1"/>
  <c r="A81" i="65" s="1"/>
  <c r="A82" i="65" s="1"/>
  <c r="A83" i="65" s="1"/>
  <c r="A84" i="65" s="1"/>
  <c r="A85" i="65" s="1"/>
  <c r="A86" i="65" s="1"/>
  <c r="A87" i="65" s="1"/>
  <c r="A88" i="65" s="1"/>
  <c r="A89" i="65" s="1"/>
  <c r="A90" i="65" s="1"/>
  <c r="A91" i="65" s="1"/>
  <c r="A92" i="65" s="1"/>
  <c r="A93" i="65" s="1"/>
  <c r="A94" i="65" s="1"/>
  <c r="A95" i="65" s="1"/>
  <c r="A96" i="65" s="1"/>
  <c r="A97" i="65" s="1"/>
  <c r="F97" i="65"/>
  <c r="E97" i="65"/>
  <c r="G97" i="65" s="1"/>
  <c r="A4" i="65"/>
  <c r="F113" i="64"/>
  <c r="F37" i="33" s="1"/>
  <c r="E113" i="64"/>
  <c r="E37" i="33" s="1"/>
  <c r="A10" i="64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73" i="64" s="1"/>
  <c r="A74" i="64" s="1"/>
  <c r="A75" i="64" s="1"/>
  <c r="A76" i="64" s="1"/>
  <c r="A77" i="64" s="1"/>
  <c r="A78" i="64" s="1"/>
  <c r="A79" i="64" s="1"/>
  <c r="A80" i="64" s="1"/>
  <c r="A81" i="64" s="1"/>
  <c r="A82" i="64" s="1"/>
  <c r="A83" i="64" s="1"/>
  <c r="A84" i="64" s="1"/>
  <c r="A85" i="64" s="1"/>
  <c r="A86" i="64" s="1"/>
  <c r="A87" i="64" s="1"/>
  <c r="A88" i="64" s="1"/>
  <c r="A89" i="64" s="1"/>
  <c r="A90" i="64" s="1"/>
  <c r="A91" i="64" s="1"/>
  <c r="A92" i="64" s="1"/>
  <c r="A93" i="64" s="1"/>
  <c r="A94" i="64" s="1"/>
  <c r="A95" i="64" s="1"/>
  <c r="A96" i="64" s="1"/>
  <c r="A97" i="64" s="1"/>
  <c r="A98" i="64" s="1"/>
  <c r="A99" i="64" s="1"/>
  <c r="A100" i="64" s="1"/>
  <c r="A101" i="64" s="1"/>
  <c r="A102" i="64" s="1"/>
  <c r="A103" i="64" s="1"/>
  <c r="A104" i="64" s="1"/>
  <c r="A105" i="64" s="1"/>
  <c r="A106" i="64" s="1"/>
  <c r="A107" i="64" s="1"/>
  <c r="A108" i="64" s="1"/>
  <c r="A109" i="64" s="1"/>
  <c r="A110" i="64" s="1"/>
  <c r="A111" i="64" s="1"/>
  <c r="A112" i="64" s="1"/>
  <c r="G9" i="64"/>
  <c r="G10" i="64" s="1"/>
  <c r="G11" i="64" s="1"/>
  <c r="G12" i="64" s="1"/>
  <c r="G13" i="64" s="1"/>
  <c r="G14" i="64" s="1"/>
  <c r="G15" i="64" s="1"/>
  <c r="G16" i="64" s="1"/>
  <c r="G17" i="64" s="1"/>
  <c r="G18" i="64" s="1"/>
  <c r="G19" i="64" s="1"/>
  <c r="G20" i="64" s="1"/>
  <c r="G21" i="64" s="1"/>
  <c r="G22" i="64" s="1"/>
  <c r="G23" i="64" s="1"/>
  <c r="G24" i="64" s="1"/>
  <c r="G25" i="64" s="1"/>
  <c r="G26" i="64" s="1"/>
  <c r="G27" i="64" s="1"/>
  <c r="G28" i="64" s="1"/>
  <c r="G29" i="64" s="1"/>
  <c r="G30" i="64" s="1"/>
  <c r="G31" i="64" s="1"/>
  <c r="G32" i="64" s="1"/>
  <c r="G33" i="64" s="1"/>
  <c r="G34" i="64" s="1"/>
  <c r="G35" i="64" s="1"/>
  <c r="G36" i="64" s="1"/>
  <c r="G37" i="64" s="1"/>
  <c r="G38" i="64" s="1"/>
  <c r="G39" i="64" s="1"/>
  <c r="G40" i="64" s="1"/>
  <c r="G41" i="64" s="1"/>
  <c r="G42" i="64" s="1"/>
  <c r="G43" i="64" s="1"/>
  <c r="G44" i="64" s="1"/>
  <c r="G45" i="64" s="1"/>
  <c r="G46" i="64" s="1"/>
  <c r="G47" i="64" s="1"/>
  <c r="G48" i="64" s="1"/>
  <c r="G49" i="64" s="1"/>
  <c r="G50" i="64" s="1"/>
  <c r="G51" i="64" s="1"/>
  <c r="G52" i="64" s="1"/>
  <c r="G53" i="64" s="1"/>
  <c r="G54" i="64" s="1"/>
  <c r="G55" i="64" s="1"/>
  <c r="G56" i="64" s="1"/>
  <c r="G57" i="64" s="1"/>
  <c r="G58" i="64" s="1"/>
  <c r="G59" i="64" s="1"/>
  <c r="G60" i="64" s="1"/>
  <c r="G61" i="64" s="1"/>
  <c r="G62" i="64" s="1"/>
  <c r="G63" i="64" s="1"/>
  <c r="G64" i="64" s="1"/>
  <c r="G65" i="64" s="1"/>
  <c r="G66" i="64" s="1"/>
  <c r="G67" i="64" s="1"/>
  <c r="G68" i="64" s="1"/>
  <c r="G69" i="64" s="1"/>
  <c r="G70" i="64" s="1"/>
  <c r="G71" i="64" s="1"/>
  <c r="G72" i="64" s="1"/>
  <c r="G73" i="64" s="1"/>
  <c r="G74" i="64" s="1"/>
  <c r="G75" i="64" s="1"/>
  <c r="G76" i="64" s="1"/>
  <c r="G77" i="64" s="1"/>
  <c r="G78" i="64" s="1"/>
  <c r="G79" i="64" s="1"/>
  <c r="G80" i="64" s="1"/>
  <c r="G81" i="64" s="1"/>
  <c r="G82" i="64" s="1"/>
  <c r="G83" i="64" s="1"/>
  <c r="G84" i="64" s="1"/>
  <c r="G85" i="64" s="1"/>
  <c r="G86" i="64" s="1"/>
  <c r="G87" i="64" s="1"/>
  <c r="G88" i="64" s="1"/>
  <c r="G89" i="64" s="1"/>
  <c r="G90" i="64" s="1"/>
  <c r="G91" i="64" s="1"/>
  <c r="G92" i="64" s="1"/>
  <c r="G93" i="64" s="1"/>
  <c r="G94" i="64" s="1"/>
  <c r="G95" i="64" s="1"/>
  <c r="G96" i="64" s="1"/>
  <c r="G97" i="64" s="1"/>
  <c r="G98" i="64" s="1"/>
  <c r="G99" i="64" s="1"/>
  <c r="G100" i="64" s="1"/>
  <c r="G101" i="64" s="1"/>
  <c r="G102" i="64" s="1"/>
  <c r="G103" i="64" s="1"/>
  <c r="G104" i="64" s="1"/>
  <c r="G105" i="64" s="1"/>
  <c r="G106" i="64" s="1"/>
  <c r="G107" i="64" s="1"/>
  <c r="G108" i="64" s="1"/>
  <c r="G109" i="64" s="1"/>
  <c r="G110" i="64" s="1"/>
  <c r="G111" i="64" s="1"/>
  <c r="G112" i="64" s="1"/>
  <c r="A4" i="64"/>
  <c r="F113" i="63"/>
  <c r="F36" i="33" s="1"/>
  <c r="E113" i="63"/>
  <c r="E36" i="33" s="1"/>
  <c r="A10" i="63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A81" i="63" s="1"/>
  <c r="A82" i="63" s="1"/>
  <c r="A83" i="63" s="1"/>
  <c r="A84" i="63" s="1"/>
  <c r="A85" i="63" s="1"/>
  <c r="A86" i="63" s="1"/>
  <c r="A87" i="63" s="1"/>
  <c r="A88" i="63" s="1"/>
  <c r="A89" i="63" s="1"/>
  <c r="A90" i="63" s="1"/>
  <c r="A91" i="63" s="1"/>
  <c r="A92" i="63" s="1"/>
  <c r="A93" i="63" s="1"/>
  <c r="A94" i="63" s="1"/>
  <c r="A95" i="63" s="1"/>
  <c r="A96" i="63" s="1"/>
  <c r="A97" i="63" s="1"/>
  <c r="A98" i="63" s="1"/>
  <c r="A99" i="63" s="1"/>
  <c r="A100" i="63" s="1"/>
  <c r="A101" i="63" s="1"/>
  <c r="A102" i="63" s="1"/>
  <c r="A103" i="63" s="1"/>
  <c r="A104" i="63" s="1"/>
  <c r="A105" i="63" s="1"/>
  <c r="A106" i="63" s="1"/>
  <c r="A107" i="63" s="1"/>
  <c r="A108" i="63" s="1"/>
  <c r="A109" i="63" s="1"/>
  <c r="A110" i="63" s="1"/>
  <c r="A111" i="63" s="1"/>
  <c r="A112" i="63" s="1"/>
  <c r="G9" i="63"/>
  <c r="G10" i="63" s="1"/>
  <c r="G11" i="63" s="1"/>
  <c r="G12" i="63" s="1"/>
  <c r="G13" i="63" s="1"/>
  <c r="G14" i="63" s="1"/>
  <c r="G15" i="63" s="1"/>
  <c r="G16" i="63" s="1"/>
  <c r="G17" i="63" s="1"/>
  <c r="G18" i="63" s="1"/>
  <c r="G19" i="63" s="1"/>
  <c r="G20" i="63" s="1"/>
  <c r="G21" i="63" s="1"/>
  <c r="G22" i="63" s="1"/>
  <c r="G23" i="63" s="1"/>
  <c r="G24" i="63" s="1"/>
  <c r="G25" i="63" s="1"/>
  <c r="G26" i="63" s="1"/>
  <c r="G27" i="63" s="1"/>
  <c r="G28" i="63" s="1"/>
  <c r="G29" i="63" s="1"/>
  <c r="G30" i="63" s="1"/>
  <c r="G31" i="63" s="1"/>
  <c r="G32" i="63" s="1"/>
  <c r="G33" i="63" s="1"/>
  <c r="G34" i="63" s="1"/>
  <c r="G35" i="63" s="1"/>
  <c r="G36" i="63" s="1"/>
  <c r="G37" i="63" s="1"/>
  <c r="G38" i="63" s="1"/>
  <c r="G39" i="63" s="1"/>
  <c r="G40" i="63" s="1"/>
  <c r="G41" i="63" s="1"/>
  <c r="G42" i="63" s="1"/>
  <c r="G43" i="63" s="1"/>
  <c r="G44" i="63" s="1"/>
  <c r="G45" i="63" s="1"/>
  <c r="G46" i="63" s="1"/>
  <c r="G47" i="63" s="1"/>
  <c r="G48" i="63" s="1"/>
  <c r="G49" i="63" s="1"/>
  <c r="G50" i="63" s="1"/>
  <c r="G51" i="63" s="1"/>
  <c r="G52" i="63" s="1"/>
  <c r="G53" i="63" s="1"/>
  <c r="G54" i="63" s="1"/>
  <c r="G55" i="63" s="1"/>
  <c r="G56" i="63" s="1"/>
  <c r="G57" i="63" s="1"/>
  <c r="G58" i="63" s="1"/>
  <c r="G59" i="63" s="1"/>
  <c r="G60" i="63" s="1"/>
  <c r="G61" i="63" s="1"/>
  <c r="G62" i="63" s="1"/>
  <c r="G63" i="63" s="1"/>
  <c r="G64" i="63" s="1"/>
  <c r="G65" i="63" s="1"/>
  <c r="G66" i="63" s="1"/>
  <c r="G67" i="63" s="1"/>
  <c r="G68" i="63" s="1"/>
  <c r="G69" i="63" s="1"/>
  <c r="G70" i="63" s="1"/>
  <c r="G71" i="63" s="1"/>
  <c r="G72" i="63" s="1"/>
  <c r="G73" i="63" s="1"/>
  <c r="G74" i="63" s="1"/>
  <c r="G75" i="63" s="1"/>
  <c r="G76" i="63" s="1"/>
  <c r="G77" i="63" s="1"/>
  <c r="G78" i="63" s="1"/>
  <c r="G79" i="63" s="1"/>
  <c r="G80" i="63" s="1"/>
  <c r="G81" i="63" s="1"/>
  <c r="G82" i="63" s="1"/>
  <c r="G83" i="63" s="1"/>
  <c r="G84" i="63" s="1"/>
  <c r="G85" i="63" s="1"/>
  <c r="G86" i="63" s="1"/>
  <c r="G87" i="63" s="1"/>
  <c r="G88" i="63" s="1"/>
  <c r="G89" i="63" s="1"/>
  <c r="G90" i="63" s="1"/>
  <c r="G91" i="63" s="1"/>
  <c r="G92" i="63" s="1"/>
  <c r="G93" i="63" s="1"/>
  <c r="G94" i="63" s="1"/>
  <c r="G95" i="63" s="1"/>
  <c r="G96" i="63" s="1"/>
  <c r="G97" i="63" s="1"/>
  <c r="G98" i="63" s="1"/>
  <c r="G99" i="63" s="1"/>
  <c r="G100" i="63" s="1"/>
  <c r="G101" i="63" s="1"/>
  <c r="G102" i="63" s="1"/>
  <c r="G103" i="63" s="1"/>
  <c r="G104" i="63" s="1"/>
  <c r="G105" i="63" s="1"/>
  <c r="G106" i="63" s="1"/>
  <c r="G107" i="63" s="1"/>
  <c r="G108" i="63" s="1"/>
  <c r="G109" i="63" s="1"/>
  <c r="G110" i="63" s="1"/>
  <c r="G111" i="63" s="1"/>
  <c r="G112" i="63" s="1"/>
  <c r="A4" i="63"/>
  <c r="F113" i="62"/>
  <c r="F34" i="33" s="1"/>
  <c r="E113" i="62"/>
  <c r="E34" i="33" s="1"/>
  <c r="A10" i="62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G9" i="62"/>
  <c r="G10" i="62" s="1"/>
  <c r="G11" i="62" s="1"/>
  <c r="G12" i="62" s="1"/>
  <c r="G13" i="62" s="1"/>
  <c r="G14" i="62" s="1"/>
  <c r="G15" i="62" s="1"/>
  <c r="G16" i="62" s="1"/>
  <c r="G17" i="62" s="1"/>
  <c r="A4" i="62"/>
  <c r="F113" i="61"/>
  <c r="F33" i="33" s="1"/>
  <c r="E113" i="61"/>
  <c r="E33" i="33" s="1"/>
  <c r="A10" i="6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A84" i="61" s="1"/>
  <c r="A85" i="61" s="1"/>
  <c r="A86" i="61" s="1"/>
  <c r="A87" i="61" s="1"/>
  <c r="A88" i="61" s="1"/>
  <c r="A89" i="61" s="1"/>
  <c r="A90" i="61" s="1"/>
  <c r="A91" i="61" s="1"/>
  <c r="A92" i="61" s="1"/>
  <c r="A93" i="61" s="1"/>
  <c r="A94" i="61" s="1"/>
  <c r="A95" i="61" s="1"/>
  <c r="A96" i="61" s="1"/>
  <c r="A97" i="61" s="1"/>
  <c r="A98" i="61" s="1"/>
  <c r="A99" i="61" s="1"/>
  <c r="A100" i="61" s="1"/>
  <c r="A101" i="61" s="1"/>
  <c r="A102" i="61" s="1"/>
  <c r="A103" i="61" s="1"/>
  <c r="A104" i="61" s="1"/>
  <c r="A105" i="61" s="1"/>
  <c r="A106" i="61" s="1"/>
  <c r="A107" i="61" s="1"/>
  <c r="A108" i="61" s="1"/>
  <c r="A109" i="61" s="1"/>
  <c r="A110" i="61" s="1"/>
  <c r="A111" i="61" s="1"/>
  <c r="A112" i="61" s="1"/>
  <c r="G9" i="61"/>
  <c r="G10" i="61" s="1"/>
  <c r="G11" i="61" s="1"/>
  <c r="G12" i="61" s="1"/>
  <c r="G13" i="61" s="1"/>
  <c r="G14" i="61" s="1"/>
  <c r="G15" i="61" s="1"/>
  <c r="G16" i="61" s="1"/>
  <c r="G17" i="61" s="1"/>
  <c r="G18" i="61" s="1"/>
  <c r="G19" i="61" s="1"/>
  <c r="G20" i="61" s="1"/>
  <c r="G21" i="61" s="1"/>
  <c r="G22" i="61" s="1"/>
  <c r="G23" i="61" s="1"/>
  <c r="G24" i="61" s="1"/>
  <c r="G25" i="61" s="1"/>
  <c r="G26" i="61" s="1"/>
  <c r="G27" i="61" s="1"/>
  <c r="G28" i="61" s="1"/>
  <c r="G29" i="61" s="1"/>
  <c r="G30" i="61" s="1"/>
  <c r="G31" i="61" s="1"/>
  <c r="G32" i="61" s="1"/>
  <c r="G33" i="61" s="1"/>
  <c r="G34" i="61" s="1"/>
  <c r="G35" i="61" s="1"/>
  <c r="G36" i="61" s="1"/>
  <c r="G37" i="61" s="1"/>
  <c r="G38" i="61" s="1"/>
  <c r="G39" i="61" s="1"/>
  <c r="G40" i="61" s="1"/>
  <c r="G41" i="61" s="1"/>
  <c r="G42" i="61" s="1"/>
  <c r="G43" i="61" s="1"/>
  <c r="G44" i="61" s="1"/>
  <c r="G45" i="61" s="1"/>
  <c r="G46" i="61" s="1"/>
  <c r="G47" i="61" s="1"/>
  <c r="G48" i="61" s="1"/>
  <c r="G49" i="61" s="1"/>
  <c r="G50" i="61" s="1"/>
  <c r="G51" i="61" s="1"/>
  <c r="G52" i="61" s="1"/>
  <c r="G53" i="61" s="1"/>
  <c r="G54" i="61" s="1"/>
  <c r="G55" i="61" s="1"/>
  <c r="G56" i="61" s="1"/>
  <c r="G57" i="61" s="1"/>
  <c r="G58" i="61" s="1"/>
  <c r="G59" i="61" s="1"/>
  <c r="G60" i="61" s="1"/>
  <c r="G61" i="61" s="1"/>
  <c r="G62" i="61" s="1"/>
  <c r="G63" i="61" s="1"/>
  <c r="G64" i="61" s="1"/>
  <c r="G65" i="61" s="1"/>
  <c r="G66" i="61" s="1"/>
  <c r="G67" i="61" s="1"/>
  <c r="G68" i="61" s="1"/>
  <c r="G69" i="61" s="1"/>
  <c r="G70" i="61" s="1"/>
  <c r="G71" i="61" s="1"/>
  <c r="G72" i="61" s="1"/>
  <c r="G73" i="61" s="1"/>
  <c r="G74" i="61" s="1"/>
  <c r="G75" i="61" s="1"/>
  <c r="G76" i="61" s="1"/>
  <c r="G77" i="61" s="1"/>
  <c r="G78" i="61" s="1"/>
  <c r="G79" i="61" s="1"/>
  <c r="G80" i="61" s="1"/>
  <c r="G81" i="61" s="1"/>
  <c r="G82" i="61" s="1"/>
  <c r="G83" i="61" s="1"/>
  <c r="G84" i="61" s="1"/>
  <c r="G85" i="61" s="1"/>
  <c r="G86" i="61" s="1"/>
  <c r="G87" i="61" s="1"/>
  <c r="G88" i="61" s="1"/>
  <c r="G89" i="61" s="1"/>
  <c r="G90" i="61" s="1"/>
  <c r="G91" i="61" s="1"/>
  <c r="G92" i="61" s="1"/>
  <c r="G93" i="61" s="1"/>
  <c r="G94" i="61" s="1"/>
  <c r="G95" i="61" s="1"/>
  <c r="G96" i="61" s="1"/>
  <c r="G97" i="61" s="1"/>
  <c r="G98" i="61" s="1"/>
  <c r="G99" i="61" s="1"/>
  <c r="G100" i="61" s="1"/>
  <c r="G101" i="61" s="1"/>
  <c r="G102" i="61" s="1"/>
  <c r="G103" i="61" s="1"/>
  <c r="G104" i="61" s="1"/>
  <c r="G105" i="61" s="1"/>
  <c r="G106" i="61" s="1"/>
  <c r="G107" i="61" s="1"/>
  <c r="G108" i="61" s="1"/>
  <c r="G109" i="61" s="1"/>
  <c r="G110" i="61" s="1"/>
  <c r="G111" i="61" s="1"/>
  <c r="G112" i="61" s="1"/>
  <c r="A4" i="61"/>
  <c r="F114" i="60"/>
  <c r="F32" i="33" s="1"/>
  <c r="E114" i="60"/>
  <c r="E32" i="33" s="1"/>
  <c r="A10" i="60"/>
  <c r="A11" i="60" s="1"/>
  <c r="A12" i="60" s="1"/>
  <c r="A13" i="60" s="1"/>
  <c r="A14" i="60" s="1"/>
  <c r="G9" i="60"/>
  <c r="G10" i="60" s="1"/>
  <c r="G11" i="60" s="1"/>
  <c r="G12" i="60" s="1"/>
  <c r="G13" i="60" s="1"/>
  <c r="G14" i="60" s="1"/>
  <c r="A4" i="60"/>
  <c r="J110" i="59"/>
  <c r="F110" i="59"/>
  <c r="F82" i="33" s="1"/>
  <c r="E110" i="59"/>
  <c r="E82" i="33" s="1"/>
  <c r="A10" i="59"/>
  <c r="A11" i="59" s="1"/>
  <c r="A12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G9" i="59"/>
  <c r="G10" i="59" s="1"/>
  <c r="G11" i="59" s="1"/>
  <c r="G12" i="59" s="1"/>
  <c r="G13" i="59" s="1"/>
  <c r="G14" i="59" s="1"/>
  <c r="G15" i="59" s="1"/>
  <c r="G16" i="59" s="1"/>
  <c r="G17" i="59" s="1"/>
  <c r="G18" i="59" s="1"/>
  <c r="G19" i="59" s="1"/>
  <c r="G20" i="59" s="1"/>
  <c r="G21" i="59" s="1"/>
  <c r="G22" i="59" s="1"/>
  <c r="G23" i="59" s="1"/>
  <c r="G24" i="59" s="1"/>
  <c r="G25" i="59" s="1"/>
  <c r="G26" i="59" s="1"/>
  <c r="G27" i="59" s="1"/>
  <c r="G28" i="59" s="1"/>
  <c r="G29" i="59" s="1"/>
  <c r="G30" i="59" s="1"/>
  <c r="G31" i="59" s="1"/>
  <c r="G32" i="59" s="1"/>
  <c r="G33" i="59" s="1"/>
  <c r="G34" i="59" s="1"/>
  <c r="G35" i="59" s="1"/>
  <c r="G36" i="59" s="1"/>
  <c r="G37" i="59" s="1"/>
  <c r="G38" i="59" s="1"/>
  <c r="G39" i="59" s="1"/>
  <c r="G40" i="59" s="1"/>
  <c r="G41" i="59" s="1"/>
  <c r="G42" i="59" s="1"/>
  <c r="G43" i="59" s="1"/>
  <c r="G44" i="59" s="1"/>
  <c r="G45" i="59" s="1"/>
  <c r="G46" i="59" s="1"/>
  <c r="G47" i="59" s="1"/>
  <c r="G48" i="59" s="1"/>
  <c r="G49" i="59" s="1"/>
  <c r="G50" i="59" s="1"/>
  <c r="G51" i="59" s="1"/>
  <c r="G52" i="59" s="1"/>
  <c r="G53" i="59" s="1"/>
  <c r="G54" i="59" s="1"/>
  <c r="G55" i="59" s="1"/>
  <c r="G56" i="59" s="1"/>
  <c r="G57" i="59" s="1"/>
  <c r="G58" i="59" s="1"/>
  <c r="G59" i="59" s="1"/>
  <c r="G60" i="59" s="1"/>
  <c r="G61" i="59" s="1"/>
  <c r="G62" i="59" s="1"/>
  <c r="G63" i="59" s="1"/>
  <c r="G64" i="59" s="1"/>
  <c r="G65" i="59" s="1"/>
  <c r="G66" i="59" s="1"/>
  <c r="G67" i="59" s="1"/>
  <c r="G68" i="59" s="1"/>
  <c r="G69" i="59" s="1"/>
  <c r="G70" i="59" s="1"/>
  <c r="G71" i="59" s="1"/>
  <c r="G72" i="59" s="1"/>
  <c r="G73" i="59" s="1"/>
  <c r="G74" i="59" s="1"/>
  <c r="G75" i="59" s="1"/>
  <c r="G76" i="59" s="1"/>
  <c r="G77" i="59" s="1"/>
  <c r="G78" i="59" s="1"/>
  <c r="G79" i="59" s="1"/>
  <c r="G80" i="59" s="1"/>
  <c r="G81" i="59" s="1"/>
  <c r="G82" i="59" s="1"/>
  <c r="G83" i="59" s="1"/>
  <c r="G84" i="59" s="1"/>
  <c r="G85" i="59" s="1"/>
  <c r="G86" i="59" s="1"/>
  <c r="G87" i="59" s="1"/>
  <c r="G88" i="59" s="1"/>
  <c r="G89" i="59" s="1"/>
  <c r="G90" i="59" s="1"/>
  <c r="G91" i="59" s="1"/>
  <c r="G92" i="59" s="1"/>
  <c r="G93" i="59" s="1"/>
  <c r="G94" i="59" s="1"/>
  <c r="G95" i="59" s="1"/>
  <c r="G96" i="59" s="1"/>
  <c r="G97" i="59" s="1"/>
  <c r="G98" i="59" s="1"/>
  <c r="G99" i="59" s="1"/>
  <c r="G100" i="59" s="1"/>
  <c r="G101" i="59" s="1"/>
  <c r="G102" i="59" s="1"/>
  <c r="G103" i="59" s="1"/>
  <c r="G104" i="59" s="1"/>
  <c r="G105" i="59" s="1"/>
  <c r="G106" i="59" s="1"/>
  <c r="G107" i="59" s="1"/>
  <c r="G108" i="59" s="1"/>
  <c r="G109" i="59" s="1"/>
  <c r="A4" i="59"/>
  <c r="F155" i="58"/>
  <c r="F43" i="33" s="1"/>
  <c r="E155" i="58"/>
  <c r="E43" i="33" s="1"/>
  <c r="G9" i="58"/>
  <c r="G10" i="58" s="1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G39" i="58" s="1"/>
  <c r="G40" i="58" s="1"/>
  <c r="G41" i="58" s="1"/>
  <c r="G42" i="58" s="1"/>
  <c r="G43" i="58" s="1"/>
  <c r="G44" i="58" s="1"/>
  <c r="G45" i="58" s="1"/>
  <c r="G46" i="58" s="1"/>
  <c r="G47" i="58" s="1"/>
  <c r="G48" i="58" s="1"/>
  <c r="G49" i="58" s="1"/>
  <c r="G50" i="58" s="1"/>
  <c r="G51" i="58" s="1"/>
  <c r="G52" i="58" s="1"/>
  <c r="G53" i="58" s="1"/>
  <c r="G54" i="58" s="1"/>
  <c r="G55" i="58" s="1"/>
  <c r="G56" i="58" s="1"/>
  <c r="G57" i="58" s="1"/>
  <c r="G58" i="58" s="1"/>
  <c r="G59" i="58" s="1"/>
  <c r="G60" i="58" s="1"/>
  <c r="G61" i="58" s="1"/>
  <c r="G62" i="58" s="1"/>
  <c r="G63" i="58" s="1"/>
  <c r="G64" i="58" s="1"/>
  <c r="G65" i="58" s="1"/>
  <c r="G66" i="58" s="1"/>
  <c r="G67" i="58" s="1"/>
  <c r="G68" i="58" s="1"/>
  <c r="G69" i="58" s="1"/>
  <c r="G70" i="58" s="1"/>
  <c r="G71" i="58" s="1"/>
  <c r="G72" i="58" s="1"/>
  <c r="G73" i="58" s="1"/>
  <c r="G74" i="58" s="1"/>
  <c r="G75" i="58" s="1"/>
  <c r="G76" i="58" s="1"/>
  <c r="G77" i="58" s="1"/>
  <c r="G78" i="58" s="1"/>
  <c r="G79" i="58" s="1"/>
  <c r="G80" i="58" s="1"/>
  <c r="G81" i="58" s="1"/>
  <c r="G82" i="58" s="1"/>
  <c r="G84" i="58" s="1"/>
  <c r="G85" i="58" s="1"/>
  <c r="G86" i="58" s="1"/>
  <c r="G87" i="58" s="1"/>
  <c r="G88" i="58" s="1"/>
  <c r="G89" i="58" s="1"/>
  <c r="G90" i="58" s="1"/>
  <c r="G91" i="58" s="1"/>
  <c r="G92" i="58" s="1"/>
  <c r="G93" i="58" s="1"/>
  <c r="G94" i="58" s="1"/>
  <c r="G95" i="58" s="1"/>
  <c r="G96" i="58" s="1"/>
  <c r="G97" i="58" s="1"/>
  <c r="G98" i="58" s="1"/>
  <c r="G99" i="58" s="1"/>
  <c r="G100" i="58" s="1"/>
  <c r="G101" i="58" s="1"/>
  <c r="G102" i="58" s="1"/>
  <c r="G103" i="58" s="1"/>
  <c r="G104" i="58" s="1"/>
  <c r="G105" i="58" s="1"/>
  <c r="G106" i="58" s="1"/>
  <c r="G107" i="58" s="1"/>
  <c r="G108" i="58" s="1"/>
  <c r="G109" i="58" s="1"/>
  <c r="G110" i="58" s="1"/>
  <c r="G111" i="58" s="1"/>
  <c r="G112" i="58" s="1"/>
  <c r="G113" i="58" s="1"/>
  <c r="G114" i="58" s="1"/>
  <c r="G115" i="58" s="1"/>
  <c r="G116" i="58" s="1"/>
  <c r="G117" i="58" s="1"/>
  <c r="G118" i="58" s="1"/>
  <c r="G119" i="58" s="1"/>
  <c r="G120" i="58" s="1"/>
  <c r="G121" i="58" s="1"/>
  <c r="G122" i="58" s="1"/>
  <c r="G123" i="58" s="1"/>
  <c r="G124" i="58" s="1"/>
  <c r="G125" i="58" s="1"/>
  <c r="G126" i="58" s="1"/>
  <c r="G127" i="58" s="1"/>
  <c r="G128" i="58" s="1"/>
  <c r="G129" i="58" s="1"/>
  <c r="G130" i="58" s="1"/>
  <c r="G131" i="58" s="1"/>
  <c r="G132" i="58" s="1"/>
  <c r="G133" i="58" s="1"/>
  <c r="G134" i="58" s="1"/>
  <c r="G135" i="58" s="1"/>
  <c r="G136" i="58" s="1"/>
  <c r="G137" i="58" s="1"/>
  <c r="G138" i="58" s="1"/>
  <c r="G139" i="58" s="1"/>
  <c r="G140" i="58" s="1"/>
  <c r="G141" i="58" s="1"/>
  <c r="G142" i="58" s="1"/>
  <c r="G143" i="58" s="1"/>
  <c r="G144" i="58" s="1"/>
  <c r="G145" i="58" s="1"/>
  <c r="G146" i="58" s="1"/>
  <c r="G147" i="58" s="1"/>
  <c r="G148" i="58" s="1"/>
  <c r="G149" i="58" s="1"/>
  <c r="G150" i="58" s="1"/>
  <c r="G151" i="58" s="1"/>
  <c r="G152" i="58" s="1"/>
  <c r="G153" i="58" s="1"/>
  <c r="G154" i="58" s="1"/>
  <c r="A4" i="58"/>
  <c r="F153" i="57"/>
  <c r="F42" i="33" s="1"/>
  <c r="E153" i="57"/>
  <c r="E42" i="33" s="1"/>
  <c r="G9" i="57"/>
  <c r="G10" i="57" s="1"/>
  <c r="G11" i="57" s="1"/>
  <c r="G12" i="57" s="1"/>
  <c r="G13" i="57" s="1"/>
  <c r="G14" i="57" s="1"/>
  <c r="G15" i="57" s="1"/>
  <c r="G16" i="57" s="1"/>
  <c r="G17" i="57" s="1"/>
  <c r="G18" i="57" s="1"/>
  <c r="G19" i="57" s="1"/>
  <c r="G20" i="57" s="1"/>
  <c r="G21" i="57" s="1"/>
  <c r="G22" i="57" s="1"/>
  <c r="G23" i="57" s="1"/>
  <c r="G24" i="57" s="1"/>
  <c r="G25" i="57" s="1"/>
  <c r="G26" i="57" s="1"/>
  <c r="G27" i="57" s="1"/>
  <c r="G28" i="57" s="1"/>
  <c r="G29" i="57" s="1"/>
  <c r="G30" i="57" s="1"/>
  <c r="G31" i="57" s="1"/>
  <c r="G32" i="57" s="1"/>
  <c r="G33" i="57" s="1"/>
  <c r="G34" i="57" s="1"/>
  <c r="G35" i="57" s="1"/>
  <c r="G36" i="57" s="1"/>
  <c r="G37" i="57" s="1"/>
  <c r="G38" i="57" s="1"/>
  <c r="G39" i="57" s="1"/>
  <c r="G40" i="57" s="1"/>
  <c r="G41" i="57" s="1"/>
  <c r="G42" i="57" s="1"/>
  <c r="G43" i="57" s="1"/>
  <c r="G44" i="57" s="1"/>
  <c r="G45" i="57" s="1"/>
  <c r="G46" i="57" s="1"/>
  <c r="G47" i="57" s="1"/>
  <c r="G48" i="57" s="1"/>
  <c r="G49" i="57" s="1"/>
  <c r="G50" i="57" s="1"/>
  <c r="G51" i="57" s="1"/>
  <c r="G52" i="57" s="1"/>
  <c r="G53" i="57" s="1"/>
  <c r="G54" i="57" s="1"/>
  <c r="G55" i="57" s="1"/>
  <c r="G56" i="57" s="1"/>
  <c r="G57" i="57" s="1"/>
  <c r="G58" i="57" s="1"/>
  <c r="G59" i="57" s="1"/>
  <c r="G60" i="57" s="1"/>
  <c r="G61" i="57" s="1"/>
  <c r="G62" i="57" s="1"/>
  <c r="G63" i="57" s="1"/>
  <c r="G64" i="57" s="1"/>
  <c r="G65" i="57" s="1"/>
  <c r="G66" i="57" s="1"/>
  <c r="G67" i="57" s="1"/>
  <c r="G68" i="57" s="1"/>
  <c r="G69" i="57" s="1"/>
  <c r="G70" i="57" s="1"/>
  <c r="G71" i="57" s="1"/>
  <c r="G72" i="57" s="1"/>
  <c r="G73" i="57" s="1"/>
  <c r="G74" i="57" s="1"/>
  <c r="G75" i="57" s="1"/>
  <c r="G76" i="57" s="1"/>
  <c r="G77" i="57" s="1"/>
  <c r="G78" i="57" s="1"/>
  <c r="G79" i="57" s="1"/>
  <c r="G80" i="57" s="1"/>
  <c r="G81" i="57" s="1"/>
  <c r="G82" i="57" s="1"/>
  <c r="G83" i="57" s="1"/>
  <c r="G84" i="57" s="1"/>
  <c r="G85" i="57" s="1"/>
  <c r="G86" i="57" s="1"/>
  <c r="G87" i="57" s="1"/>
  <c r="G88" i="57" s="1"/>
  <c r="G89" i="57" s="1"/>
  <c r="G90" i="57" s="1"/>
  <c r="G91" i="57" s="1"/>
  <c r="G92" i="57" s="1"/>
  <c r="G93" i="57" s="1"/>
  <c r="G94" i="57" s="1"/>
  <c r="G95" i="57" s="1"/>
  <c r="G96" i="57" s="1"/>
  <c r="G97" i="57" s="1"/>
  <c r="G98" i="57" s="1"/>
  <c r="G99" i="57" s="1"/>
  <c r="G100" i="57" s="1"/>
  <c r="G101" i="57" s="1"/>
  <c r="G102" i="57" s="1"/>
  <c r="G103" i="57" s="1"/>
  <c r="G104" i="57" s="1"/>
  <c r="G105" i="57" s="1"/>
  <c r="G106" i="57" s="1"/>
  <c r="G107" i="57" s="1"/>
  <c r="G108" i="57" s="1"/>
  <c r="G109" i="57" s="1"/>
  <c r="G110" i="57" s="1"/>
  <c r="G111" i="57" s="1"/>
  <c r="G112" i="57" s="1"/>
  <c r="G113" i="57" s="1"/>
  <c r="G114" i="57" s="1"/>
  <c r="G115" i="57" s="1"/>
  <c r="G116" i="57" s="1"/>
  <c r="G117" i="57" s="1"/>
  <c r="G118" i="57" s="1"/>
  <c r="G119" i="57" s="1"/>
  <c r="G120" i="57" s="1"/>
  <c r="G121" i="57" s="1"/>
  <c r="G122" i="57" s="1"/>
  <c r="G123" i="57" s="1"/>
  <c r="G124" i="57" s="1"/>
  <c r="G125" i="57" s="1"/>
  <c r="G126" i="57" s="1"/>
  <c r="G127" i="57" s="1"/>
  <c r="G128" i="57" s="1"/>
  <c r="G129" i="57" s="1"/>
  <c r="G130" i="57" s="1"/>
  <c r="G131" i="57" s="1"/>
  <c r="G132" i="57" s="1"/>
  <c r="G133" i="57" s="1"/>
  <c r="G134" i="57" s="1"/>
  <c r="G135" i="57" s="1"/>
  <c r="G136" i="57" s="1"/>
  <c r="G137" i="57" s="1"/>
  <c r="G138" i="57" s="1"/>
  <c r="G139" i="57" s="1"/>
  <c r="G140" i="57" s="1"/>
  <c r="G141" i="57" s="1"/>
  <c r="G142" i="57" s="1"/>
  <c r="G143" i="57" s="1"/>
  <c r="G144" i="57" s="1"/>
  <c r="G145" i="57" s="1"/>
  <c r="G146" i="57" s="1"/>
  <c r="G147" i="57" s="1"/>
  <c r="G148" i="57" s="1"/>
  <c r="G149" i="57" s="1"/>
  <c r="G150" i="57" s="1"/>
  <c r="G151" i="57" s="1"/>
  <c r="G152" i="57" s="1"/>
  <c r="A4" i="57"/>
  <c r="F154" i="56"/>
  <c r="F40" i="33" s="1"/>
  <c r="E154" i="56"/>
  <c r="E40" i="33" s="1"/>
  <c r="G9" i="56"/>
  <c r="G10" i="56" s="1"/>
  <c r="G11" i="56" s="1"/>
  <c r="G12" i="56" s="1"/>
  <c r="G13" i="56" s="1"/>
  <c r="G14" i="56" s="1"/>
  <c r="G15" i="56" s="1"/>
  <c r="G16" i="56" s="1"/>
  <c r="G17" i="56" s="1"/>
  <c r="G18" i="56" s="1"/>
  <c r="G19" i="56" s="1"/>
  <c r="G20" i="56" s="1"/>
  <c r="G21" i="56" s="1"/>
  <c r="G22" i="56" s="1"/>
  <c r="G23" i="56" s="1"/>
  <c r="G24" i="56" s="1"/>
  <c r="G25" i="56" s="1"/>
  <c r="G26" i="56" s="1"/>
  <c r="G27" i="56" s="1"/>
  <c r="G28" i="56" s="1"/>
  <c r="G29" i="56" s="1"/>
  <c r="G30" i="56" s="1"/>
  <c r="G31" i="56" s="1"/>
  <c r="G32" i="56" s="1"/>
  <c r="G33" i="56" s="1"/>
  <c r="G34" i="56" s="1"/>
  <c r="G35" i="56" s="1"/>
  <c r="G36" i="56" s="1"/>
  <c r="G37" i="56" s="1"/>
  <c r="G38" i="56" s="1"/>
  <c r="G39" i="56" s="1"/>
  <c r="G40" i="56" s="1"/>
  <c r="G41" i="56" s="1"/>
  <c r="G42" i="56" s="1"/>
  <c r="G43" i="56" s="1"/>
  <c r="G44" i="56" s="1"/>
  <c r="G45" i="56" s="1"/>
  <c r="G46" i="56" s="1"/>
  <c r="G47" i="56" s="1"/>
  <c r="G48" i="56" s="1"/>
  <c r="G49" i="56" s="1"/>
  <c r="G50" i="56" s="1"/>
  <c r="G51" i="56" s="1"/>
  <c r="G52" i="56" s="1"/>
  <c r="G53" i="56" s="1"/>
  <c r="G54" i="56" s="1"/>
  <c r="G55" i="56" s="1"/>
  <c r="G56" i="56" s="1"/>
  <c r="G57" i="56" s="1"/>
  <c r="G58" i="56" s="1"/>
  <c r="G59" i="56" s="1"/>
  <c r="G60" i="56" s="1"/>
  <c r="G61" i="56" s="1"/>
  <c r="G62" i="56" s="1"/>
  <c r="G63" i="56" s="1"/>
  <c r="G64" i="56" s="1"/>
  <c r="G65" i="56" s="1"/>
  <c r="G66" i="56" s="1"/>
  <c r="G67" i="56" s="1"/>
  <c r="G68" i="56" s="1"/>
  <c r="G69" i="56" s="1"/>
  <c r="G70" i="56" s="1"/>
  <c r="G71" i="56" s="1"/>
  <c r="G72" i="56" s="1"/>
  <c r="G73" i="56" s="1"/>
  <c r="G74" i="56" s="1"/>
  <c r="G75" i="56" s="1"/>
  <c r="G76" i="56" s="1"/>
  <c r="G77" i="56" s="1"/>
  <c r="G78" i="56" s="1"/>
  <c r="G79" i="56" s="1"/>
  <c r="G80" i="56" s="1"/>
  <c r="G81" i="56" s="1"/>
  <c r="G82" i="56" s="1"/>
  <c r="G83" i="56" s="1"/>
  <c r="G84" i="56" s="1"/>
  <c r="G85" i="56" s="1"/>
  <c r="G86" i="56" s="1"/>
  <c r="G87" i="56" s="1"/>
  <c r="G88" i="56" s="1"/>
  <c r="G89" i="56" s="1"/>
  <c r="G90" i="56" s="1"/>
  <c r="G91" i="56" s="1"/>
  <c r="G92" i="56" s="1"/>
  <c r="G93" i="56" s="1"/>
  <c r="G94" i="56" s="1"/>
  <c r="G95" i="56" s="1"/>
  <c r="G96" i="56" s="1"/>
  <c r="G97" i="56" s="1"/>
  <c r="G98" i="56" s="1"/>
  <c r="G99" i="56" s="1"/>
  <c r="G100" i="56" s="1"/>
  <c r="G101" i="56" s="1"/>
  <c r="G102" i="56" s="1"/>
  <c r="G103" i="56" s="1"/>
  <c r="G104" i="56" s="1"/>
  <c r="G105" i="56" s="1"/>
  <c r="G106" i="56" s="1"/>
  <c r="G107" i="56" s="1"/>
  <c r="G108" i="56" s="1"/>
  <c r="G109" i="56" s="1"/>
  <c r="G110" i="56" s="1"/>
  <c r="G111" i="56" s="1"/>
  <c r="G112" i="56" s="1"/>
  <c r="G113" i="56" s="1"/>
  <c r="G114" i="56" s="1"/>
  <c r="G115" i="56" s="1"/>
  <c r="G116" i="56" s="1"/>
  <c r="G117" i="56" s="1"/>
  <c r="G118" i="56" s="1"/>
  <c r="G119" i="56" s="1"/>
  <c r="G120" i="56" s="1"/>
  <c r="G121" i="56" s="1"/>
  <c r="G122" i="56" s="1"/>
  <c r="G123" i="56" s="1"/>
  <c r="G124" i="56" s="1"/>
  <c r="G125" i="56" s="1"/>
  <c r="G126" i="56" s="1"/>
  <c r="G127" i="56" s="1"/>
  <c r="G128" i="56" s="1"/>
  <c r="G129" i="56" s="1"/>
  <c r="G130" i="56" s="1"/>
  <c r="G131" i="56" s="1"/>
  <c r="G132" i="56" s="1"/>
  <c r="G133" i="56" s="1"/>
  <c r="G134" i="56" s="1"/>
  <c r="G135" i="56" s="1"/>
  <c r="G136" i="56" s="1"/>
  <c r="G137" i="56" s="1"/>
  <c r="G138" i="56" s="1"/>
  <c r="G139" i="56" s="1"/>
  <c r="G140" i="56" s="1"/>
  <c r="G141" i="56" s="1"/>
  <c r="G142" i="56" s="1"/>
  <c r="G143" i="56" s="1"/>
  <c r="G144" i="56" s="1"/>
  <c r="G145" i="56" s="1"/>
  <c r="G146" i="56" s="1"/>
  <c r="G147" i="56" s="1"/>
  <c r="G148" i="56" s="1"/>
  <c r="G149" i="56" s="1"/>
  <c r="G150" i="56" s="1"/>
  <c r="G151" i="56" s="1"/>
  <c r="G152" i="56" s="1"/>
  <c r="G153" i="56" s="1"/>
  <c r="A4" i="56"/>
  <c r="F153" i="55"/>
  <c r="F39" i="33" s="1"/>
  <c r="E153" i="55"/>
  <c r="E39" i="33" s="1"/>
  <c r="G9" i="55"/>
  <c r="G10" i="55" s="1"/>
  <c r="G11" i="55" s="1"/>
  <c r="G12" i="55" s="1"/>
  <c r="G13" i="55" s="1"/>
  <c r="G14" i="55" s="1"/>
  <c r="G15" i="55" s="1"/>
  <c r="G16" i="55" s="1"/>
  <c r="G17" i="55" s="1"/>
  <c r="G18" i="55" s="1"/>
  <c r="G19" i="55" s="1"/>
  <c r="G20" i="55" s="1"/>
  <c r="G21" i="55" s="1"/>
  <c r="G22" i="55" s="1"/>
  <c r="G23" i="55" s="1"/>
  <c r="G24" i="55" s="1"/>
  <c r="G25" i="55" s="1"/>
  <c r="G26" i="55" s="1"/>
  <c r="G27" i="55" s="1"/>
  <c r="G28" i="55" s="1"/>
  <c r="G29" i="55" s="1"/>
  <c r="G30" i="55" s="1"/>
  <c r="G31" i="55" s="1"/>
  <c r="G32" i="55" s="1"/>
  <c r="G33" i="55" s="1"/>
  <c r="G34" i="55" s="1"/>
  <c r="G35" i="55" s="1"/>
  <c r="G36" i="55" s="1"/>
  <c r="G37" i="55" s="1"/>
  <c r="G38" i="55" s="1"/>
  <c r="G39" i="55" s="1"/>
  <c r="G40" i="55" s="1"/>
  <c r="G41" i="55" s="1"/>
  <c r="G42" i="55" s="1"/>
  <c r="G43" i="55" s="1"/>
  <c r="G44" i="55" s="1"/>
  <c r="G45" i="55" s="1"/>
  <c r="G46" i="55" s="1"/>
  <c r="G47" i="55" s="1"/>
  <c r="G48" i="55" s="1"/>
  <c r="A4" i="55"/>
  <c r="F61" i="54"/>
  <c r="F29" i="33" s="1"/>
  <c r="E61" i="54"/>
  <c r="E29" i="33" s="1"/>
  <c r="K16" i="54"/>
  <c r="K14" i="54"/>
  <c r="A10" i="54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G9" i="54"/>
  <c r="G10" i="54" s="1"/>
  <c r="G11" i="54" s="1"/>
  <c r="G12" i="54" s="1"/>
  <c r="G13" i="54" s="1"/>
  <c r="G14" i="54" s="1"/>
  <c r="G15" i="54" s="1"/>
  <c r="G16" i="54" s="1"/>
  <c r="G17" i="54" s="1"/>
  <c r="G18" i="54" s="1"/>
  <c r="G19" i="54" s="1"/>
  <c r="G20" i="54" s="1"/>
  <c r="G21" i="54" s="1"/>
  <c r="G22" i="54" s="1"/>
  <c r="G23" i="54" s="1"/>
  <c r="G24" i="54" s="1"/>
  <c r="G25" i="54" s="1"/>
  <c r="G26" i="54" s="1"/>
  <c r="A4" i="54"/>
  <c r="F56" i="53"/>
  <c r="F28" i="33" s="1"/>
  <c r="E56" i="53"/>
  <c r="E28" i="33" s="1"/>
  <c r="K16" i="53"/>
  <c r="K14" i="53"/>
  <c r="A10" i="53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53" i="53" s="1"/>
  <c r="A54" i="53" s="1"/>
  <c r="A55" i="53" s="1"/>
  <c r="G9" i="53"/>
  <c r="G10" i="53" s="1"/>
  <c r="G11" i="53" s="1"/>
  <c r="G12" i="53" s="1"/>
  <c r="G13" i="53" s="1"/>
  <c r="G14" i="53" s="1"/>
  <c r="G15" i="53" s="1"/>
  <c r="G16" i="53" s="1"/>
  <c r="G17" i="53" s="1"/>
  <c r="G18" i="53" s="1"/>
  <c r="G19" i="53" s="1"/>
  <c r="G20" i="53" s="1"/>
  <c r="G21" i="53" s="1"/>
  <c r="G22" i="53" s="1"/>
  <c r="G23" i="53" s="1"/>
  <c r="G24" i="53" s="1"/>
  <c r="G25" i="53" s="1"/>
  <c r="G26" i="53" s="1"/>
  <c r="G27" i="53" s="1"/>
  <c r="G28" i="53" s="1"/>
  <c r="G29" i="53" s="1"/>
  <c r="G30" i="53" s="1"/>
  <c r="G31" i="53" s="1"/>
  <c r="G32" i="53" s="1"/>
  <c r="G33" i="53" s="1"/>
  <c r="G34" i="53" s="1"/>
  <c r="G35" i="53" s="1"/>
  <c r="G36" i="53" s="1"/>
  <c r="G37" i="53" s="1"/>
  <c r="A4" i="53"/>
  <c r="D49" i="33"/>
  <c r="D30" i="33"/>
  <c r="D27" i="33"/>
  <c r="D26" i="33"/>
  <c r="D25" i="33"/>
  <c r="M10" i="50"/>
  <c r="L10" i="42"/>
  <c r="K9" i="52"/>
  <c r="F113" i="52"/>
  <c r="F30" i="33" s="1"/>
  <c r="E113" i="52"/>
  <c r="E30" i="33" s="1"/>
  <c r="A10" i="52"/>
  <c r="A11" i="52" s="1"/>
  <c r="A12" i="52" s="1"/>
  <c r="A13" i="52" s="1"/>
  <c r="A14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G9" i="52"/>
  <c r="G10" i="52" s="1"/>
  <c r="G11" i="52" s="1"/>
  <c r="G12" i="52" s="1"/>
  <c r="G13" i="52" s="1"/>
  <c r="G14" i="52" s="1"/>
  <c r="A4" i="52"/>
  <c r="L9" i="51"/>
  <c r="M9" i="51" s="1"/>
  <c r="J108" i="51"/>
  <c r="F108" i="51"/>
  <c r="F87" i="33" s="1"/>
  <c r="G87" i="33" s="1"/>
  <c r="E108" i="51"/>
  <c r="A10" i="5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2" i="51" s="1"/>
  <c r="A73" i="51" s="1"/>
  <c r="A74" i="51" s="1"/>
  <c r="A75" i="51" s="1"/>
  <c r="A76" i="51" s="1"/>
  <c r="A77" i="51" s="1"/>
  <c r="A78" i="51" s="1"/>
  <c r="A79" i="51" s="1"/>
  <c r="A80" i="51" s="1"/>
  <c r="A81" i="51" s="1"/>
  <c r="A82" i="51" s="1"/>
  <c r="A83" i="51" s="1"/>
  <c r="A84" i="51" s="1"/>
  <c r="A85" i="51" s="1"/>
  <c r="A86" i="51" s="1"/>
  <c r="A87" i="51" s="1"/>
  <c r="A88" i="51" s="1"/>
  <c r="A89" i="51" s="1"/>
  <c r="A90" i="51" s="1"/>
  <c r="A91" i="51" s="1"/>
  <c r="A92" i="51" s="1"/>
  <c r="A93" i="51" s="1"/>
  <c r="A105" i="51" s="1"/>
  <c r="A106" i="51" s="1"/>
  <c r="A107" i="51" s="1"/>
  <c r="G9" i="51"/>
  <c r="G10" i="51" s="1"/>
  <c r="G11" i="51" s="1"/>
  <c r="G12" i="51" s="1"/>
  <c r="G13" i="51" s="1"/>
  <c r="G14" i="51" s="1"/>
  <c r="G15" i="51" s="1"/>
  <c r="G16" i="51" s="1"/>
  <c r="G17" i="51" s="1"/>
  <c r="G18" i="51" s="1"/>
  <c r="G19" i="51" s="1"/>
  <c r="G20" i="51" s="1"/>
  <c r="G21" i="51" s="1"/>
  <c r="G22" i="51" s="1"/>
  <c r="G23" i="51" s="1"/>
  <c r="G24" i="51" s="1"/>
  <c r="G25" i="51" s="1"/>
  <c r="G26" i="51" s="1"/>
  <c r="G27" i="51" s="1"/>
  <c r="G28" i="51" s="1"/>
  <c r="G29" i="51" s="1"/>
  <c r="G30" i="51" s="1"/>
  <c r="G31" i="51" s="1"/>
  <c r="G32" i="51" s="1"/>
  <c r="G33" i="51" s="1"/>
  <c r="G34" i="51" s="1"/>
  <c r="G35" i="51" s="1"/>
  <c r="G36" i="51" s="1"/>
  <c r="G37" i="51" s="1"/>
  <c r="G38" i="51" s="1"/>
  <c r="G39" i="51" s="1"/>
  <c r="G40" i="51" s="1"/>
  <c r="G41" i="51" s="1"/>
  <c r="G42" i="51" s="1"/>
  <c r="G43" i="51" s="1"/>
  <c r="G44" i="51" s="1"/>
  <c r="G45" i="51" s="1"/>
  <c r="G46" i="51" s="1"/>
  <c r="G47" i="51" s="1"/>
  <c r="G48" i="51" s="1"/>
  <c r="G49" i="51" s="1"/>
  <c r="G50" i="51" s="1"/>
  <c r="G51" i="51" s="1"/>
  <c r="G52" i="51" s="1"/>
  <c r="G53" i="51" s="1"/>
  <c r="G54" i="51" s="1"/>
  <c r="G55" i="51" s="1"/>
  <c r="G56" i="51" s="1"/>
  <c r="G57" i="51" s="1"/>
  <c r="G58" i="51" s="1"/>
  <c r="G59" i="51" s="1"/>
  <c r="G60" i="51" s="1"/>
  <c r="G61" i="51" s="1"/>
  <c r="G62" i="51" s="1"/>
  <c r="G63" i="51" s="1"/>
  <c r="G64" i="51" s="1"/>
  <c r="G65" i="51" s="1"/>
  <c r="G66" i="51" s="1"/>
  <c r="G67" i="51" s="1"/>
  <c r="G68" i="51" s="1"/>
  <c r="G69" i="51" s="1"/>
  <c r="G70" i="51" s="1"/>
  <c r="G71" i="51" s="1"/>
  <c r="G72" i="51" s="1"/>
  <c r="G73" i="51" s="1"/>
  <c r="G74" i="51" s="1"/>
  <c r="G75" i="51" s="1"/>
  <c r="G76" i="51" s="1"/>
  <c r="G77" i="51" s="1"/>
  <c r="G78" i="51" s="1"/>
  <c r="G79" i="51" s="1"/>
  <c r="G80" i="51" s="1"/>
  <c r="G81" i="51" s="1"/>
  <c r="G82" i="51" s="1"/>
  <c r="G83" i="51" s="1"/>
  <c r="G84" i="51" s="1"/>
  <c r="G85" i="51" s="1"/>
  <c r="G86" i="51" s="1"/>
  <c r="G87" i="51" s="1"/>
  <c r="G88" i="51" s="1"/>
  <c r="G89" i="51" s="1"/>
  <c r="G90" i="51" s="1"/>
  <c r="G91" i="51" s="1"/>
  <c r="G92" i="51" s="1"/>
  <c r="G93" i="51" s="1"/>
  <c r="G94" i="51" s="1"/>
  <c r="G95" i="51" s="1"/>
  <c r="G96" i="51" s="1"/>
  <c r="G97" i="51" s="1"/>
  <c r="G98" i="51" s="1"/>
  <c r="G99" i="51" s="1"/>
  <c r="G100" i="51" s="1"/>
  <c r="G101" i="51" s="1"/>
  <c r="G102" i="51" s="1"/>
  <c r="G103" i="51" s="1"/>
  <c r="G104" i="51" s="1"/>
  <c r="G105" i="51" s="1"/>
  <c r="G106" i="51" s="1"/>
  <c r="G107" i="51" s="1"/>
  <c r="A4" i="51"/>
  <c r="L10" i="50"/>
  <c r="J108" i="50"/>
  <c r="F108" i="50"/>
  <c r="E108" i="50"/>
  <c r="A11" i="50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A39" i="50" s="1"/>
  <c r="A40" i="50" s="1"/>
  <c r="A41" i="50" s="1"/>
  <c r="A42" i="50" s="1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105" i="50" s="1"/>
  <c r="A106" i="50" s="1"/>
  <c r="A107" i="50" s="1"/>
  <c r="A10" i="50"/>
  <c r="G9" i="50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G35" i="50" s="1"/>
  <c r="G36" i="50" s="1"/>
  <c r="G37" i="50" s="1"/>
  <c r="G38" i="50" s="1"/>
  <c r="G39" i="50" s="1"/>
  <c r="G40" i="50" s="1"/>
  <c r="G41" i="50" s="1"/>
  <c r="G42" i="50" s="1"/>
  <c r="G43" i="50" s="1"/>
  <c r="G44" i="50" s="1"/>
  <c r="G45" i="50" s="1"/>
  <c r="G46" i="50" s="1"/>
  <c r="G47" i="50" s="1"/>
  <c r="G48" i="50" s="1"/>
  <c r="G49" i="50" s="1"/>
  <c r="G50" i="50" s="1"/>
  <c r="G51" i="50" s="1"/>
  <c r="G52" i="50" s="1"/>
  <c r="G53" i="50" s="1"/>
  <c r="G54" i="50" s="1"/>
  <c r="G55" i="50" s="1"/>
  <c r="G56" i="50" s="1"/>
  <c r="G57" i="50" s="1"/>
  <c r="G58" i="50" s="1"/>
  <c r="G59" i="50" s="1"/>
  <c r="G60" i="50" s="1"/>
  <c r="G61" i="50" s="1"/>
  <c r="G62" i="50" s="1"/>
  <c r="G63" i="50" s="1"/>
  <c r="G64" i="50" s="1"/>
  <c r="G65" i="50" s="1"/>
  <c r="G66" i="50" s="1"/>
  <c r="G67" i="50" s="1"/>
  <c r="G68" i="50" s="1"/>
  <c r="G69" i="50" s="1"/>
  <c r="G70" i="50" s="1"/>
  <c r="G71" i="50" s="1"/>
  <c r="G72" i="50" s="1"/>
  <c r="G73" i="50" s="1"/>
  <c r="G74" i="50" s="1"/>
  <c r="G75" i="50" s="1"/>
  <c r="G76" i="50" s="1"/>
  <c r="G77" i="50" s="1"/>
  <c r="G78" i="50" s="1"/>
  <c r="G79" i="50" s="1"/>
  <c r="G80" i="50" s="1"/>
  <c r="G81" i="50" s="1"/>
  <c r="G82" i="50" s="1"/>
  <c r="G83" i="50" s="1"/>
  <c r="G84" i="50" s="1"/>
  <c r="G85" i="50" s="1"/>
  <c r="G86" i="50" s="1"/>
  <c r="G87" i="50" s="1"/>
  <c r="G88" i="50" s="1"/>
  <c r="G89" i="50" s="1"/>
  <c r="G90" i="50" s="1"/>
  <c r="G91" i="50" s="1"/>
  <c r="G92" i="50" s="1"/>
  <c r="G93" i="50" s="1"/>
  <c r="G94" i="50" s="1"/>
  <c r="G95" i="50" s="1"/>
  <c r="G96" i="50" s="1"/>
  <c r="G97" i="50" s="1"/>
  <c r="G98" i="50" s="1"/>
  <c r="G99" i="50" s="1"/>
  <c r="G100" i="50" s="1"/>
  <c r="G101" i="50" s="1"/>
  <c r="G102" i="50" s="1"/>
  <c r="G103" i="50" s="1"/>
  <c r="G104" i="50" s="1"/>
  <c r="G105" i="50" s="1"/>
  <c r="G106" i="50" s="1"/>
  <c r="G107" i="50" s="1"/>
  <c r="A4" i="50"/>
  <c r="J111" i="48"/>
  <c r="J109" i="43"/>
  <c r="J108" i="42"/>
  <c r="F111" i="48"/>
  <c r="F81" i="33" s="1"/>
  <c r="E111" i="48"/>
  <c r="E81" i="33" s="1"/>
  <c r="A10" i="48"/>
  <c r="A11" i="48" s="1"/>
  <c r="A12" i="48" s="1"/>
  <c r="A13" i="48" s="1"/>
  <c r="A14" i="48" s="1"/>
  <c r="G9" i="48"/>
  <c r="G10" i="48" s="1"/>
  <c r="G11" i="48" s="1"/>
  <c r="G12" i="48" s="1"/>
  <c r="G13" i="48" s="1"/>
  <c r="G14" i="48" s="1"/>
  <c r="G15" i="48" s="1"/>
  <c r="G16" i="48" s="1"/>
  <c r="G17" i="48" s="1"/>
  <c r="G18" i="48" s="1"/>
  <c r="A4" i="48"/>
  <c r="F108" i="47"/>
  <c r="A10" i="47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105" i="47" s="1"/>
  <c r="A106" i="47" s="1"/>
  <c r="A107" i="47" s="1"/>
  <c r="G9" i="47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G35" i="47" s="1"/>
  <c r="G36" i="47" s="1"/>
  <c r="G37" i="47" s="1"/>
  <c r="G38" i="47" s="1"/>
  <c r="G39" i="47" s="1"/>
  <c r="G40" i="47" s="1"/>
  <c r="G41" i="47" s="1"/>
  <c r="G42" i="47" s="1"/>
  <c r="G43" i="47" s="1"/>
  <c r="G44" i="47" s="1"/>
  <c r="G45" i="47" s="1"/>
  <c r="G46" i="47" s="1"/>
  <c r="G47" i="47" s="1"/>
  <c r="G48" i="47" s="1"/>
  <c r="G49" i="47" s="1"/>
  <c r="G50" i="47" s="1"/>
  <c r="G51" i="47" s="1"/>
  <c r="G52" i="47" s="1"/>
  <c r="G53" i="47" s="1"/>
  <c r="G54" i="47" s="1"/>
  <c r="G55" i="47" s="1"/>
  <c r="G56" i="47" s="1"/>
  <c r="G57" i="47" s="1"/>
  <c r="G58" i="47" s="1"/>
  <c r="G59" i="47" s="1"/>
  <c r="G60" i="47" s="1"/>
  <c r="G61" i="47" s="1"/>
  <c r="G62" i="47" s="1"/>
  <c r="G63" i="47" s="1"/>
  <c r="G64" i="47" s="1"/>
  <c r="G65" i="47" s="1"/>
  <c r="G66" i="47" s="1"/>
  <c r="G67" i="47" s="1"/>
  <c r="G68" i="47" s="1"/>
  <c r="G69" i="47" s="1"/>
  <c r="G70" i="47" s="1"/>
  <c r="G71" i="47" s="1"/>
  <c r="G72" i="47" s="1"/>
  <c r="G73" i="47" s="1"/>
  <c r="G74" i="47" s="1"/>
  <c r="G75" i="47" s="1"/>
  <c r="G76" i="47" s="1"/>
  <c r="G77" i="47" s="1"/>
  <c r="G78" i="47" s="1"/>
  <c r="G79" i="47" s="1"/>
  <c r="G80" i="47" s="1"/>
  <c r="G81" i="47" s="1"/>
  <c r="G82" i="47" s="1"/>
  <c r="G83" i="47" s="1"/>
  <c r="G84" i="47" s="1"/>
  <c r="G85" i="47" s="1"/>
  <c r="G86" i="47" s="1"/>
  <c r="G87" i="47" s="1"/>
  <c r="G88" i="47" s="1"/>
  <c r="G89" i="47" s="1"/>
  <c r="G90" i="47" s="1"/>
  <c r="G91" i="47" s="1"/>
  <c r="G92" i="47" s="1"/>
  <c r="G93" i="47" s="1"/>
  <c r="G94" i="47" s="1"/>
  <c r="G95" i="47" s="1"/>
  <c r="G96" i="47" s="1"/>
  <c r="G97" i="47" s="1"/>
  <c r="G98" i="47" s="1"/>
  <c r="G99" i="47" s="1"/>
  <c r="G100" i="47" s="1"/>
  <c r="G101" i="47" s="1"/>
  <c r="G102" i="47" s="1"/>
  <c r="G103" i="47" s="1"/>
  <c r="G104" i="47" s="1"/>
  <c r="G105" i="47" s="1"/>
  <c r="G106" i="47" s="1"/>
  <c r="G107" i="47" s="1"/>
  <c r="E108" i="47"/>
  <c r="E71" i="33" s="1"/>
  <c r="G71" i="33" s="1"/>
  <c r="A4" i="47"/>
  <c r="G9" i="46"/>
  <c r="G10" i="46" s="1"/>
  <c r="G11" i="46" s="1"/>
  <c r="G12" i="46" s="1"/>
  <c r="G13" i="46" s="1"/>
  <c r="G14" i="46" s="1"/>
  <c r="G15" i="46" s="1"/>
  <c r="F109" i="46"/>
  <c r="M38" i="46"/>
  <c r="M39" i="46" s="1"/>
  <c r="A10" i="46"/>
  <c r="A11" i="46" s="1"/>
  <c r="A12" i="46" s="1"/>
  <c r="A13" i="46" s="1"/>
  <c r="A14" i="46" s="1"/>
  <c r="A15" i="46" s="1"/>
  <c r="A4" i="46"/>
  <c r="I108" i="45"/>
  <c r="J9" i="44"/>
  <c r="J108" i="44" s="1"/>
  <c r="F108" i="45"/>
  <c r="L37" i="45"/>
  <c r="L38" i="45" s="1"/>
  <c r="A10" i="45"/>
  <c r="A11" i="45" s="1"/>
  <c r="A12" i="45" s="1"/>
  <c r="A4" i="45"/>
  <c r="E108" i="44"/>
  <c r="F108" i="44"/>
  <c r="M37" i="44"/>
  <c r="M38" i="44" s="1"/>
  <c r="A10" i="44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105" i="44" s="1"/>
  <c r="A106" i="44" s="1"/>
  <c r="A107" i="44" s="1"/>
  <c r="A4" i="44"/>
  <c r="G9" i="43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G35" i="43" s="1"/>
  <c r="G36" i="43" s="1"/>
  <c r="G37" i="43" s="1"/>
  <c r="G38" i="43" s="1"/>
  <c r="G39" i="43" s="1"/>
  <c r="G40" i="43" s="1"/>
  <c r="G41" i="43" s="1"/>
  <c r="G42" i="43" s="1"/>
  <c r="G43" i="43" s="1"/>
  <c r="G44" i="43" s="1"/>
  <c r="G45" i="43" s="1"/>
  <c r="G46" i="43" s="1"/>
  <c r="G47" i="43" s="1"/>
  <c r="G48" i="43" s="1"/>
  <c r="G49" i="43" s="1"/>
  <c r="G50" i="43" s="1"/>
  <c r="G51" i="43" s="1"/>
  <c r="G52" i="43" s="1"/>
  <c r="G53" i="43" s="1"/>
  <c r="G54" i="43" s="1"/>
  <c r="G55" i="43" s="1"/>
  <c r="G56" i="43" s="1"/>
  <c r="G57" i="43" s="1"/>
  <c r="G58" i="43" s="1"/>
  <c r="G59" i="43" s="1"/>
  <c r="G60" i="43" s="1"/>
  <c r="G61" i="43" s="1"/>
  <c r="G62" i="43" s="1"/>
  <c r="G63" i="43" s="1"/>
  <c r="G64" i="43" s="1"/>
  <c r="G65" i="43" s="1"/>
  <c r="G66" i="43" s="1"/>
  <c r="G67" i="43" s="1"/>
  <c r="G68" i="43" s="1"/>
  <c r="G69" i="43" s="1"/>
  <c r="G70" i="43" s="1"/>
  <c r="G71" i="43" s="1"/>
  <c r="G72" i="43" s="1"/>
  <c r="G73" i="43" s="1"/>
  <c r="G74" i="43" s="1"/>
  <c r="G75" i="43" s="1"/>
  <c r="G76" i="43" s="1"/>
  <c r="G77" i="43" s="1"/>
  <c r="G78" i="43" s="1"/>
  <c r="G79" i="43" s="1"/>
  <c r="G80" i="43" s="1"/>
  <c r="G81" i="43" s="1"/>
  <c r="G82" i="43" s="1"/>
  <c r="G83" i="43" s="1"/>
  <c r="G84" i="43" s="1"/>
  <c r="G85" i="43" s="1"/>
  <c r="G86" i="43" s="1"/>
  <c r="G87" i="43" s="1"/>
  <c r="G88" i="43" s="1"/>
  <c r="G89" i="43" s="1"/>
  <c r="G90" i="43" s="1"/>
  <c r="G91" i="43" s="1"/>
  <c r="G92" i="43" s="1"/>
  <c r="G93" i="43" s="1"/>
  <c r="G94" i="43" s="1"/>
  <c r="G95" i="43" s="1"/>
  <c r="G96" i="43" s="1"/>
  <c r="G97" i="43" s="1"/>
  <c r="G98" i="43" s="1"/>
  <c r="G99" i="43" s="1"/>
  <c r="G100" i="43" s="1"/>
  <c r="G101" i="43" s="1"/>
  <c r="G102" i="43" s="1"/>
  <c r="G103" i="43" s="1"/>
  <c r="G104" i="43" s="1"/>
  <c r="G105" i="43" s="1"/>
  <c r="G106" i="43" s="1"/>
  <c r="G107" i="43" s="1"/>
  <c r="G108" i="43" s="1"/>
  <c r="F109" i="43"/>
  <c r="F78" i="33" s="1"/>
  <c r="A10" i="43"/>
  <c r="A11" i="43" s="1"/>
  <c r="A12" i="43" s="1"/>
  <c r="A13" i="43" s="1"/>
  <c r="A14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E109" i="43"/>
  <c r="E78" i="33" s="1"/>
  <c r="A4" i="43"/>
  <c r="E108" i="42"/>
  <c r="E70" i="33" s="1"/>
  <c r="A10" i="42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A82" i="42" s="1"/>
  <c r="A83" i="42" s="1"/>
  <c r="A84" i="42" s="1"/>
  <c r="A85" i="42" s="1"/>
  <c r="A86" i="42" s="1"/>
  <c r="A87" i="42" s="1"/>
  <c r="A88" i="42" s="1"/>
  <c r="A89" i="42" s="1"/>
  <c r="A90" i="42" s="1"/>
  <c r="A91" i="42" s="1"/>
  <c r="A92" i="42" s="1"/>
  <c r="A93" i="42" s="1"/>
  <c r="A105" i="42" s="1"/>
  <c r="A106" i="42" s="1"/>
  <c r="A107" i="42" s="1"/>
  <c r="F108" i="42"/>
  <c r="F70" i="33" s="1"/>
  <c r="A4" i="42"/>
  <c r="F34" i="41"/>
  <c r="F27" i="33" s="1"/>
  <c r="E34" i="41"/>
  <c r="E27" i="33" s="1"/>
  <c r="K16" i="41"/>
  <c r="K14" i="41"/>
  <c r="A10" i="41"/>
  <c r="A11" i="41" s="1"/>
  <c r="A12" i="41" s="1"/>
  <c r="A13" i="41" s="1"/>
  <c r="A14" i="41" s="1"/>
  <c r="A15" i="41" s="1"/>
  <c r="A16" i="41" s="1"/>
  <c r="A17" i="41" s="1"/>
  <c r="A18" i="41" s="1"/>
  <c r="G9" i="41"/>
  <c r="G10" i="41" s="1"/>
  <c r="G11" i="41" s="1"/>
  <c r="G12" i="41" s="1"/>
  <c r="G13" i="41" s="1"/>
  <c r="G14" i="41" s="1"/>
  <c r="G15" i="41" s="1"/>
  <c r="G16" i="41" s="1"/>
  <c r="G17" i="41" s="1"/>
  <c r="A4" i="41"/>
  <c r="F58" i="40"/>
  <c r="F26" i="33" s="1"/>
  <c r="E58" i="40"/>
  <c r="E26" i="33" s="1"/>
  <c r="K16" i="40"/>
  <c r="K14" i="40"/>
  <c r="A10" i="40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G9" i="40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G36" i="40" s="1"/>
  <c r="G37" i="40" s="1"/>
  <c r="G38" i="40" s="1"/>
  <c r="G39" i="40" s="1"/>
  <c r="G40" i="40" s="1"/>
  <c r="G41" i="40" s="1"/>
  <c r="G42" i="40" s="1"/>
  <c r="A4" i="40"/>
  <c r="G15" i="52" l="1"/>
  <c r="G16" i="52" s="1"/>
  <c r="G17" i="52" s="1"/>
  <c r="G18" i="52" s="1"/>
  <c r="G19" i="52" s="1"/>
  <c r="G20" i="52" s="1"/>
  <c r="G21" i="52" s="1"/>
  <c r="G22" i="52" s="1"/>
  <c r="G23" i="52" s="1"/>
  <c r="G24" i="52" s="1"/>
  <c r="G25" i="52" s="1"/>
  <c r="G26" i="52" s="1"/>
  <c r="G27" i="52" s="1"/>
  <c r="G28" i="52" s="1"/>
  <c r="G29" i="52" s="1"/>
  <c r="G30" i="52" s="1"/>
  <c r="G31" i="52" s="1"/>
  <c r="G32" i="52" s="1"/>
  <c r="G33" i="52" s="1"/>
  <c r="G34" i="52" s="1"/>
  <c r="G35" i="52" s="1"/>
  <c r="G36" i="52" s="1"/>
  <c r="G37" i="52" s="1"/>
  <c r="G82" i="33"/>
  <c r="A28" i="59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G18" i="62"/>
  <c r="G19" i="62" s="1"/>
  <c r="G20" i="62" s="1"/>
  <c r="G21" i="62" s="1"/>
  <c r="G22" i="62" s="1"/>
  <c r="G23" i="62" s="1"/>
  <c r="G24" i="62" s="1"/>
  <c r="G25" i="62" s="1"/>
  <c r="G26" i="62" s="1"/>
  <c r="G27" i="62" s="1"/>
  <c r="G28" i="62" s="1"/>
  <c r="G29" i="62" s="1"/>
  <c r="G30" i="62" s="1"/>
  <c r="G31" i="62" s="1"/>
  <c r="G32" i="62" s="1"/>
  <c r="G33" i="62" s="1"/>
  <c r="G34" i="62" s="1"/>
  <c r="G35" i="62" s="1"/>
  <c r="G36" i="62" s="1"/>
  <c r="G37" i="62" s="1"/>
  <c r="G38" i="62" s="1"/>
  <c r="G39" i="62" s="1"/>
  <c r="G40" i="62" s="1"/>
  <c r="G41" i="62" s="1"/>
  <c r="G42" i="62" s="1"/>
  <c r="G43" i="62" s="1"/>
  <c r="G44" i="62" s="1"/>
  <c r="G45" i="62" s="1"/>
  <c r="G46" i="62" s="1"/>
  <c r="G47" i="62" s="1"/>
  <c r="G48" i="62" s="1"/>
  <c r="G49" i="62" s="1"/>
  <c r="G50" i="62" s="1"/>
  <c r="G51" i="62" s="1"/>
  <c r="G52" i="62" s="1"/>
  <c r="G53" i="62" s="1"/>
  <c r="G54" i="62" s="1"/>
  <c r="G55" i="62" s="1"/>
  <c r="G56" i="62" s="1"/>
  <c r="G57" i="62" s="1"/>
  <c r="G58" i="62" s="1"/>
  <c r="G59" i="62" s="1"/>
  <c r="G60" i="62" s="1"/>
  <c r="G61" i="62" s="1"/>
  <c r="G62" i="62" s="1"/>
  <c r="G63" i="62" s="1"/>
  <c r="G64" i="62" s="1"/>
  <c r="G65" i="62" s="1"/>
  <c r="G66" i="62" s="1"/>
  <c r="G67" i="62" s="1"/>
  <c r="G68" i="62" s="1"/>
  <c r="G69" i="62" s="1"/>
  <c r="G70" i="62" s="1"/>
  <c r="G71" i="62" s="1"/>
  <c r="G72" i="62" s="1"/>
  <c r="G73" i="62" s="1"/>
  <c r="G74" i="62" s="1"/>
  <c r="G75" i="62" s="1"/>
  <c r="G76" i="62" s="1"/>
  <c r="G77" i="62" s="1"/>
  <c r="G78" i="62" s="1"/>
  <c r="G79" i="62" s="1"/>
  <c r="G80" i="62" s="1"/>
  <c r="G81" i="62" s="1"/>
  <c r="G82" i="62" s="1"/>
  <c r="G83" i="62" s="1"/>
  <c r="G84" i="62" s="1"/>
  <c r="G85" i="62" s="1"/>
  <c r="G86" i="62" s="1"/>
  <c r="G87" i="62" s="1"/>
  <c r="G88" i="62" s="1"/>
  <c r="G89" i="62" s="1"/>
  <c r="G90" i="62" s="1"/>
  <c r="G91" i="62" s="1"/>
  <c r="G92" i="62" s="1"/>
  <c r="G93" i="62" s="1"/>
  <c r="G94" i="62" s="1"/>
  <c r="G95" i="62" s="1"/>
  <c r="G96" i="62" s="1"/>
  <c r="G97" i="62" s="1"/>
  <c r="G98" i="62" s="1"/>
  <c r="G99" i="62" s="1"/>
  <c r="G100" i="62" s="1"/>
  <c r="G101" i="62" s="1"/>
  <c r="G102" i="62" s="1"/>
  <c r="G103" i="62" s="1"/>
  <c r="G104" i="62" s="1"/>
  <c r="G105" i="62" s="1"/>
  <c r="G106" i="62" s="1"/>
  <c r="G107" i="62" s="1"/>
  <c r="G108" i="62" s="1"/>
  <c r="G109" i="62" s="1"/>
  <c r="G110" i="62" s="1"/>
  <c r="G111" i="62" s="1"/>
  <c r="G112" i="62" s="1"/>
  <c r="M22" i="62"/>
  <c r="G37" i="33"/>
  <c r="G81" i="33"/>
  <c r="G78" i="33"/>
  <c r="G70" i="33"/>
  <c r="G15" i="60"/>
  <c r="G16" i="60" s="1"/>
  <c r="G17" i="60" s="1"/>
  <c r="G18" i="60" s="1"/>
  <c r="G19" i="60" s="1"/>
  <c r="G20" i="60" s="1"/>
  <c r="G21" i="60" s="1"/>
  <c r="G22" i="60" s="1"/>
  <c r="G23" i="60" s="1"/>
  <c r="G24" i="60" s="1"/>
  <c r="G25" i="60" s="1"/>
  <c r="G26" i="60" s="1"/>
  <c r="G27" i="60" s="1"/>
  <c r="G28" i="60" s="1"/>
  <c r="G29" i="60" s="1"/>
  <c r="G30" i="60" s="1"/>
  <c r="G31" i="60" s="1"/>
  <c r="G32" i="60" s="1"/>
  <c r="G33" i="60" s="1"/>
  <c r="G34" i="60" s="1"/>
  <c r="G35" i="60" s="1"/>
  <c r="G36" i="60" s="1"/>
  <c r="G37" i="60" s="1"/>
  <c r="G38" i="60" s="1"/>
  <c r="G39" i="60" s="1"/>
  <c r="G40" i="60" s="1"/>
  <c r="G41" i="60" s="1"/>
  <c r="G42" i="60" s="1"/>
  <c r="G43" i="60" s="1"/>
  <c r="G44" i="60" s="1"/>
  <c r="G45" i="60" s="1"/>
  <c r="G46" i="60" s="1"/>
  <c r="G47" i="60" s="1"/>
  <c r="G48" i="60" s="1"/>
  <c r="G49" i="60" s="1"/>
  <c r="G50" i="60" s="1"/>
  <c r="G51" i="60" s="1"/>
  <c r="G52" i="60" s="1"/>
  <c r="G53" i="60" s="1"/>
  <c r="G54" i="60" s="1"/>
  <c r="G55" i="60" s="1"/>
  <c r="G56" i="60" s="1"/>
  <c r="G57" i="60" s="1"/>
  <c r="G58" i="60" s="1"/>
  <c r="G59" i="60" s="1"/>
  <c r="G60" i="60" s="1"/>
  <c r="G61" i="60" s="1"/>
  <c r="G62" i="60" s="1"/>
  <c r="G63" i="60" s="1"/>
  <c r="G64" i="60" s="1"/>
  <c r="G65" i="60" s="1"/>
  <c r="G66" i="60" s="1"/>
  <c r="G67" i="60" s="1"/>
  <c r="G68" i="60" s="1"/>
  <c r="G69" i="60" s="1"/>
  <c r="G70" i="60" s="1"/>
  <c r="G71" i="60" s="1"/>
  <c r="G72" i="60" s="1"/>
  <c r="G73" i="60" s="1"/>
  <c r="G74" i="60" s="1"/>
  <c r="G75" i="60" s="1"/>
  <c r="G76" i="60" s="1"/>
  <c r="G77" i="60" s="1"/>
  <c r="G78" i="60" s="1"/>
  <c r="G79" i="60" s="1"/>
  <c r="G80" i="60" s="1"/>
  <c r="G81" i="60" s="1"/>
  <c r="G82" i="60" s="1"/>
  <c r="G83" i="60" s="1"/>
  <c r="G84" i="60" s="1"/>
  <c r="G85" i="60" s="1"/>
  <c r="G86" i="60" s="1"/>
  <c r="G87" i="60" s="1"/>
  <c r="G88" i="60" s="1"/>
  <c r="G89" i="60" s="1"/>
  <c r="G90" i="60" s="1"/>
  <c r="G91" i="60" s="1"/>
  <c r="G92" i="60" s="1"/>
  <c r="G93" i="60" s="1"/>
  <c r="G94" i="60" s="1"/>
  <c r="G95" i="60" s="1"/>
  <c r="G96" i="60" s="1"/>
  <c r="G97" i="60" s="1"/>
  <c r="G98" i="60" s="1"/>
  <c r="G99" i="60" s="1"/>
  <c r="G100" i="60" s="1"/>
  <c r="G101" i="60" s="1"/>
  <c r="G102" i="60" s="1"/>
  <c r="G103" i="60" s="1"/>
  <c r="G104" i="60" s="1"/>
  <c r="G105" i="60" s="1"/>
  <c r="G106" i="60" s="1"/>
  <c r="G107" i="60" s="1"/>
  <c r="G108" i="60" s="1"/>
  <c r="G109" i="60" s="1"/>
  <c r="G110" i="60" s="1"/>
  <c r="G111" i="60" s="1"/>
  <c r="G112" i="60" s="1"/>
  <c r="G113" i="60" s="1"/>
  <c r="G38" i="53"/>
  <c r="G39" i="53" s="1"/>
  <c r="G40" i="53" s="1"/>
  <c r="G41" i="53" s="1"/>
  <c r="G42" i="53" s="1"/>
  <c r="G43" i="53" s="1"/>
  <c r="G44" i="53" s="1"/>
  <c r="G45" i="53" s="1"/>
  <c r="G46" i="53" s="1"/>
  <c r="G47" i="53" s="1"/>
  <c r="G48" i="53" s="1"/>
  <c r="G49" i="53" s="1"/>
  <c r="G50" i="53" s="1"/>
  <c r="G51" i="53" s="1"/>
  <c r="G52" i="53" s="1"/>
  <c r="G53" i="53" s="1"/>
  <c r="G54" i="53" s="1"/>
  <c r="G55" i="53" s="1"/>
  <c r="G32" i="33"/>
  <c r="G36" i="33"/>
  <c r="G34" i="33"/>
  <c r="G33" i="33"/>
  <c r="G108" i="50"/>
  <c r="A13" i="45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105" i="45" s="1"/>
  <c r="A106" i="45" s="1"/>
  <c r="A107" i="45" s="1"/>
  <c r="G39" i="33"/>
  <c r="G40" i="33"/>
  <c r="G42" i="33"/>
  <c r="G43" i="33"/>
  <c r="G28" i="33"/>
  <c r="G29" i="33"/>
  <c r="G26" i="33"/>
  <c r="G27" i="33"/>
  <c r="G30" i="33"/>
  <c r="G113" i="62"/>
  <c r="G113" i="61"/>
  <c r="E108" i="66"/>
  <c r="G108" i="66" s="1"/>
  <c r="J109" i="46"/>
  <c r="G111" i="48"/>
  <c r="G108" i="51"/>
  <c r="G108" i="47"/>
  <c r="G114" i="60"/>
  <c r="G56" i="53"/>
  <c r="G34" i="41"/>
  <c r="G61" i="54"/>
  <c r="G110" i="59"/>
  <c r="G153" i="55"/>
  <c r="G154" i="56"/>
  <c r="G153" i="57"/>
  <c r="G109" i="43"/>
  <c r="G108" i="68"/>
  <c r="G9" i="65"/>
  <c r="G10" i="65" s="1"/>
  <c r="G11" i="65" s="1"/>
  <c r="G12" i="65" s="1"/>
  <c r="G13" i="65" s="1"/>
  <c r="G14" i="65" s="1"/>
  <c r="G15" i="65" s="1"/>
  <c r="G16" i="65" s="1"/>
  <c r="G17" i="65" s="1"/>
  <c r="G18" i="65" s="1"/>
  <c r="G19" i="65" s="1"/>
  <c r="G20" i="65" s="1"/>
  <c r="G21" i="65" s="1"/>
  <c r="G22" i="65" s="1"/>
  <c r="G23" i="65" s="1"/>
  <c r="G24" i="65" s="1"/>
  <c r="G25" i="65" s="1"/>
  <c r="G26" i="65" s="1"/>
  <c r="G27" i="65" s="1"/>
  <c r="G28" i="65" s="1"/>
  <c r="G29" i="65" s="1"/>
  <c r="G30" i="65" s="1"/>
  <c r="G31" i="65" s="1"/>
  <c r="G32" i="65" s="1"/>
  <c r="G33" i="65" s="1"/>
  <c r="G34" i="65" s="1"/>
  <c r="G35" i="65" s="1"/>
  <c r="G36" i="65" s="1"/>
  <c r="G37" i="65" s="1"/>
  <c r="G38" i="65" s="1"/>
  <c r="G39" i="65" s="1"/>
  <c r="G40" i="65" s="1"/>
  <c r="G41" i="65" s="1"/>
  <c r="G42" i="65" s="1"/>
  <c r="G43" i="65" s="1"/>
  <c r="G44" i="65" s="1"/>
  <c r="G45" i="65" s="1"/>
  <c r="G46" i="65" s="1"/>
  <c r="G47" i="65" s="1"/>
  <c r="G48" i="65" s="1"/>
  <c r="G49" i="65" s="1"/>
  <c r="G50" i="65" s="1"/>
  <c r="G51" i="65" s="1"/>
  <c r="G52" i="65" s="1"/>
  <c r="G53" i="65" s="1"/>
  <c r="G54" i="65" s="1"/>
  <c r="G55" i="65" s="1"/>
  <c r="G56" i="65" s="1"/>
  <c r="G57" i="65" s="1"/>
  <c r="G58" i="65" s="1"/>
  <c r="G59" i="65" s="1"/>
  <c r="G60" i="65" s="1"/>
  <c r="G61" i="65" s="1"/>
  <c r="G62" i="65" s="1"/>
  <c r="G63" i="65" s="1"/>
  <c r="G64" i="65" s="1"/>
  <c r="G65" i="65" s="1"/>
  <c r="G66" i="65" s="1"/>
  <c r="G67" i="65" s="1"/>
  <c r="G68" i="65" s="1"/>
  <c r="G69" i="65" s="1"/>
  <c r="G70" i="65" s="1"/>
  <c r="G71" i="65" s="1"/>
  <c r="G72" i="65" s="1"/>
  <c r="G73" i="65" s="1"/>
  <c r="G74" i="65" s="1"/>
  <c r="G75" i="65" s="1"/>
  <c r="G76" i="65" s="1"/>
  <c r="G77" i="65" s="1"/>
  <c r="G78" i="65" s="1"/>
  <c r="G79" i="65" s="1"/>
  <c r="G80" i="65" s="1"/>
  <c r="G81" i="65" s="1"/>
  <c r="G82" i="65" s="1"/>
  <c r="G83" i="65" s="1"/>
  <c r="G84" i="65" s="1"/>
  <c r="G85" i="65" s="1"/>
  <c r="G86" i="65" s="1"/>
  <c r="G87" i="65" s="1"/>
  <c r="G88" i="65" s="1"/>
  <c r="G89" i="65" s="1"/>
  <c r="G90" i="65" s="1"/>
  <c r="G91" i="65" s="1"/>
  <c r="G92" i="65" s="1"/>
  <c r="G93" i="65" s="1"/>
  <c r="G94" i="65" s="1"/>
  <c r="G95" i="65" s="1"/>
  <c r="G96" i="65" s="1"/>
  <c r="G113" i="63"/>
  <c r="G113" i="64"/>
  <c r="G155" i="58"/>
  <c r="G113" i="52"/>
  <c r="E109" i="46"/>
  <c r="G109" i="46" s="1"/>
  <c r="G108" i="44"/>
  <c r="E108" i="45"/>
  <c r="G108" i="45" s="1"/>
  <c r="G9" i="45"/>
  <c r="G10" i="45" s="1"/>
  <c r="G11" i="45" s="1"/>
  <c r="G12" i="45" s="1"/>
  <c r="G13" i="45" s="1"/>
  <c r="G14" i="45" s="1"/>
  <c r="G15" i="45" s="1"/>
  <c r="G16" i="45" s="1"/>
  <c r="G17" i="45" s="1"/>
  <c r="G18" i="45" s="1"/>
  <c r="G19" i="45" s="1"/>
  <c r="G20" i="45" s="1"/>
  <c r="G21" i="45" s="1"/>
  <c r="G22" i="45" s="1"/>
  <c r="G23" i="45" s="1"/>
  <c r="G24" i="45" s="1"/>
  <c r="G25" i="45" s="1"/>
  <c r="G26" i="45" s="1"/>
  <c r="G27" i="45" s="1"/>
  <c r="G28" i="45" s="1"/>
  <c r="G29" i="45" s="1"/>
  <c r="G30" i="45" s="1"/>
  <c r="G31" i="45" s="1"/>
  <c r="G32" i="45" s="1"/>
  <c r="G33" i="45" s="1"/>
  <c r="G34" i="45" s="1"/>
  <c r="G35" i="45" s="1"/>
  <c r="G36" i="45" s="1"/>
  <c r="G37" i="45" s="1"/>
  <c r="G38" i="45" s="1"/>
  <c r="G39" i="45" s="1"/>
  <c r="G40" i="45" s="1"/>
  <c r="G41" i="45" s="1"/>
  <c r="G42" i="45" s="1"/>
  <c r="G43" i="45" s="1"/>
  <c r="G44" i="45" s="1"/>
  <c r="G45" i="45" s="1"/>
  <c r="G46" i="45" s="1"/>
  <c r="G47" i="45" s="1"/>
  <c r="G48" i="45" s="1"/>
  <c r="G49" i="45" s="1"/>
  <c r="G50" i="45" s="1"/>
  <c r="G51" i="45" s="1"/>
  <c r="G52" i="45" s="1"/>
  <c r="G53" i="45" s="1"/>
  <c r="G54" i="45" s="1"/>
  <c r="G55" i="45" s="1"/>
  <c r="G56" i="45" s="1"/>
  <c r="G57" i="45" s="1"/>
  <c r="G58" i="45" s="1"/>
  <c r="G59" i="45" s="1"/>
  <c r="G60" i="45" s="1"/>
  <c r="G61" i="45" s="1"/>
  <c r="G62" i="45" s="1"/>
  <c r="G63" i="45" s="1"/>
  <c r="G64" i="45" s="1"/>
  <c r="G65" i="45" s="1"/>
  <c r="G66" i="45" s="1"/>
  <c r="G67" i="45" s="1"/>
  <c r="G68" i="45" s="1"/>
  <c r="G69" i="45" s="1"/>
  <c r="G70" i="45" s="1"/>
  <c r="G71" i="45" s="1"/>
  <c r="G72" i="45" s="1"/>
  <c r="G73" i="45" s="1"/>
  <c r="G74" i="45" s="1"/>
  <c r="G75" i="45" s="1"/>
  <c r="G76" i="45" s="1"/>
  <c r="G77" i="45" s="1"/>
  <c r="G78" i="45" s="1"/>
  <c r="G79" i="45" s="1"/>
  <c r="G80" i="45" s="1"/>
  <c r="G81" i="45" s="1"/>
  <c r="G82" i="45" s="1"/>
  <c r="G83" i="45" s="1"/>
  <c r="G84" i="45" s="1"/>
  <c r="G85" i="45" s="1"/>
  <c r="G86" i="45" s="1"/>
  <c r="G87" i="45" s="1"/>
  <c r="G88" i="45" s="1"/>
  <c r="G89" i="45" s="1"/>
  <c r="G90" i="45" s="1"/>
  <c r="G91" i="45" s="1"/>
  <c r="G92" i="45" s="1"/>
  <c r="G93" i="45" s="1"/>
  <c r="G94" i="45" s="1"/>
  <c r="G95" i="45" s="1"/>
  <c r="G96" i="45" s="1"/>
  <c r="G97" i="45" s="1"/>
  <c r="G98" i="45" s="1"/>
  <c r="G99" i="45" s="1"/>
  <c r="G100" i="45" s="1"/>
  <c r="G101" i="45" s="1"/>
  <c r="G102" i="45" s="1"/>
  <c r="G103" i="45" s="1"/>
  <c r="G104" i="45" s="1"/>
  <c r="G105" i="45" s="1"/>
  <c r="G106" i="45" s="1"/>
  <c r="G107" i="45" s="1"/>
  <c r="G9" i="44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G25" i="44" s="1"/>
  <c r="G26" i="44" s="1"/>
  <c r="G27" i="44" s="1"/>
  <c r="G28" i="44" s="1"/>
  <c r="G29" i="44" s="1"/>
  <c r="G30" i="44" s="1"/>
  <c r="G31" i="44" s="1"/>
  <c r="G32" i="44" s="1"/>
  <c r="G33" i="44" s="1"/>
  <c r="G34" i="44" s="1"/>
  <c r="G35" i="44" s="1"/>
  <c r="G36" i="44" s="1"/>
  <c r="G37" i="44" s="1"/>
  <c r="G38" i="44" s="1"/>
  <c r="G39" i="44" s="1"/>
  <c r="G40" i="44" s="1"/>
  <c r="G41" i="44" s="1"/>
  <c r="G42" i="44" s="1"/>
  <c r="G43" i="44" s="1"/>
  <c r="G44" i="44" s="1"/>
  <c r="G45" i="44" s="1"/>
  <c r="G46" i="44" s="1"/>
  <c r="G47" i="44" s="1"/>
  <c r="G48" i="44" s="1"/>
  <c r="G49" i="44" s="1"/>
  <c r="G50" i="44" s="1"/>
  <c r="G51" i="44" s="1"/>
  <c r="G52" i="44" s="1"/>
  <c r="G53" i="44" s="1"/>
  <c r="G54" i="44" s="1"/>
  <c r="G55" i="44" s="1"/>
  <c r="G56" i="44" s="1"/>
  <c r="G57" i="44" s="1"/>
  <c r="G58" i="44" s="1"/>
  <c r="G59" i="44" s="1"/>
  <c r="G60" i="44" s="1"/>
  <c r="G61" i="44" s="1"/>
  <c r="G62" i="44" s="1"/>
  <c r="G63" i="44" s="1"/>
  <c r="G64" i="44" s="1"/>
  <c r="G65" i="44" s="1"/>
  <c r="G66" i="44" s="1"/>
  <c r="G67" i="44" s="1"/>
  <c r="G68" i="44" s="1"/>
  <c r="G69" i="44" s="1"/>
  <c r="G70" i="44" s="1"/>
  <c r="G71" i="44" s="1"/>
  <c r="G72" i="44" s="1"/>
  <c r="G73" i="44" s="1"/>
  <c r="G74" i="44" s="1"/>
  <c r="G75" i="44" s="1"/>
  <c r="G76" i="44" s="1"/>
  <c r="G77" i="44" s="1"/>
  <c r="G78" i="44" s="1"/>
  <c r="G79" i="44" s="1"/>
  <c r="G80" i="44" s="1"/>
  <c r="G81" i="44" s="1"/>
  <c r="G82" i="44" s="1"/>
  <c r="G83" i="44" s="1"/>
  <c r="G84" i="44" s="1"/>
  <c r="G85" i="44" s="1"/>
  <c r="G86" i="44" s="1"/>
  <c r="G87" i="44" s="1"/>
  <c r="G88" i="44" s="1"/>
  <c r="G89" i="44" s="1"/>
  <c r="G90" i="44" s="1"/>
  <c r="G91" i="44" s="1"/>
  <c r="G92" i="44" s="1"/>
  <c r="G93" i="44" s="1"/>
  <c r="G94" i="44" s="1"/>
  <c r="G95" i="44" s="1"/>
  <c r="G96" i="44" s="1"/>
  <c r="G97" i="44" s="1"/>
  <c r="G98" i="44" s="1"/>
  <c r="G99" i="44" s="1"/>
  <c r="G100" i="44" s="1"/>
  <c r="G101" i="44" s="1"/>
  <c r="G102" i="44" s="1"/>
  <c r="G103" i="44" s="1"/>
  <c r="G104" i="44" s="1"/>
  <c r="G105" i="44" s="1"/>
  <c r="G106" i="44" s="1"/>
  <c r="G107" i="44" s="1"/>
  <c r="G108" i="42"/>
  <c r="G9" i="42"/>
  <c r="G10" i="42" s="1"/>
  <c r="G11" i="42" s="1"/>
  <c r="G12" i="42" s="1"/>
  <c r="G13" i="42" s="1"/>
  <c r="G14" i="42" s="1"/>
  <c r="G15" i="42" s="1"/>
  <c r="G16" i="42" s="1"/>
  <c r="G17" i="42" s="1"/>
  <c r="G58" i="40"/>
  <c r="K16" i="37"/>
  <c r="K14" i="37"/>
  <c r="J13" i="33"/>
  <c r="F140" i="39"/>
  <c r="F49" i="33" s="1"/>
  <c r="E140" i="39"/>
  <c r="E49" i="33" s="1"/>
  <c r="J15" i="39"/>
  <c r="A11" i="39"/>
  <c r="A12" i="39" s="1"/>
  <c r="A13" i="39" s="1"/>
  <c r="A14" i="39" s="1"/>
  <c r="A15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G10" i="39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5" i="39" s="1"/>
  <c r="G36" i="39" s="1"/>
  <c r="G37" i="39" s="1"/>
  <c r="G38" i="39" s="1"/>
  <c r="G39" i="39" s="1"/>
  <c r="G40" i="39" s="1"/>
  <c r="G41" i="39" s="1"/>
  <c r="G42" i="39" s="1"/>
  <c r="G43" i="39" s="1"/>
  <c r="G44" i="39" s="1"/>
  <c r="G45" i="39" s="1"/>
  <c r="G46" i="39" s="1"/>
  <c r="G47" i="39" s="1"/>
  <c r="G48" i="39" s="1"/>
  <c r="G49" i="39" s="1"/>
  <c r="G50" i="39" s="1"/>
  <c r="G51" i="39" s="1"/>
  <c r="G52" i="39" s="1"/>
  <c r="G53" i="39" s="1"/>
  <c r="G54" i="39" s="1"/>
  <c r="G55" i="39" s="1"/>
  <c r="G56" i="39" s="1"/>
  <c r="G57" i="39" s="1"/>
  <c r="J9" i="39"/>
  <c r="G18" i="42" l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G35" i="42" s="1"/>
  <c r="G36" i="42" s="1"/>
  <c r="G37" i="42" s="1"/>
  <c r="G38" i="42" s="1"/>
  <c r="G39" i="42" s="1"/>
  <c r="G40" i="42" s="1"/>
  <c r="G41" i="42" s="1"/>
  <c r="G42" i="42" s="1"/>
  <c r="G43" i="42" s="1"/>
  <c r="G44" i="42" s="1"/>
  <c r="G45" i="42" s="1"/>
  <c r="G46" i="42" s="1"/>
  <c r="G47" i="42" s="1"/>
  <c r="G48" i="42" s="1"/>
  <c r="G49" i="42" s="1"/>
  <c r="G50" i="42" s="1"/>
  <c r="G51" i="42" s="1"/>
  <c r="G52" i="42" s="1"/>
  <c r="G53" i="42" s="1"/>
  <c r="G54" i="42" s="1"/>
  <c r="G55" i="42" s="1"/>
  <c r="G56" i="42" s="1"/>
  <c r="G57" i="42" s="1"/>
  <c r="G58" i="42" s="1"/>
  <c r="G59" i="42" s="1"/>
  <c r="G60" i="42" s="1"/>
  <c r="G61" i="42" s="1"/>
  <c r="G62" i="42" s="1"/>
  <c r="G63" i="42" s="1"/>
  <c r="G64" i="42" s="1"/>
  <c r="G65" i="42" s="1"/>
  <c r="G66" i="42" s="1"/>
  <c r="G67" i="42" s="1"/>
  <c r="G68" i="42" s="1"/>
  <c r="G69" i="42" s="1"/>
  <c r="G70" i="42" s="1"/>
  <c r="G71" i="42" s="1"/>
  <c r="G72" i="42" s="1"/>
  <c r="G73" i="42" s="1"/>
  <c r="G74" i="42" s="1"/>
  <c r="G75" i="42" s="1"/>
  <c r="G76" i="42" s="1"/>
  <c r="G77" i="42" s="1"/>
  <c r="G78" i="42" s="1"/>
  <c r="G79" i="42" s="1"/>
  <c r="G80" i="42" s="1"/>
  <c r="G81" i="42" s="1"/>
  <c r="G82" i="42" s="1"/>
  <c r="G83" i="42" s="1"/>
  <c r="G84" i="42" s="1"/>
  <c r="G85" i="42" s="1"/>
  <c r="G86" i="42" s="1"/>
  <c r="G87" i="42" s="1"/>
  <c r="G88" i="42" s="1"/>
  <c r="G89" i="42" s="1"/>
  <c r="G90" i="42" s="1"/>
  <c r="G91" i="42" s="1"/>
  <c r="G92" i="42" s="1"/>
  <c r="G93" i="42" s="1"/>
  <c r="G94" i="42" s="1"/>
  <c r="G95" i="42" s="1"/>
  <c r="G96" i="42" s="1"/>
  <c r="G97" i="42" s="1"/>
  <c r="G98" i="42" s="1"/>
  <c r="G99" i="42" s="1"/>
  <c r="G100" i="42" s="1"/>
  <c r="G101" i="42" s="1"/>
  <c r="G102" i="42" s="1"/>
  <c r="G103" i="42" s="1"/>
  <c r="G104" i="42" s="1"/>
  <c r="G105" i="42" s="1"/>
  <c r="G106" i="42" s="1"/>
  <c r="G107" i="42" s="1"/>
  <c r="M25" i="136"/>
  <c r="G49" i="33"/>
  <c r="G140" i="39"/>
  <c r="A137" i="39" l="1"/>
  <c r="A138" i="39" s="1"/>
  <c r="A139" i="39" s="1"/>
  <c r="J16" i="4"/>
  <c r="F9" i="38" l="1"/>
  <c r="E9" i="38"/>
  <c r="E97" i="38" s="1"/>
  <c r="G97" i="38" s="1"/>
  <c r="F97" i="38"/>
  <c r="A10" i="38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4" i="38"/>
  <c r="F35" i="37"/>
  <c r="F25" i="33" s="1"/>
  <c r="E35" i="37"/>
  <c r="A10" i="37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G9" i="37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A4" i="37"/>
  <c r="G9" i="38" l="1"/>
  <c r="G10" i="38" s="1"/>
  <c r="G11" i="38" s="1"/>
  <c r="G12" i="38" s="1"/>
  <c r="G13" i="38" s="1"/>
  <c r="G14" i="38" s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G35" i="38" s="1"/>
  <c r="G36" i="38" s="1"/>
  <c r="G37" i="38" s="1"/>
  <c r="G38" i="38" s="1"/>
  <c r="G39" i="38" s="1"/>
  <c r="G40" i="38" s="1"/>
  <c r="G41" i="38" s="1"/>
  <c r="G42" i="38" s="1"/>
  <c r="G43" i="38" s="1"/>
  <c r="G44" i="38" s="1"/>
  <c r="G45" i="38" s="1"/>
  <c r="G46" i="38" s="1"/>
  <c r="G47" i="38" s="1"/>
  <c r="G48" i="38" s="1"/>
  <c r="G49" i="38" s="1"/>
  <c r="G50" i="38" s="1"/>
  <c r="G51" i="38" s="1"/>
  <c r="G52" i="38" s="1"/>
  <c r="G53" i="38" s="1"/>
  <c r="G54" i="38" s="1"/>
  <c r="G55" i="38" s="1"/>
  <c r="G56" i="38" s="1"/>
  <c r="G57" i="38" s="1"/>
  <c r="G58" i="38" s="1"/>
  <c r="G59" i="38" s="1"/>
  <c r="G60" i="38" s="1"/>
  <c r="G61" i="38" s="1"/>
  <c r="G62" i="38" s="1"/>
  <c r="G63" i="38" s="1"/>
  <c r="G64" i="38" s="1"/>
  <c r="G65" i="38" s="1"/>
  <c r="G66" i="38" s="1"/>
  <c r="G67" i="38" s="1"/>
  <c r="G68" i="38" s="1"/>
  <c r="G69" i="38" s="1"/>
  <c r="G70" i="38" s="1"/>
  <c r="G71" i="38" s="1"/>
  <c r="G72" i="38" s="1"/>
  <c r="G73" i="38" s="1"/>
  <c r="G74" i="38" s="1"/>
  <c r="G75" i="38" s="1"/>
  <c r="G76" i="38" s="1"/>
  <c r="G77" i="38" s="1"/>
  <c r="G78" i="38" s="1"/>
  <c r="G79" i="38" s="1"/>
  <c r="G80" i="38" s="1"/>
  <c r="G81" i="38" s="1"/>
  <c r="G82" i="38" s="1"/>
  <c r="G83" i="38" s="1"/>
  <c r="G84" i="38" s="1"/>
  <c r="G85" i="38" s="1"/>
  <c r="G86" i="38" s="1"/>
  <c r="G87" i="38" s="1"/>
  <c r="G88" i="38" s="1"/>
  <c r="G89" i="38" s="1"/>
  <c r="G90" i="38" s="1"/>
  <c r="G91" i="38" s="1"/>
  <c r="G92" i="38" s="1"/>
  <c r="G93" i="38" s="1"/>
  <c r="G94" i="38" s="1"/>
  <c r="G95" i="38" s="1"/>
  <c r="G96" i="38" s="1"/>
  <c r="G35" i="37"/>
  <c r="E25" i="33"/>
  <c r="G25" i="33" s="1"/>
  <c r="D96" i="33"/>
  <c r="D95" i="33"/>
  <c r="D94" i="33"/>
  <c r="D69" i="33"/>
  <c r="D68" i="33"/>
  <c r="D67" i="33"/>
  <c r="D56" i="33"/>
  <c r="D55" i="33"/>
  <c r="D54" i="33"/>
  <c r="D53" i="33"/>
  <c r="D52" i="33"/>
  <c r="D51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AC24" i="28" l="1"/>
  <c r="AA24" i="28"/>
  <c r="Z24" i="28"/>
  <c r="Y24" i="28"/>
  <c r="X24" i="28"/>
  <c r="W24" i="28"/>
  <c r="U24" i="28"/>
  <c r="T24" i="28"/>
  <c r="S24" i="28"/>
  <c r="R24" i="28"/>
  <c r="P24" i="28"/>
  <c r="N24" i="28"/>
  <c r="L24" i="28"/>
  <c r="K24" i="28"/>
  <c r="G24" i="28"/>
  <c r="F24" i="28"/>
  <c r="AD23" i="28"/>
  <c r="AD22" i="28"/>
  <c r="AD21" i="28"/>
  <c r="AD20" i="28"/>
  <c r="AD19" i="28"/>
  <c r="AD18" i="28"/>
  <c r="AD17" i="28"/>
  <c r="AD16" i="28"/>
  <c r="AD15" i="28"/>
  <c r="AD14" i="28"/>
  <c r="AD13" i="28"/>
  <c r="AD12" i="28"/>
  <c r="AD11" i="28"/>
  <c r="AD10" i="28"/>
  <c r="AD9" i="28"/>
  <c r="F99" i="27"/>
  <c r="F96" i="33" s="1"/>
  <c r="A10" i="27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4" i="27"/>
  <c r="F35" i="36"/>
  <c r="F21" i="33" s="1"/>
  <c r="E35" i="36"/>
  <c r="A10" i="36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G9" i="36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A4" i="36"/>
  <c r="F34" i="34"/>
  <c r="F20" i="33" s="1"/>
  <c r="E34" i="34"/>
  <c r="A10" i="34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G9" i="34"/>
  <c r="G10" i="34" s="1"/>
  <c r="G11" i="34" s="1"/>
  <c r="G12" i="34" s="1"/>
  <c r="G13" i="34" s="1"/>
  <c r="G14" i="34" s="1"/>
  <c r="A4" i="34"/>
  <c r="AD24" i="28" l="1"/>
  <c r="G34" i="34"/>
  <c r="E20" i="33"/>
  <c r="G20" i="33" s="1"/>
  <c r="G35" i="36"/>
  <c r="E21" i="33"/>
  <c r="G21" i="33" s="1"/>
  <c r="K20" i="33"/>
  <c r="A10" i="33" l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51" i="33" s="1"/>
  <c r="A52" i="33" s="1"/>
  <c r="A53" i="33" s="1"/>
  <c r="A54" i="33" s="1"/>
  <c r="A55" i="33" s="1"/>
  <c r="A56" i="33" s="1"/>
  <c r="A67" i="33" s="1"/>
  <c r="A68" i="33" s="1"/>
  <c r="A69" i="33" s="1"/>
  <c r="A94" i="33" s="1"/>
  <c r="A95" i="33" s="1"/>
  <c r="A96" i="33" s="1"/>
  <c r="A97" i="33" s="1"/>
  <c r="G9" i="23" l="1"/>
  <c r="J17" i="18" l="1"/>
  <c r="F54" i="33" l="1"/>
  <c r="A10" i="3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43" i="31" s="1"/>
  <c r="G9" i="3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A4" i="31"/>
  <c r="E54" i="33" l="1"/>
  <c r="G54" i="33" s="1"/>
  <c r="G144" i="31"/>
  <c r="J13" i="16" l="1"/>
  <c r="K14" i="4" l="1"/>
  <c r="K19" i="4"/>
  <c r="L24" i="17" l="1"/>
  <c r="AD10" i="29" l="1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C24" i="29" l="1"/>
  <c r="AA24" i="29"/>
  <c r="Z24" i="29"/>
  <c r="Y24" i="29"/>
  <c r="X24" i="29"/>
  <c r="W24" i="29"/>
  <c r="U24" i="29"/>
  <c r="T24" i="29"/>
  <c r="S24" i="29"/>
  <c r="R24" i="29"/>
  <c r="P24" i="29"/>
  <c r="N24" i="29"/>
  <c r="L24" i="29"/>
  <c r="K24" i="29"/>
  <c r="G24" i="29"/>
  <c r="F24" i="29"/>
  <c r="AD9" i="29"/>
  <c r="AD24" i="29" s="1"/>
  <c r="F35" i="25"/>
  <c r="F95" i="33" s="1"/>
  <c r="E35" i="25"/>
  <c r="E95" i="33" s="1"/>
  <c r="A10" i="25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G9" i="25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4" i="25" s="1"/>
  <c r="A4" i="25"/>
  <c r="F217" i="24"/>
  <c r="G217" i="24" s="1"/>
  <c r="E217" i="24"/>
  <c r="A10" i="24"/>
  <c r="A11" i="24" s="1"/>
  <c r="A13" i="24" s="1"/>
  <c r="A14" i="24" s="1"/>
  <c r="A15" i="24" s="1"/>
  <c r="A16" i="24" s="1"/>
  <c r="A18" i="24" s="1"/>
  <c r="A19" i="24" s="1"/>
  <c r="A20" i="24" s="1"/>
  <c r="A24" i="24" s="1"/>
  <c r="A26" i="24" s="1"/>
  <c r="A28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16" i="24" s="1"/>
  <c r="G9" i="24"/>
  <c r="A4" i="24"/>
  <c r="E108" i="23"/>
  <c r="E69" i="33" s="1"/>
  <c r="K37" i="23"/>
  <c r="K38" i="23" s="1"/>
  <c r="J12" i="23"/>
  <c r="A10" i="23"/>
  <c r="A11" i="23" s="1"/>
  <c r="G10" i="23"/>
  <c r="G11" i="23" s="1"/>
  <c r="F108" i="23"/>
  <c r="F69" i="33" s="1"/>
  <c r="A4" i="23"/>
  <c r="F97" i="22"/>
  <c r="E97" i="22"/>
  <c r="E68" i="33" s="1"/>
  <c r="A10" i="22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G9" i="22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A4" i="22"/>
  <c r="F37" i="21"/>
  <c r="F67" i="33" s="1"/>
  <c r="E37" i="21"/>
  <c r="G9" i="21"/>
  <c r="G10" i="21" s="1"/>
  <c r="G11" i="21" s="1"/>
  <c r="G12" i="21" s="1"/>
  <c r="G13" i="21" s="1"/>
  <c r="G14" i="21" s="1"/>
  <c r="G15" i="21" s="1"/>
  <c r="G16" i="21" s="1"/>
  <c r="A4" i="21"/>
  <c r="F151" i="20"/>
  <c r="F150" i="20"/>
  <c r="E118" i="20"/>
  <c r="E56" i="33" s="1"/>
  <c r="F118" i="20"/>
  <c r="F56" i="33" s="1"/>
  <c r="A10" i="20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G11" i="20"/>
  <c r="G12" i="20" s="1"/>
  <c r="G13" i="20" s="1"/>
  <c r="G14" i="20" s="1"/>
  <c r="A4" i="20"/>
  <c r="E101" i="19"/>
  <c r="F101" i="19"/>
  <c r="A10" i="19"/>
  <c r="A11" i="19" s="1"/>
  <c r="A12" i="19" s="1"/>
  <c r="A13" i="19" s="1"/>
  <c r="A14" i="19" s="1"/>
  <c r="A15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G9" i="19"/>
  <c r="G10" i="19" s="1"/>
  <c r="G11" i="19" s="1"/>
  <c r="G12" i="19" s="1"/>
  <c r="G13" i="19" s="1"/>
  <c r="G14" i="19" s="1"/>
  <c r="G15" i="19" s="1"/>
  <c r="A4" i="19"/>
  <c r="G69" i="33" l="1"/>
  <c r="G95" i="33"/>
  <c r="G56" i="33"/>
  <c r="G15" i="20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F55" i="33"/>
  <c r="E55" i="33"/>
  <c r="A64" i="20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G37" i="21"/>
  <c r="E67" i="33"/>
  <c r="G67" i="33" s="1"/>
  <c r="F68" i="33"/>
  <c r="G68" i="33" s="1"/>
  <c r="E218" i="24"/>
  <c r="E94" i="33"/>
  <c r="F94" i="33"/>
  <c r="G35" i="25"/>
  <c r="G97" i="22"/>
  <c r="G108" i="23"/>
  <c r="G118" i="20"/>
  <c r="F100" i="18"/>
  <c r="E100" i="18"/>
  <c r="A10" i="18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G9" i="18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G97" i="18" s="1"/>
  <c r="G98" i="18" s="1"/>
  <c r="G99" i="18" s="1"/>
  <c r="A4" i="18"/>
  <c r="F93" i="17"/>
  <c r="E93" i="17"/>
  <c r="E52" i="33" s="1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8" i="17" s="1"/>
  <c r="A29" i="17" s="1"/>
  <c r="A30" i="17" s="1"/>
  <c r="A31" i="17" s="1"/>
  <c r="A32" i="17" s="1"/>
  <c r="A33" i="17" s="1"/>
  <c r="A34" i="17" s="1"/>
  <c r="A35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G9" i="17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A4" i="17"/>
  <c r="E183" i="16"/>
  <c r="E51" i="33" s="1"/>
  <c r="F183" i="16"/>
  <c r="F51" i="33" s="1"/>
  <c r="A10" i="16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G9" i="16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95" i="16" s="1"/>
  <c r="G96" i="16" s="1"/>
  <c r="G97" i="16" s="1"/>
  <c r="G98" i="16" s="1"/>
  <c r="G99" i="16" s="1"/>
  <c r="G100" i="16" s="1"/>
  <c r="G101" i="16" s="1"/>
  <c r="G102" i="16" s="1"/>
  <c r="G103" i="16" s="1"/>
  <c r="G104" i="16" s="1"/>
  <c r="G105" i="16" s="1"/>
  <c r="G106" i="16" s="1"/>
  <c r="G107" i="16" s="1"/>
  <c r="G108" i="16" s="1"/>
  <c r="G109" i="16" s="1"/>
  <c r="G110" i="16" s="1"/>
  <c r="G111" i="16" s="1"/>
  <c r="G112" i="16" s="1"/>
  <c r="G113" i="16" s="1"/>
  <c r="G114" i="16" s="1"/>
  <c r="G115" i="16" s="1"/>
  <c r="G116" i="16" s="1"/>
  <c r="G117" i="16" s="1"/>
  <c r="G118" i="16" s="1"/>
  <c r="G119" i="16" s="1"/>
  <c r="G120" i="16" s="1"/>
  <c r="G121" i="16" s="1"/>
  <c r="G122" i="16" s="1"/>
  <c r="G123" i="16" s="1"/>
  <c r="G124" i="16" s="1"/>
  <c r="G125" i="16" s="1"/>
  <c r="G126" i="16" s="1"/>
  <c r="G127" i="16" s="1"/>
  <c r="G128" i="16" s="1"/>
  <c r="G129" i="16" s="1"/>
  <c r="G130" i="16" s="1"/>
  <c r="G131" i="16" s="1"/>
  <c r="G132" i="16" s="1"/>
  <c r="G133" i="16" s="1"/>
  <c r="G134" i="16" s="1"/>
  <c r="G135" i="16" s="1"/>
  <c r="G136" i="16" s="1"/>
  <c r="G137" i="16" s="1"/>
  <c r="G138" i="16" s="1"/>
  <c r="G139" i="16" s="1"/>
  <c r="G140" i="16" s="1"/>
  <c r="G141" i="16" s="1"/>
  <c r="G142" i="16" s="1"/>
  <c r="G143" i="16" s="1"/>
  <c r="G144" i="16" s="1"/>
  <c r="G145" i="16" s="1"/>
  <c r="G146" i="16" s="1"/>
  <c r="G147" i="16" s="1"/>
  <c r="G148" i="16" s="1"/>
  <c r="G149" i="16" s="1"/>
  <c r="G150" i="16" s="1"/>
  <c r="G151" i="16" s="1"/>
  <c r="G152" i="16" s="1"/>
  <c r="G153" i="16" s="1"/>
  <c r="G154" i="16" s="1"/>
  <c r="G155" i="16" s="1"/>
  <c r="G156" i="16" s="1"/>
  <c r="G157" i="16" s="1"/>
  <c r="G158" i="16" s="1"/>
  <c r="G159" i="16" s="1"/>
  <c r="G160" i="16" s="1"/>
  <c r="G161" i="16" s="1"/>
  <c r="G162" i="16" s="1"/>
  <c r="G163" i="16" s="1"/>
  <c r="G164" i="16" s="1"/>
  <c r="G165" i="16" s="1"/>
  <c r="G166" i="16" s="1"/>
  <c r="G167" i="16" s="1"/>
  <c r="G168" i="16" s="1"/>
  <c r="G169" i="16" s="1"/>
  <c r="G170" i="16" s="1"/>
  <c r="G171" i="16" s="1"/>
  <c r="G172" i="16" s="1"/>
  <c r="G173" i="16" s="1"/>
  <c r="G174" i="16" s="1"/>
  <c r="G175" i="16" s="1"/>
  <c r="G176" i="16" s="1"/>
  <c r="G177" i="16" s="1"/>
  <c r="G178" i="16" s="1"/>
  <c r="G179" i="16" s="1"/>
  <c r="G180" i="16" s="1"/>
  <c r="G181" i="16" s="1"/>
  <c r="G182" i="16" s="1"/>
  <c r="A4" i="16"/>
  <c r="E113" i="15"/>
  <c r="E24" i="33" s="1"/>
  <c r="J68" i="15"/>
  <c r="F113" i="15"/>
  <c r="F24" i="33" s="1"/>
  <c r="A10" i="15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G9" i="15"/>
  <c r="A4" i="15"/>
  <c r="F91" i="14"/>
  <c r="F23" i="33" s="1"/>
  <c r="E91" i="14"/>
  <c r="E23" i="33" s="1"/>
  <c r="J20" i="14"/>
  <c r="A10" i="14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84" i="14" s="1"/>
  <c r="A85" i="14" s="1"/>
  <c r="A86" i="14" s="1"/>
  <c r="A87" i="14" s="1"/>
  <c r="A88" i="14" s="1"/>
  <c r="A89" i="14" s="1"/>
  <c r="A90" i="14" s="1"/>
  <c r="G9" i="14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A4" i="14"/>
  <c r="F37" i="13"/>
  <c r="F22" i="33" s="1"/>
  <c r="E37" i="13"/>
  <c r="A36" i="13"/>
  <c r="A10" i="13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G9" i="13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A4" i="13"/>
  <c r="F41" i="12"/>
  <c r="F19" i="33" s="1"/>
  <c r="E41" i="12"/>
  <c r="A10" i="12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34" i="12" s="1"/>
  <c r="A35" i="12" s="1"/>
  <c r="A36" i="12" s="1"/>
  <c r="A37" i="12" s="1"/>
  <c r="A38" i="12" s="1"/>
  <c r="A39" i="12" s="1"/>
  <c r="A40" i="12" s="1"/>
  <c r="G9" i="12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A4" i="12"/>
  <c r="F91" i="11"/>
  <c r="F18" i="33" s="1"/>
  <c r="E91" i="11"/>
  <c r="E18" i="33" s="1"/>
  <c r="A11" i="11"/>
  <c r="A12" i="11" s="1"/>
  <c r="A13" i="11" s="1"/>
  <c r="A14" i="11" s="1"/>
  <c r="A15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88" i="11" s="1"/>
  <c r="A89" i="11" s="1"/>
  <c r="A90" i="11" s="1"/>
  <c r="G10" i="1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J9" i="11"/>
  <c r="F155" i="10"/>
  <c r="E155" i="10"/>
  <c r="E17" i="33" s="1"/>
  <c r="G9" i="10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A4" i="10"/>
  <c r="F31" i="9"/>
  <c r="F15" i="33" s="1"/>
  <c r="E31" i="9"/>
  <c r="A22" i="9"/>
  <c r="A23" i="9" s="1"/>
  <c r="A24" i="9" s="1"/>
  <c r="A25" i="9" s="1"/>
  <c r="A26" i="9" s="1"/>
  <c r="A27" i="9" s="1"/>
  <c r="A28" i="9" s="1"/>
  <c r="A29" i="9" s="1"/>
  <c r="A30" i="9" s="1"/>
  <c r="A10" i="9"/>
  <c r="A11" i="9" s="1"/>
  <c r="A12" i="9" s="1"/>
  <c r="A13" i="9" s="1"/>
  <c r="A14" i="9" s="1"/>
  <c r="A15" i="9" s="1"/>
  <c r="A16" i="9" s="1"/>
  <c r="A17" i="9" s="1"/>
  <c r="A18" i="9" s="1"/>
  <c r="A19" i="9" s="1"/>
  <c r="G9" i="9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A4" i="9"/>
  <c r="F58" i="8"/>
  <c r="F14" i="33" s="1"/>
  <c r="E58" i="8"/>
  <c r="E14" i="33" s="1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G9" i="8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A4" i="8"/>
  <c r="F47" i="7"/>
  <c r="F13" i="33" s="1"/>
  <c r="A11" i="7"/>
  <c r="A12" i="7" s="1"/>
  <c r="A13" i="7" s="1"/>
  <c r="E47" i="7"/>
  <c r="E13" i="33" s="1"/>
  <c r="G58" i="17" l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18" i="33"/>
  <c r="G24" i="33"/>
  <c r="G14" i="33"/>
  <c r="G23" i="33"/>
  <c r="G55" i="33"/>
  <c r="G51" i="33"/>
  <c r="G13" i="33"/>
  <c r="G94" i="33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42" i="7" s="1"/>
  <c r="A43" i="7" s="1"/>
  <c r="A44" i="7" s="1"/>
  <c r="A45" i="7" s="1"/>
  <c r="A46" i="7" s="1"/>
  <c r="G31" i="9"/>
  <c r="E15" i="33"/>
  <c r="G15" i="33" s="1"/>
  <c r="F17" i="33"/>
  <c r="G17" i="33" s="1"/>
  <c r="E19" i="33"/>
  <c r="G19" i="33" s="1"/>
  <c r="G37" i="13"/>
  <c r="E22" i="33"/>
  <c r="G22" i="33" s="1"/>
  <c r="A21" i="16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E53" i="33"/>
  <c r="F53" i="33"/>
  <c r="F52" i="33"/>
  <c r="G52" i="33" s="1"/>
  <c r="G47" i="7"/>
  <c r="G10" i="15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91" i="14"/>
  <c r="G96" i="20"/>
  <c r="G97" i="20" s="1"/>
  <c r="G98" i="20" s="1"/>
  <c r="G99" i="20" s="1"/>
  <c r="G100" i="20" s="1"/>
  <c r="G101" i="20" s="1"/>
  <c r="G102" i="20" s="1"/>
  <c r="G103" i="20" s="1"/>
  <c r="G104" i="20" s="1"/>
  <c r="G105" i="20" s="1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93" i="17"/>
  <c r="G41" i="12"/>
  <c r="G91" i="11"/>
  <c r="G155" i="10"/>
  <c r="G58" i="8"/>
  <c r="G34" i="8"/>
  <c r="G35" i="8" s="1"/>
  <c r="G36" i="8" s="1"/>
  <c r="G100" i="18"/>
  <c r="G183" i="16"/>
  <c r="G113" i="15"/>
  <c r="G10" i="7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60" i="5"/>
  <c r="F54" i="5"/>
  <c r="F44" i="5"/>
  <c r="E43" i="5"/>
  <c r="E12" i="33" s="1"/>
  <c r="F43" i="5"/>
  <c r="F12" i="33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J5" i="5"/>
  <c r="A4" i="5"/>
  <c r="H67" i="4"/>
  <c r="H66" i="4"/>
  <c r="F62" i="4"/>
  <c r="E61" i="4"/>
  <c r="E11" i="33" s="1"/>
  <c r="J15" i="4"/>
  <c r="F61" i="4"/>
  <c r="F11" i="33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J7" i="4"/>
  <c r="J5" i="4"/>
  <c r="A4" i="4"/>
  <c r="F42" i="3"/>
  <c r="F16" i="33" s="1"/>
  <c r="E42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G10" i="3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F105" i="2"/>
  <c r="F106" i="2" s="1"/>
  <c r="H86" i="2"/>
  <c r="E83" i="2"/>
  <c r="F83" i="2"/>
  <c r="F10" i="3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7" i="2" s="1"/>
  <c r="A38" i="2" s="1"/>
  <c r="A39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74" i="2" s="1"/>
  <c r="A81" i="2" s="1"/>
  <c r="A82" i="2" s="1"/>
  <c r="G10" i="2"/>
  <c r="G11" i="2" s="1"/>
  <c r="G12" i="33" l="1"/>
  <c r="G53" i="33"/>
  <c r="G11" i="33"/>
  <c r="G42" i="3"/>
  <c r="E16" i="33"/>
  <c r="G16" i="33" s="1"/>
  <c r="E10" i="33"/>
  <c r="G10" i="33" s="1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34" i="4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37" i="8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43" i="5"/>
  <c r="G61" i="4"/>
  <c r="G83" i="2"/>
  <c r="F84" i="2" s="1"/>
  <c r="F85" i="2" s="1"/>
  <c r="I10" i="33" l="1"/>
  <c r="G47" i="4"/>
  <c r="G48" i="4" s="1"/>
  <c r="E56" i="1"/>
  <c r="E9" i="33" s="1"/>
  <c r="A10" i="1"/>
  <c r="A11" i="1" s="1"/>
  <c r="A12" i="1" s="1"/>
  <c r="A13" i="1" s="1"/>
  <c r="A14" i="1" s="1"/>
  <c r="A15" i="1" s="1"/>
  <c r="A16" i="1" s="1"/>
  <c r="A17" i="1" s="1"/>
  <c r="A18" i="1" s="1"/>
  <c r="G49" i="4" l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F56" i="1"/>
  <c r="G56" i="1" s="1"/>
  <c r="G9" i="1"/>
  <c r="G10" i="1"/>
  <c r="G11" i="1" s="1"/>
  <c r="G12" i="1" s="1"/>
  <c r="G13" i="1" s="1"/>
  <c r="G14" i="1" s="1"/>
  <c r="G15" i="1" s="1"/>
  <c r="G16" i="1" s="1"/>
  <c r="G17" i="1" s="1"/>
  <c r="G18" i="1" s="1"/>
  <c r="F9" i="33" l="1"/>
  <c r="F98" i="33" s="1"/>
  <c r="G9" i="33" l="1"/>
  <c r="I9" i="33" s="1"/>
  <c r="G10" i="27"/>
  <c r="G11" i="27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G56" i="27" s="1"/>
  <c r="G57" i="27" s="1"/>
  <c r="G58" i="27" s="1"/>
  <c r="G59" i="27" s="1"/>
  <c r="G60" i="27" s="1"/>
  <c r="G61" i="27" s="1"/>
  <c r="G62" i="27" s="1"/>
  <c r="G63" i="27" s="1"/>
  <c r="G64" i="27" s="1"/>
  <c r="G65" i="27" s="1"/>
  <c r="G66" i="27" s="1"/>
  <c r="G67" i="27" s="1"/>
  <c r="G68" i="27" s="1"/>
  <c r="G69" i="27" s="1"/>
  <c r="G70" i="27" s="1"/>
  <c r="G71" i="27" s="1"/>
  <c r="G72" i="27" s="1"/>
  <c r="G73" i="27" s="1"/>
  <c r="G74" i="27" s="1"/>
  <c r="G75" i="27" s="1"/>
  <c r="G76" i="27" s="1"/>
  <c r="G77" i="27" s="1"/>
  <c r="G78" i="27" s="1"/>
  <c r="G79" i="27" s="1"/>
  <c r="G80" i="27" s="1"/>
  <c r="G81" i="27" s="1"/>
  <c r="G82" i="27" s="1"/>
  <c r="G83" i="27" s="1"/>
  <c r="G84" i="27" s="1"/>
  <c r="G85" i="27" s="1"/>
  <c r="G86" i="27" s="1"/>
  <c r="G87" i="27" s="1"/>
  <c r="G88" i="27" s="1"/>
  <c r="G89" i="27" s="1"/>
  <c r="G90" i="27" s="1"/>
  <c r="G91" i="27" s="1"/>
  <c r="G92" i="27" s="1"/>
  <c r="G93" i="27" s="1"/>
  <c r="G94" i="27" s="1"/>
  <c r="G95" i="27" s="1"/>
  <c r="G96" i="27" s="1"/>
  <c r="G97" i="27" s="1"/>
  <c r="G98" i="27" s="1"/>
  <c r="G9" i="27"/>
  <c r="E99" i="27"/>
  <c r="G99" i="27" s="1"/>
  <c r="E96" i="33"/>
  <c r="G96" i="33" s="1"/>
  <c r="G98" i="33" l="1"/>
  <c r="E98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6" authorId="0" shapeId="0" xr:uid="{5BDF6CD0-E178-4CF4-BA20-B03984F74C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<sst xmlns="http://schemas.openxmlformats.org/spreadsheetml/2006/main" count="26407" uniqueCount="611">
  <si>
    <t xml:space="preserve">Công ty TNHH Giấy Đông Á </t>
  </si>
  <si>
    <t>Thôn Mộc Ty, xã Trưng Trắc, huyện Văn Lâm, tỉnh Hưng Yên</t>
  </si>
  <si>
    <t>THẺ KHO NGUYÊN VẬT LIỆU</t>
  </si>
  <si>
    <t>STT</t>
  </si>
  <si>
    <t>Ngày tháng</t>
  </si>
  <si>
    <t>ĐVT</t>
  </si>
  <si>
    <t>Số lượng
 nhập</t>
  </si>
  <si>
    <t>Số lượng
 xuất</t>
  </si>
  <si>
    <t xml:space="preserve">Tồn </t>
  </si>
  <si>
    <t>Người nhận</t>
  </si>
  <si>
    <t>Ghi chú</t>
  </si>
  <si>
    <t xml:space="preserve">Tồn đầu kỳ </t>
  </si>
  <si>
    <t>cái</t>
  </si>
  <si>
    <t>Tổng cộng</t>
  </si>
  <si>
    <t>Sản Xuất</t>
  </si>
  <si>
    <t>Tồn đầu kỳ</t>
  </si>
  <si>
    <t>Hỏng 5 hộp</t>
  </si>
  <si>
    <t>hộp</t>
  </si>
  <si>
    <t xml:space="preserve">Cty TNHH Đông Á </t>
  </si>
  <si>
    <t>kg</t>
  </si>
  <si>
    <t>Nhập lại kho cho khớp vưới kk ngày 28/02/2019</t>
  </si>
  <si>
    <t>Nhập lại kho cho khớp với kk ngày 28/02/2019</t>
  </si>
  <si>
    <t>Nơi nhận</t>
  </si>
  <si>
    <t>Kg</t>
  </si>
  <si>
    <t>Thùng cattong khăn lụa soft pack 250 tờ ( 52.3x40.3x44.6)</t>
  </si>
  <si>
    <t>Xuât cho anh giao 10 cái</t>
  </si>
  <si>
    <t>10 vỏ cho simcom</t>
  </si>
  <si>
    <t>Đóng combo vpHN</t>
  </si>
  <si>
    <t>Xuất cho bên simcom10 vỏ thùng</t>
  </si>
  <si>
    <t>Hà Nội</t>
  </si>
  <si>
    <t>Thùng cattong khăn 120 tờ ( 67.6x48.2x39.5)</t>
  </si>
  <si>
    <t>Tồn đầu kỳ (48.4*36.4*45.6)</t>
  </si>
  <si>
    <t>Tồn đầu kỳ (66.4*34.4*62.6)</t>
  </si>
  <si>
    <t>Cái</t>
  </si>
  <si>
    <t xml:space="preserve">                 </t>
  </si>
  <si>
    <t xml:space="preserve">                     </t>
  </si>
  <si>
    <t xml:space="preserve"> </t>
  </si>
  <si>
    <t>Tồn đầu kỳ (61.5*45*56)</t>
  </si>
  <si>
    <t>Thùng cattong khăn hộp 180 tờ</t>
  </si>
  <si>
    <t>Phôi giấy NK 325,ĐL17, 1lớp</t>
  </si>
  <si>
    <t>Phôi giấy NK 23,ĐL 17,1Lớp</t>
  </si>
  <si>
    <t>Đưa đi thử máy</t>
  </si>
  <si>
    <t>Phôi giấy FC 760, ĐL 13, 2 lớp</t>
  </si>
  <si>
    <t>Xuất 2 cặp làm trong 3 ngày vì không có người xuất nvl</t>
  </si>
  <si>
    <t>Băng dính trắng</t>
  </si>
  <si>
    <t>cuộn</t>
  </si>
  <si>
    <t>Keo 3395FS</t>
  </si>
  <si>
    <t>Đến hết ngày 15/8</t>
  </si>
  <si>
    <t>THẺ KHO VẬT TƯ DÙNG CHO SẢN XUẤT</t>
  </si>
  <si>
    <t>Ngày tháng 
nhập kho</t>
  </si>
  <si>
    <t>Số lượng 
đầu kỳ</t>
  </si>
  <si>
    <t xml:space="preserve">Số lượng
 nhập </t>
  </si>
  <si>
    <t xml:space="preserve">Ngày xuất/
 Số lượng
</t>
  </si>
  <si>
    <t xml:space="preserve">Ngày xuất/
 Số lượng 
</t>
  </si>
  <si>
    <t xml:space="preserve">Ngày xuất/
 Số lượng
</t>
  </si>
  <si>
    <t xml:space="preserve">Ngày xuất/
 Số lượng </t>
  </si>
  <si>
    <t xml:space="preserve">Ngày xuất/
 Số lượng
</t>
  </si>
  <si>
    <t>Tồn cuối kỳ</t>
  </si>
  <si>
    <t>AW Hydroil HM 68-thùng 18 lít ( Dầu thủy lực )</t>
  </si>
  <si>
    <t>lít</t>
  </si>
  <si>
    <t>16</t>
  </si>
  <si>
    <t>Dầu A360B</t>
  </si>
  <si>
    <t>Mỏ hàn túi</t>
  </si>
  <si>
    <t>1</t>
  </si>
  <si>
    <t>Băng mực in date</t>
  </si>
  <si>
    <t>11</t>
  </si>
  <si>
    <t>Keo con chó</t>
  </si>
  <si>
    <t>0</t>
  </si>
  <si>
    <t>Dầu máy khâu</t>
  </si>
  <si>
    <t>Dầu ăn Bizee</t>
  </si>
  <si>
    <t>Màng co</t>
  </si>
  <si>
    <t>Nhớt HD50</t>
  </si>
  <si>
    <t>13</t>
  </si>
  <si>
    <t>Thanh nhiệt</t>
  </si>
  <si>
    <t>Thanh nhiệt máy dập hộp</t>
  </si>
  <si>
    <t>Lõi nhiệt ngắn</t>
  </si>
  <si>
    <t>Lõi nhiệt dài</t>
  </si>
  <si>
    <t>Băng dính chịu nhiệt</t>
  </si>
  <si>
    <t>3.4</t>
  </si>
  <si>
    <t>Hộp</t>
  </si>
  <si>
    <t>Tem khăn giấy 23*23</t>
  </si>
  <si>
    <t>5</t>
  </si>
  <si>
    <t>Số lượng 
 nhập 03/01/2022</t>
  </si>
  <si>
    <t>Ngày xuất/
 Số lượng 
03/01/2022</t>
  </si>
  <si>
    <t xml:space="preserve">Ngày xuất/Số lượng </t>
  </si>
  <si>
    <t>Hỏng 1 hộp</t>
  </si>
  <si>
    <t>Ngày xuất/Số lượng /12/05/2022</t>
  </si>
  <si>
    <t>Hỏng 5 cái hộp</t>
  </si>
  <si>
    <t>Hỏng 1 cái hộp</t>
  </si>
  <si>
    <t>Nguyễn thanh Tâm</t>
  </si>
  <si>
    <t>SX</t>
  </si>
  <si>
    <t>Nguyễn Thanh Tâm</t>
  </si>
  <si>
    <t>Nguyễn T.Thanh Tâm</t>
  </si>
  <si>
    <t>Nguyễn Thị ,Tâm</t>
  </si>
  <si>
    <t>Nguyễn Thị Thanh Tâm</t>
  </si>
  <si>
    <t>Đơn
 vị tính</t>
  </si>
  <si>
    <t>Thùng cattong Napkin 23*23 (48.4*36.4*45.6)</t>
  </si>
  <si>
    <t>Tồn 
đầu kỳ</t>
  </si>
  <si>
    <t>Tồn cuối</t>
  </si>
  <si>
    <t>Cuộn</t>
  </si>
  <si>
    <t>Nguyến thị Liên</t>
  </si>
  <si>
    <t>Nguyễn thanh tâm</t>
  </si>
  <si>
    <t>Tem khăn giấy 23*24</t>
  </si>
  <si>
    <t xml:space="preserve"> Vỏ hộp giấy ăn Shelton 120 vuông trắng 117*117*125mm</t>
  </si>
  <si>
    <t>Vỏ hộp giấy ăn Shelton 120 vuông Xanh 114*125*130mm</t>
  </si>
  <si>
    <t>Vỏ hộp giấy ăn Shelton 120 vuông lá xanh 114*125*130mm</t>
  </si>
  <si>
    <t>Vỏ hộp Shelton hoa nhí Xanh  90*120*220mm</t>
  </si>
  <si>
    <t>Túi Nilong trắng đựng hộp 180</t>
  </si>
  <si>
    <t>Túi nilong trắng đựng hộp 120 vuông</t>
  </si>
  <si>
    <t>Túi nilong NK 33*33 lá xanh</t>
  </si>
  <si>
    <t>Túi nilong Napkin 33*33 Cánh Bướm</t>
  </si>
  <si>
    <t>Nilong soft back lá xanh 250 tờ</t>
  </si>
  <si>
    <t>Nilong soft back hoa văn tròn 250 tờ</t>
  </si>
  <si>
    <t>Thùng cattong Napkin 23 cân (48.4*36.4*45.6)</t>
  </si>
  <si>
    <t xml:space="preserve">Thùng cattong khăn napkin 33*33 </t>
  </si>
  <si>
    <t xml:space="preserve"> Túi nilong Napkin hoa văn  tròn 23*23</t>
  </si>
  <si>
    <t xml:space="preserve"> Túi nilong Napkin hoa văn  tròn 33*33</t>
  </si>
  <si>
    <t>Tên nguyên vật liệu</t>
  </si>
  <si>
    <t>Vỏ hộp Shelton Hồng Vàng 180 tờ (90*120*220mm)</t>
  </si>
  <si>
    <t>Vỏ hộp Shelton Hồng Đỏ 180 tờ ( 90*120*220mm)</t>
  </si>
  <si>
    <t>Vỏ hộp Shelton Cánh bướm trắng 180 tờ  (90*120*220mm)</t>
  </si>
  <si>
    <t>Vỏ hộp Shelton hoa nhí Xanh 180 tờ (90*120*220mm)</t>
  </si>
  <si>
    <t>vỏ hộp Shelton oto đen 180 tờ</t>
  </si>
  <si>
    <t>Vỏ hộp Shelton cánh bướm đen 180 tờ</t>
  </si>
  <si>
    <t>Vỏ hộp Shelton Hồng Vàng 180 tờ ( 90*120*220mm)</t>
  </si>
  <si>
    <t>Vỏ hộp Shelton Hồng Đỏ 180 tờ (90*120*220mm)</t>
  </si>
  <si>
    <t>Vỏ hộp Shelton hoa nhí Xanh 180 tờ  (90*120*220mm)</t>
  </si>
  <si>
    <t xml:space="preserve">vỏ hộp Shelton oto đen 180 tờ </t>
  </si>
  <si>
    <t>đóng combo</t>
  </si>
  <si>
    <t>Nguyễn Thị Liên</t>
  </si>
  <si>
    <t>Nguyễn Thị T.Tâm</t>
  </si>
  <si>
    <t>Nguyễn thị t.Tâm</t>
  </si>
  <si>
    <t>Nguyễn Thị T.tâm</t>
  </si>
  <si>
    <t>Sản xuất</t>
  </si>
  <si>
    <t>Tem GVS công nghiệp</t>
  </si>
  <si>
    <t>Cty Tấn Hưng</t>
  </si>
  <si>
    <t>Gửi trên hà nội xuống gia công</t>
  </si>
  <si>
    <t>Túi giấy vệ sinh 10 cuộn 2 lớp có lõi 207*710*94</t>
  </si>
  <si>
    <t>chị nga đưa xuống cty tấn hưng mã vạch khác</t>
  </si>
  <si>
    <t xml:space="preserve">                                             </t>
  </si>
  <si>
    <t>Nguyễn thị Liên</t>
  </si>
  <si>
    <t>Liên</t>
  </si>
  <si>
    <t>SX( phôi lô mới)</t>
  </si>
  <si>
    <t>Đầu tiên 126</t>
  </si>
  <si>
    <t>đầu tiên 188</t>
  </si>
  <si>
    <t>đầu tiên 107.48</t>
  </si>
  <si>
    <t>Bao trăng 23 *23 cân : 44.2*22*5.5*5.5*5</t>
  </si>
  <si>
    <t>Phôi mới</t>
  </si>
  <si>
    <t>Hỏng 2 cái</t>
  </si>
  <si>
    <t>Nguyễn Mỹ Linh</t>
  </si>
  <si>
    <t>BPKDGDA HN</t>
  </si>
  <si>
    <t>Nguyễn Ngọc giao</t>
  </si>
  <si>
    <t>Gửi vào sg thay vỏ</t>
  </si>
  <si>
    <t>Nguyễn T. Liên</t>
  </si>
  <si>
    <t>Dan bao GVSCN</t>
  </si>
  <si>
    <t>hỏng 1 hộp</t>
  </si>
  <si>
    <t>hỏng 2 hộp</t>
  </si>
  <si>
    <t>Túi giấy vệ sinh 3 lớp có lõi xanh ngọc</t>
  </si>
  <si>
    <t>nhận về 198,7 nhwung có 0,5kg bao lỗi</t>
  </si>
  <si>
    <t>Túi giấy vệ sinh 3 lớp không lõi xanh dương</t>
  </si>
  <si>
    <t>Trung bình 1kg bao = 47 cái</t>
  </si>
  <si>
    <t>Trung bình 1kg = 48 cái</t>
  </si>
  <si>
    <t>Phôi Xương Giang</t>
  </si>
  <si>
    <t>Phôi xương giang</t>
  </si>
  <si>
    <t>có 23 cây móp méo</t>
  </si>
  <si>
    <t>Cây</t>
  </si>
  <si>
    <t>1 cây = 280g</t>
  </si>
  <si>
    <t>Trung binh 1 cây lõi = 0,486kg</t>
  </si>
  <si>
    <t>Lõi 46*1,2-1,5mm*2880 phi trong 10mm +- 0,3mm tem sheltol</t>
  </si>
  <si>
    <t>Lõi 76*1,5-1,8mm*2880 phi trong 10mm +- 0,3mm trăng</t>
  </si>
  <si>
    <t>Phôi giấy XG K1420, ĐL 13, 3 lớp</t>
  </si>
  <si>
    <t>Phôi giấy XG K1420, ĐL 13, 2 lớp</t>
  </si>
  <si>
    <t>Số cuộn nhận</t>
  </si>
  <si>
    <t>Phôi giấy XG K2850, ĐL 14, 1 lớp</t>
  </si>
  <si>
    <t>Phôi giấy XG K2850, ĐL 17, 1 lớp</t>
  </si>
  <si>
    <t xml:space="preserve">Số cuộn nhận </t>
  </si>
  <si>
    <t>Nhận linh an về</t>
  </si>
  <si>
    <t>Hồng thiên</t>
  </si>
  <si>
    <t>Phôi giấy XG K1420, ĐL 22, 2 lớp</t>
  </si>
  <si>
    <t>Phôi giấy LA, ĐL 13, 2 lớp</t>
  </si>
  <si>
    <t>Số cuộn
 nhận</t>
  </si>
  <si>
    <t>Số kg 
có lõi</t>
  </si>
  <si>
    <t>số cuộn</t>
  </si>
  <si>
    <t>Mỗi cuộn nặng</t>
  </si>
  <si>
    <t>Túi Giấy Vệ Sinh 207*710*94 10 cuộn</t>
  </si>
  <si>
    <t>Màng bọc cuộn CN POE khổ 45cm</t>
  </si>
  <si>
    <t>Túi giấy vệ sinh 3 lớp 12 cuộn có lõi xanh ngọc M956</t>
  </si>
  <si>
    <t>Túi giấy vệ sinh 3 lớp 12 cuộn không lõi xanh dương M932</t>
  </si>
  <si>
    <t>Phôi rách</t>
  </si>
  <si>
    <t>Bao vô cây cuộn CN 47*95</t>
  </si>
  <si>
    <t>Bao 5 cuộn 30*70</t>
  </si>
  <si>
    <t>Bao vô cây 12 cuộn 665*105</t>
  </si>
  <si>
    <t>Bao vô cây 10 cuộn 555*100</t>
  </si>
  <si>
    <t>Thử máy và sx</t>
  </si>
  <si>
    <t>Trung bình 1kg bao = 37 cái</t>
  </si>
  <si>
    <t>Trung bình 1kg = 37 cái</t>
  </si>
  <si>
    <t>Màng cuộn SP 100 tờ 3 lớp M864 CPP Mờ( 115*175)</t>
  </si>
  <si>
    <t>Màng cuộn SP 100 tờ 4 lớp M857 CPP Mờ(115*175)</t>
  </si>
  <si>
    <t>Màng cuộn SP 250 tờ M871 CPP Mờ(175*175)</t>
  </si>
  <si>
    <t>Túi vệ sinh rút đáy</t>
  </si>
  <si>
    <t>Túi đa năng rút</t>
  </si>
  <si>
    <t>Tem dán bao vệ sinh 10 cuộn</t>
  </si>
  <si>
    <t>Phôi giấy XG K2770, ĐL 14, 1 lớp</t>
  </si>
  <si>
    <t>Phôi giấy XG K2770, ĐL 17, 1 lớp</t>
  </si>
  <si>
    <t>chưa biết nhập bao nhiêu</t>
  </si>
  <si>
    <t>Thùng catton sp 175*175 .540*453*380</t>
  </si>
  <si>
    <t>Thùng catton Khăn ĐA NĂNG RÚT ĐÁY.365*330*255</t>
  </si>
  <si>
    <t>Thùng catton GVS RÚT ĐÁY,365*330*255</t>
  </si>
  <si>
    <t>Thùng catton sp 175*175.360*273*270</t>
  </si>
  <si>
    <t>Thùng catton sp 3 lớp 115*175.360*260*245</t>
  </si>
  <si>
    <t>Thùng catton sp 4 lớp 115*175.360*285*245</t>
  </si>
  <si>
    <t>Thử máy</t>
  </si>
  <si>
    <t>Hỏng 10 cái</t>
  </si>
  <si>
    <t>sx</t>
  </si>
  <si>
    <t>Ống</t>
  </si>
  <si>
    <t>Lõi phi 42 khổ 2795</t>
  </si>
  <si>
    <t>1 cây = 0,49kg</t>
  </si>
  <si>
    <t>Túi hỏng 1,2kg</t>
  </si>
  <si>
    <t>Rách 0,7</t>
  </si>
  <si>
    <t>Túi vệ sinh rút đáy M987</t>
  </si>
  <si>
    <t>Túi đa năng rút  M796</t>
  </si>
  <si>
    <t>Lõi 46*1,2-1,5mm*2770 phi trong 10mm +- 0,3mm tem sheltol</t>
  </si>
  <si>
    <t>24/06/2024</t>
  </si>
  <si>
    <t>25/06/2024</t>
  </si>
  <si>
    <t>27/06/2024</t>
  </si>
  <si>
    <t>28/06/2024</t>
  </si>
  <si>
    <t>Dung môi</t>
  </si>
  <si>
    <t>Lọ</t>
  </si>
  <si>
    <t>250 cây anh học</t>
  </si>
  <si>
    <t>SX SP Cân</t>
  </si>
  <si>
    <t>Bao trăng sp cân</t>
  </si>
  <si>
    <t>Trong đó có 2 cuộn :502  và 505 kg chạy sp cân 1kg</t>
  </si>
  <si>
    <t>17/07/2024</t>
  </si>
  <si>
    <t>Bao trăng sp 10 gói</t>
  </si>
  <si>
    <t>thùng Đa Năng rút đáy 12 gói</t>
  </si>
  <si>
    <t>Thùng VS Rút Đáy 12 gói</t>
  </si>
  <si>
    <t>Thùng SP 3 lớp 100 gói</t>
  </si>
  <si>
    <t>Mạng CPP K315*40 Đa Năng 100 tờ</t>
  </si>
  <si>
    <t>19/07/2024</t>
  </si>
  <si>
    <t>18/07/2024</t>
  </si>
  <si>
    <t>Móc treo</t>
  </si>
  <si>
    <t>trung binh 9c/1kg</t>
  </si>
  <si>
    <t>20/07/2024</t>
  </si>
  <si>
    <t>23/07/2024</t>
  </si>
  <si>
    <t>24/07/2024</t>
  </si>
  <si>
    <t>Xuất 3 cái cho linh và 4 cái đóng thùng mẫu cho anh giao</t>
  </si>
  <si>
    <t>Phôi giấy XG K24, ĐL 17, 2 lớp</t>
  </si>
  <si>
    <t>Bao bì minh sơn</t>
  </si>
  <si>
    <t>Bao Bì minh Sơn</t>
  </si>
  <si>
    <t>Phôi giấy XG K800, ĐL 22, 2 lớp</t>
  </si>
  <si>
    <t>Túi giấy vệ sinh 3 lớp 12 cuộn không lõi xanh dương M933</t>
  </si>
  <si>
    <t>Túi giấy vệ sinh 3 lớp 12 cuộn không lõi xanh dương M934</t>
  </si>
  <si>
    <t>Xuất gửi cho Linh gửi nhà PP</t>
  </si>
  <si>
    <t>Xuât cho linh gửi NPP</t>
  </si>
  <si>
    <t>Xuất cho Linh</t>
  </si>
  <si>
    <t>Thùng catton sp 175*175 .540*453*381</t>
  </si>
  <si>
    <t>Thùng catton sp 175*175 .540*453*382</t>
  </si>
  <si>
    <t>Đóng lại hàng linh an</t>
  </si>
  <si>
    <t>Lê Hoàng Long</t>
  </si>
  <si>
    <t xml:space="preserve">                                       </t>
  </si>
  <si>
    <t>₫</t>
  </si>
  <si>
    <t>Đóng bao 100</t>
  </si>
  <si>
    <t>Lõi mỏng</t>
  </si>
  <si>
    <t>0,470g/1 cây</t>
  </si>
  <si>
    <t>Bọc cn 2 lớp linh an</t>
  </si>
  <si>
    <t>Bọc mang cn linh an</t>
  </si>
  <si>
    <t>Tem khăn giấy 24*24</t>
  </si>
  <si>
    <t>Do lõi sx dày cty hông thiên giảm giá cho 30%</t>
  </si>
  <si>
    <t>Màng cuộn SP 180 tờ 3 lớp M864 CPP Mờ( 195*175)</t>
  </si>
  <si>
    <t>Đựng phế</t>
  </si>
  <si>
    <t>Nhập lại dưới sx</t>
  </si>
  <si>
    <t>sx 1 VÀ 3 CHO bpkd hn</t>
  </si>
  <si>
    <t xml:space="preserve">Lõi 35*1mm*2860 Loại 1 pha ivory và( 0,25kg/1 ống)
 1 giấy chipbop loại trong trăng ngoài nâu </t>
  </si>
  <si>
    <t>Phôi giấy XG K2870, ĐL 15, 1 lớp</t>
  </si>
  <si>
    <t>Phôi giấy XG K2870, ĐL 18, 1 lớp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</si>
  <si>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</si>
  <si>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màng cháy 0,5 kg</t>
  </si>
  <si>
    <t>Rách 4 cái</t>
  </si>
  <si>
    <t>SX 1 bảo trì 2 dán đuòng viên để sơn</t>
  </si>
  <si>
    <t>SX CN 3 lơp</t>
  </si>
  <si>
    <t>Lõi 46*1mm*2860 Loại 1 pha ivory và( 0,32kg/1 ống)(2940)
 1 giấy chipbop loại trong trăng ngoài nâu có logo shelton</t>
  </si>
  <si>
    <t>Lõi 76*1,5-1,8mm*2940 phi trong 10mm +- 0,3mm trăng</t>
  </si>
  <si>
    <t>Phôi giấy XG K2900, ĐL 15, 1 lớp</t>
  </si>
  <si>
    <t>Bao 5 cuộn 29*70</t>
  </si>
  <si>
    <t>Thùng catton GVS RÚT ĐÁY,365*330*255( 6 gói)</t>
  </si>
  <si>
    <t>Thùng catton Khăn ĐA NĂNG RÚT ĐÁY.365*330*255 ( 6 gói)</t>
  </si>
  <si>
    <t>Thùng Đa Năng rút đáy 12 gói</t>
  </si>
  <si>
    <t>Thùng catton Sp 115 -  lớp 100 tờ</t>
  </si>
  <si>
    <t>Thùng SP 3  lớp 115- 100 gói</t>
  </si>
  <si>
    <t>SX : 2 cuộn</t>
  </si>
  <si>
    <t>SX: 2 cuộn</t>
  </si>
  <si>
    <t>28/10/2024</t>
  </si>
  <si>
    <t>SX sp cân</t>
  </si>
  <si>
    <t>29/10/2024</t>
  </si>
  <si>
    <t>Xuất bù cả dán hàng chuyến NPP TH</t>
  </si>
  <si>
    <t>30/10/2024</t>
  </si>
  <si>
    <t>01/11/2024</t>
  </si>
  <si>
    <t>02/11/2024</t>
  </si>
  <si>
    <t>SX giấy vs(3 cuộn)</t>
  </si>
  <si>
    <t>Phôi giấy XG K1420, ĐL 15, 2 lớp</t>
  </si>
  <si>
    <t>Xuất bù ngày 24/07/2024 chưa ghi phiếu xuất</t>
  </si>
  <si>
    <t>Xuất bù ngày 24/07/2024 sx nhưng quên ghi phiếu xuất</t>
  </si>
  <si>
    <t>Xuất đóng hàng mẫu cuộn giấy vệ sinh cho linh</t>
  </si>
  <si>
    <t>Đóng hàng mẫu cho linh</t>
  </si>
  <si>
    <t>2 CUỘN</t>
  </si>
  <si>
    <t>CN 2 lớp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</si>
  <si>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</si>
  <si>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Tem CN Tái chế Shera</t>
  </si>
  <si>
    <t>Tồn phôi</t>
  </si>
  <si>
    <t>Số 
cuộn nhận</t>
  </si>
  <si>
    <t>Túi giấy vệ sinh 3 lớp 12 cuộn không lõi xanh dương M935</t>
  </si>
  <si>
    <t>Túi giấy vệ sinh 3 lớp 12 cuộn không lõi xanh dương M936</t>
  </si>
  <si>
    <t>Túi giấy vệ sinh 3 lớp 12 cuộn không lõi xanh dương M937</t>
  </si>
  <si>
    <t>Túi giấy vệ sinh 3 lớp 12 cuộn không lõi xanh dương M938</t>
  </si>
  <si>
    <t>Túi giấy vệ sinh 3 lớp 12 cuộn không lõi xanh dương M939</t>
  </si>
  <si>
    <t>Túi giấy vệ sinh 3 lớp 12 cuộn không lõi xanh dương M940</t>
  </si>
  <si>
    <t>Túi giấy vệ sinh 3 lớp 12 cuộn không lõi xanh dương M941</t>
  </si>
  <si>
    <t>Phôi giấy JP Corelex, ĐL 15, 1lớp</t>
  </si>
  <si>
    <t>Phôi giấy jpicorelex, ĐL  18, 1lớp</t>
  </si>
  <si>
    <t>Phôi giấy XG K2870, ĐL 16,5, 1 lớp</t>
  </si>
  <si>
    <t>han</t>
  </si>
  <si>
    <t>Kg lõi nhận</t>
  </si>
  <si>
    <t>Kg lõi xuất</t>
  </si>
  <si>
    <t>kg lõi xuất</t>
  </si>
  <si>
    <t>Lõi 40*1mm*2940</t>
  </si>
  <si>
    <t>Lõi 46*1mm*2940 Loại 1 pha ivory và( 0,32kg/1 ống)(2940)
 1 giấy chipbop loại trong trăng ngoài nâu có logo shelton</t>
  </si>
  <si>
    <t>Chạy sn 3 lớp 600g</t>
  </si>
  <si>
    <t>Bao vô cây cuộn CN 55,8*72</t>
  </si>
  <si>
    <t>Kg nhập</t>
  </si>
  <si>
    <t>Kg xuất</t>
  </si>
  <si>
    <t>Kg nhận</t>
  </si>
  <si>
    <t>Lõi 46*1mm*2860 Loại 1 pha ivory và( 0,32kg/1 ống)(2860)
 1 giấy chipbop loại trong trăng ngoài nâu có logo shelton</t>
  </si>
  <si>
    <t>Lõi 40*1mm*2870</t>
  </si>
  <si>
    <t>Túi Giấy vệ sinh có lõi 12 cuộn Shera</t>
  </si>
  <si>
    <t>Để hàng lỗi</t>
  </si>
  <si>
    <t xml:space="preserve"> Vỏ hộp giấy ăn Shelton 120 vuông trắng 115*115*115mm</t>
  </si>
  <si>
    <t>nhận ngày 25/11/2024</t>
  </si>
  <si>
    <t>Bao trăng sp cân 24*54*9</t>
  </si>
  <si>
    <t>Bao trắng sp cân 2 lớp 115*115</t>
  </si>
  <si>
    <t>Bao trăng sp cân 3 lớp 200*175</t>
  </si>
  <si>
    <t>Phôi giấy XG K2870, ĐL 18,5 . 1 lớp</t>
  </si>
  <si>
    <t>Phôi giấy BN K240, ĐL 17, 2lớp</t>
  </si>
  <si>
    <t>Phôi giấy phong khê BẮC NINH, K1900  ĐL 13, 2 lớp</t>
  </si>
  <si>
    <t>Phôi giấy Hoàng Long BẮC NINH,  K1980 ĐL 13, 4lớp</t>
  </si>
  <si>
    <t>Phôi giấy phong khê BẮC NINH,K 1900  ĐL 13, 2 lớp</t>
  </si>
  <si>
    <t>Phôi giấy AN HÒA k2850. DL 17 tăng bền ướt 5 kg</t>
  </si>
  <si>
    <t>Phôi giấy AN HÒA  K 2850. DL 17 tăng bền ướt 7 kg</t>
  </si>
  <si>
    <t>SX,2 cuộn</t>
  </si>
  <si>
    <t>Lõi 40*1mm*2941</t>
  </si>
  <si>
    <t>Lõi 40*1mm*2942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</si>
  <si>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</si>
  <si>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Phôi giấy XG K2900, ĐL 17, 1 lớp</t>
  </si>
  <si>
    <t>Số cuộn Xuất</t>
  </si>
  <si>
    <t>Số cuộn xuất</t>
  </si>
  <si>
    <t>Trung binh 1 cây lõi = 0,96kg</t>
  </si>
  <si>
    <t>Số cuộn
 xuất</t>
  </si>
  <si>
    <t>Bao trăng 33cân :r 22*d56*7,5(gh)</t>
  </si>
  <si>
    <t>Bao trăng 33 cân :22* 56*7,5</t>
  </si>
  <si>
    <t>18/02/205</t>
  </si>
  <si>
    <t>Xuất jp corelex</t>
  </si>
  <si>
    <t>11 cuộn</t>
  </si>
  <si>
    <t>4 cuộn</t>
  </si>
  <si>
    <t>Lõi 40*1mm*2880</t>
  </si>
  <si>
    <t>4300 cây</t>
  </si>
  <si>
    <t>KEO DÁN MÍ MG06</t>
  </si>
  <si>
    <t>KEO DÁN MÍ MG125</t>
  </si>
  <si>
    <t xml:space="preserve">                                                              </t>
  </si>
  <si>
    <t>05/03/205</t>
  </si>
  <si>
    <t>s</t>
  </si>
  <si>
    <t>Phôi giấy XG K2870, ĐL 15, 3 lớp</t>
  </si>
  <si>
    <t>con tồn 9 cuộn</t>
  </si>
  <si>
    <t>26 cuộn</t>
  </si>
  <si>
    <t>Nhập lại thùng thừa</t>
  </si>
  <si>
    <t>Đóng lại ahngf xuất lên hà nội</t>
  </si>
  <si>
    <t>để hàng lọc gia công</t>
  </si>
  <si>
    <t>KEO DÁN MÍ MG06 đặc</t>
  </si>
  <si>
    <t>19 CUỘN</t>
  </si>
  <si>
    <t>Phôi giấy JP Corelex, ĐL 18,5.2 LỚP</t>
  </si>
  <si>
    <t>XUẤT NHẬP TỒN NĂM 2025</t>
  </si>
  <si>
    <t>SX.sp 3 lớp 115*175</t>
  </si>
  <si>
    <t>DN</t>
  </si>
  <si>
    <t>TES</t>
  </si>
  <si>
    <t>Xuất 12 cuộn cho kd</t>
  </si>
  <si>
    <t>1 cuộn 16,6</t>
  </si>
  <si>
    <t>để phế jp</t>
  </si>
  <si>
    <t>2804/2025</t>
  </si>
  <si>
    <t>SP 3 lớp 115*180</t>
  </si>
  <si>
    <t>Bao trắng giấy vệ sinh 10 cuộn có lõi (20*72*5)</t>
  </si>
  <si>
    <t>Phôi giấy XG K2910, ĐL 14, 1 lớp</t>
  </si>
  <si>
    <t>Nhận minh khôi</t>
  </si>
  <si>
    <t>Xuất thêm để chuyển đổi hang npp trả về</t>
  </si>
  <si>
    <t>Màng bọc cuộn CN POE khổ 42 cm</t>
  </si>
  <si>
    <t>Phôi giấy XG K2860,DL 15 , 1 lớp</t>
  </si>
  <si>
    <t>Phôi giấy XG K2860, ĐL 17, 1 lớp</t>
  </si>
  <si>
    <t>Đóng lại hàng jp</t>
  </si>
  <si>
    <t>Nhập lại hàng tồn trong kho</t>
  </si>
  <si>
    <t>Bao trăng CN 10 cuộn</t>
  </si>
  <si>
    <t>Túi GVS Shera 12 cuộn (70g)</t>
  </si>
  <si>
    <t>Xuât cho my đóng hàng đi giao</t>
  </si>
  <si>
    <t xml:space="preserve">xuất cho my </t>
  </si>
  <si>
    <t>Đóng shera 70 g +  nk cân</t>
  </si>
  <si>
    <t>Phôi giấy JP Corelex, ĐL 15,5 2lớp</t>
  </si>
  <si>
    <t>Phôi dip gia công</t>
  </si>
  <si>
    <t>Đã xuất 2 cuộn dl 15,5 gia công</t>
  </si>
  <si>
    <t>Phôi giấy AN HÒA  K 2850. DL 15</t>
  </si>
  <si>
    <t>Phôi giấy XG K2860,DL 15 , 1 lớp( thực tế)</t>
  </si>
  <si>
    <t xml:space="preserve">NHẬP LẠI PHÔI NGOÀI SX </t>
  </si>
  <si>
    <t>NHẬP LẠI PHÔI NGOÀI SX</t>
  </si>
  <si>
    <t>Hỏng móp gãy</t>
  </si>
  <si>
    <t>Làm hàng mẫu jp</t>
  </si>
  <si>
    <t>Bao trăng NK 33 600G</t>
  </si>
  <si>
    <t>Nhận 1 cuộn màng tes</t>
  </si>
  <si>
    <t>Xuất cuộn màng tes</t>
  </si>
  <si>
    <t>Trong đó có 2 cuộn :502  và 505 kg chạy sp cân 1kg ( 2 cuộn 3 lớp)</t>
  </si>
  <si>
    <t>Phôi giấy NK 33, ĐL 19, 1lớp</t>
  </si>
  <si>
    <t>Phôi giấy NK 21, ĐL 17, 2lớp</t>
  </si>
  <si>
    <t>Cái tem</t>
  </si>
  <si>
    <t>Tem TL 600g</t>
  </si>
  <si>
    <t>Tem TL 300g</t>
  </si>
  <si>
    <t>Bao vô cây 10 cuộn  46,5*110*18,2</t>
  </si>
  <si>
    <t>(1 cuộn têm ghi 2850 định lượng 15 - 1L - 842,1)</t>
  </si>
  <si>
    <t>kk124,7</t>
  </si>
  <si>
    <t>kk 419 + misa 419</t>
  </si>
  <si>
    <t>33 CÁI TEM</t>
  </si>
  <si>
    <t>Lõi 76*1,5-1,8mm*2870 phi trong 10mm +- 0,3mm trăng</t>
  </si>
  <si>
    <t>Đã gộp vào 2910</t>
  </si>
  <si>
    <t>Đóng sp cân 3 lớp  200*180</t>
  </si>
  <si>
    <t>Đóng sp 3 lớp 180 tờ</t>
  </si>
  <si>
    <t>sửa hàng phú thọ</t>
  </si>
  <si>
    <t>Sửa hàng phú thọ</t>
  </si>
  <si>
    <t>20/08/20025</t>
  </si>
  <si>
    <t>thay vỏ thùng bị rách</t>
  </si>
  <si>
    <t>25/08/202</t>
  </si>
  <si>
    <t>Phôi giấy  APP JPCORELEX  DL 12.5 3L K1400(FC)</t>
  </si>
  <si>
    <t>Phôi giấy  APP JPCORELEX  DL13 2L K1400(FC)</t>
  </si>
  <si>
    <t>Phôi giấy AN HÒA  K 2850. DL 17 2L</t>
  </si>
  <si>
    <t>16 cuộn</t>
  </si>
  <si>
    <t>tem nk 24 1kg</t>
  </si>
  <si>
    <t>My đê nghị xuất cho khách đóng lại hàng</t>
  </si>
  <si>
    <t>Xuất cho khớp mi xa</t>
  </si>
  <si>
    <t>My đề nghị xuất cho npp đóng lại cây</t>
  </si>
  <si>
    <t>misa 318kg</t>
  </si>
  <si>
    <t>misa 81.8</t>
  </si>
  <si>
    <t>Chuyển sang bao 20 cn</t>
  </si>
  <si>
    <t>22//09/2025</t>
  </si>
  <si>
    <t>Đóng nk 33 cân + 24 +Giấy vệ sinh 10 cuộn</t>
  </si>
  <si>
    <t>Phôi dip gia công  đã xuất 2 cuộn định lượng 15.5 ra chạy hàng shera 650g và 500g ngày 26/06 và 27/06</t>
  </si>
  <si>
    <t>Phôi dip gia công  đã xuất 1 cuộn định lượng 15.5 ra chạy hàng shera 600g</t>
  </si>
  <si>
    <t>Đóng lại hàng cty bị móp</t>
  </si>
  <si>
    <t>Đóng lại p1</t>
  </si>
  <si>
    <t>Xuất cho kd</t>
  </si>
  <si>
    <t>My đề nghị xuất  đóng lại cây</t>
  </si>
  <si>
    <t>Xuất cho my</t>
  </si>
  <si>
    <t>Đóng lại hàng bị bẹp</t>
  </si>
  <si>
    <t>Xuất cho my NPP Thành (  thu tiền)</t>
  </si>
  <si>
    <t xml:space="preserve">                                     </t>
  </si>
  <si>
    <t xml:space="preserve"> đóng phế 1</t>
  </si>
  <si>
    <t>Xuất sang khổ 2910</t>
  </si>
  <si>
    <t>Tên NVL (Tên sheet)</t>
  </si>
  <si>
    <t>Ðõn vo tính (cot D)</t>
  </si>
  <si>
    <t>Hộp bướm đen</t>
  </si>
  <si>
    <t>Hộp hồng đỏ</t>
  </si>
  <si>
    <t>Hộp oto</t>
  </si>
  <si>
    <t>Bao vô cây NK 24 TL</t>
  </si>
  <si>
    <t>Bao Trắng GVS 10 cuộn có lõi</t>
  </si>
  <si>
    <t xml:space="preserve">Bao trăng 33 cân </t>
  </si>
  <si>
    <t>Nilon NK cánh bướm</t>
  </si>
  <si>
    <t xml:space="preserve">Phôi giấy JP DL12.5 3L K1400 </t>
  </si>
  <si>
    <t>lõi 46 2930.HT</t>
  </si>
  <si>
    <t>Keo DÁN MÍ MG06</t>
  </si>
  <si>
    <t>Keo DÁN MÍ MG125</t>
  </si>
  <si>
    <t>Dung môi máy phun date</t>
  </si>
  <si>
    <t>tem 24 1kg</t>
  </si>
  <si>
    <t>Tem GVS</t>
  </si>
  <si>
    <t>Tem dán bao vs 10 cuộn</t>
  </si>
  <si>
    <t>Tem nk cân 33</t>
  </si>
  <si>
    <t>Tem nk cân 33 TL</t>
  </si>
  <si>
    <t xml:space="preserve">Tem nk cân 24,600 TL </t>
  </si>
  <si>
    <t xml:space="preserve">Tem nk cân 24,300 TL </t>
  </si>
  <si>
    <t>MÓC TREO</t>
  </si>
  <si>
    <t>So luong ton (cot G)</t>
  </si>
  <si>
    <t>Phôi An Hòa K2850 DL17</t>
  </si>
  <si>
    <t>Phôi giấy JPCORELEX DL 18,5</t>
  </si>
  <si>
    <t xml:space="preserve">Phôi giấy JP DL13 2L K1400 </t>
  </si>
  <si>
    <t>Phôi giấy JPCORELEX DL 15</t>
  </si>
  <si>
    <t>Phôi giấy JPCORELEX DL 18</t>
  </si>
  <si>
    <t>Tem sp cân 2L</t>
  </si>
  <si>
    <t>Tem Cuộn CN 2L TL</t>
  </si>
  <si>
    <t>Phôi giấy AN HÒA K2850 DL17 2L</t>
  </si>
  <si>
    <t>Phôi giấy AN HÒA K2850 DL15</t>
  </si>
  <si>
    <t>Phôi giấy AN HÒA K2850 DL 17.5</t>
  </si>
  <si>
    <t>Phôi giấy XG K2850 DL 17</t>
  </si>
  <si>
    <t>Phôi giấy XG K2770 DL 14</t>
  </si>
  <si>
    <t>Phôi giấy XG K2770 DL 17</t>
  </si>
  <si>
    <t>Phôi giấy XG K2850 DL 14</t>
  </si>
  <si>
    <t>Phôi giấy XG K2870 DL 18</t>
  </si>
  <si>
    <t>Phôi giấy XG K2870 DL 18,5</t>
  </si>
  <si>
    <t>Phôi giấy XG K2870 DL16,5</t>
  </si>
  <si>
    <t>Phôi giấy XG K2900 DL17</t>
  </si>
  <si>
    <t>Phôi giấy XG K800 DL22</t>
  </si>
  <si>
    <t>Phôi giấy BN K240 DL17 2L</t>
  </si>
  <si>
    <t xml:space="preserve">Phôi giấy BN K1900 DL13 2L </t>
  </si>
  <si>
    <t>Phôi giấy XG K2850 DL 17 1L</t>
  </si>
  <si>
    <t>Phôi giấy XG K2850 DL 15 1L</t>
  </si>
  <si>
    <t>Phôi giấy XG K2870 DL15 3L</t>
  </si>
  <si>
    <t>Phôi giấy LA K1870 DL13 2L</t>
  </si>
  <si>
    <t>Phôi giấy HL K1980 DL13 4L</t>
  </si>
  <si>
    <t>Phôi giấy XG K1420 DL13 2L</t>
  </si>
  <si>
    <t>Phôi giấy XG K1420 DL13 3L</t>
  </si>
  <si>
    <t xml:space="preserve">Phôi giấy XG K1420 DL15 2L </t>
  </si>
  <si>
    <t>Phôi giấy XG K1420 DL22 2L</t>
  </si>
  <si>
    <t>Phôi giấy INDO K760  DL13</t>
  </si>
  <si>
    <t>Phôi giấy INDO K230 DL17</t>
  </si>
  <si>
    <t>Phôi giấy XG K330 DL19</t>
  </si>
  <si>
    <t>Phôi giấy XG K240 DL17 2L</t>
  </si>
  <si>
    <t>Phôi giấy XG K210 DL17 2L</t>
  </si>
  <si>
    <t>Bao 5 cuộn CN (43c/kg)</t>
  </si>
  <si>
    <t>Bao vô cây 20 cuộn CN (12c/kg)</t>
  </si>
  <si>
    <t>Bao vô cây 10 cuộn CN (22c/kg)</t>
  </si>
  <si>
    <r>
      <t xml:space="preserve">Túi Giấy Vệ Sinh 2 lớp 10 cuộn </t>
    </r>
    <r>
      <rPr>
        <i/>
        <sz val="14"/>
        <color theme="1"/>
        <rFont val="Times New Roman"/>
        <family val="1"/>
      </rPr>
      <t>(49c/kg)</t>
    </r>
  </si>
  <si>
    <t>Túi giấy vệ sinh 3 lớp có lõi 10 cuộn xanh ngọc (48c/kg)</t>
  </si>
  <si>
    <t>Túi giấy vệ sinh 3 lớp có lõi 12 cuộn xanh ngọc (38c/kg)</t>
  </si>
  <si>
    <t>Túi giấy vệ sinh 3 lớp không lõi 10 cuộn xanh dương (47c/kg)</t>
  </si>
  <si>
    <r>
      <t xml:space="preserve">Túi giấy vệ sinh 3 lớp không lõi 12 cuộn xanh dương không lõi </t>
    </r>
    <r>
      <rPr>
        <i/>
        <sz val="14"/>
        <color theme="1"/>
        <rFont val="Times New Roman"/>
        <family val="1"/>
      </rPr>
      <t>(37c/kg)</t>
    </r>
    <r>
      <rPr>
        <sz val="14"/>
        <color theme="1"/>
        <rFont val="Times New Roman"/>
        <family val="1"/>
      </rPr>
      <t xml:space="preserve"> </t>
    </r>
  </si>
  <si>
    <r>
      <t xml:space="preserve">Bao vô cây GVS 10 cuộn </t>
    </r>
    <r>
      <rPr>
        <i/>
        <sz val="14"/>
        <color theme="1"/>
        <rFont val="Times New Roman"/>
        <family val="1"/>
      </rPr>
      <t>(11c/kg)</t>
    </r>
  </si>
  <si>
    <r>
      <t xml:space="preserve">Bao vô cây GVS 12 cuộn </t>
    </r>
    <r>
      <rPr>
        <i/>
        <sz val="14"/>
        <color theme="1"/>
        <rFont val="Times New Roman"/>
        <family val="1"/>
      </rPr>
      <t>(9c/kg)</t>
    </r>
  </si>
  <si>
    <r>
      <t xml:space="preserve">Túi giấy vệ sinh Shera 2 lớp 12 cuộn có lõi </t>
    </r>
    <r>
      <rPr>
        <i/>
        <sz val="14"/>
        <color theme="1"/>
        <rFont val="Times New Roman"/>
        <family val="1"/>
      </rPr>
      <t>(50c/kg)</t>
    </r>
  </si>
  <si>
    <t>lõi 76 2880 HT</t>
  </si>
  <si>
    <t>lõi 76 2930 HT</t>
  </si>
  <si>
    <t>lõi 35 2880 AM</t>
  </si>
  <si>
    <t>lõi 40 2880 AM</t>
  </si>
  <si>
    <t>lõi 40 2940 AM</t>
  </si>
  <si>
    <t>lõi 42 2795 AM</t>
  </si>
  <si>
    <t>lõi 46 2880 HT</t>
  </si>
  <si>
    <t>lõi 46 2940 AM</t>
  </si>
  <si>
    <t>lõi 76 2880 AM</t>
  </si>
  <si>
    <t>lõi 76 2800 AM</t>
  </si>
  <si>
    <t>lõi 76 2870 ivory AM</t>
  </si>
  <si>
    <t>lõi 76 2940 AM</t>
  </si>
  <si>
    <t>Keo DÁN MÍ MG06 Đặc</t>
  </si>
  <si>
    <t>lõi 46 2880 AM</t>
  </si>
  <si>
    <t>Màng co PE (160c/1kg)</t>
  </si>
  <si>
    <t>Tem CN Shelton 3L</t>
  </si>
  <si>
    <t>Tem CN Shelton 2L</t>
  </si>
  <si>
    <t>Tem CN Shera 2 lớp</t>
  </si>
  <si>
    <r>
      <t xml:space="preserve">Túi đa năng rút </t>
    </r>
    <r>
      <rPr>
        <i/>
        <sz val="14"/>
        <color theme="1"/>
        <rFont val="Times New Roman"/>
        <family val="1"/>
      </rPr>
      <t>(86c/kg)</t>
    </r>
  </si>
  <si>
    <t>Thùng catton Khăn đa năng rút đáy 6 gói</t>
  </si>
  <si>
    <t>Thùng catton GVS rút đáy 12 gói</t>
  </si>
  <si>
    <t>Thùng catton GVS rút đáy 6 gói</t>
  </si>
  <si>
    <t xml:space="preserve">Vỏ hộp giấy ăn Shelton 120 vuông lá xanh </t>
  </si>
  <si>
    <t xml:space="preserve">Vỏ hộp giấy ăn Shelton 120 vuông trắng </t>
  </si>
  <si>
    <r>
      <t xml:space="preserve">Túi nilong trắng đựng hộp 120 vuông </t>
    </r>
    <r>
      <rPr>
        <i/>
        <sz val="14"/>
        <color theme="1"/>
        <rFont val="Times New Roman"/>
        <family val="1"/>
      </rPr>
      <t>(91c/kg)</t>
    </r>
  </si>
  <si>
    <r>
      <t xml:space="preserve">Màng cuộn SP 100 tờ 3 lớp </t>
    </r>
    <r>
      <rPr>
        <i/>
        <sz val="14"/>
        <color theme="1"/>
        <rFont val="Times New Roman"/>
        <family val="1"/>
      </rPr>
      <t>(395 túi/kg)</t>
    </r>
  </si>
  <si>
    <r>
      <t xml:space="preserve">Bao trắng sp 115*175 đựng 10 gói </t>
    </r>
    <r>
      <rPr>
        <i/>
        <sz val="14"/>
        <color theme="1"/>
        <rFont val="Times New Roman"/>
        <family val="1"/>
      </rPr>
      <t>(78c/kg)</t>
    </r>
  </si>
  <si>
    <r>
      <t xml:space="preserve">Thùng catton sp 3 lớp 115*175 </t>
    </r>
    <r>
      <rPr>
        <i/>
        <sz val="14"/>
        <color theme="1"/>
        <rFont val="Times New Roman"/>
        <family val="1"/>
      </rPr>
      <t>(100 gói/thùng)</t>
    </r>
  </si>
  <si>
    <t>Thùng catton sp 4 lớp 115*175 (100g/thùng)</t>
  </si>
  <si>
    <t>Thùng catton sp 2 lớp 175*175 (18 gói/thùng)</t>
  </si>
  <si>
    <t>Thùng catton sp 2 lớp 175*175 (60 gói/thùng)</t>
  </si>
  <si>
    <r>
      <t>Màng cuộn SP 100 tờ 4 lớp</t>
    </r>
    <r>
      <rPr>
        <i/>
        <sz val="14"/>
        <color theme="1"/>
        <rFont val="Times New Roman"/>
        <family val="1"/>
      </rPr>
      <t xml:space="preserve"> (445 túi/kg)</t>
    </r>
  </si>
  <si>
    <t xml:space="preserve">Vỏ hộp giấy ăn Shelton 80 vuông trắng </t>
  </si>
  <si>
    <r>
      <t xml:space="preserve">Màng cuộn SP 180 tờ 3 lớp </t>
    </r>
    <r>
      <rPr>
        <i/>
        <sz val="14"/>
        <color theme="1"/>
        <rFont val="Times New Roman"/>
        <family val="1"/>
      </rPr>
      <t>(220 gói/kg)</t>
    </r>
    <r>
      <rPr>
        <sz val="14"/>
        <color theme="1"/>
        <rFont val="Times New Roman"/>
        <family val="1"/>
      </rPr>
      <t xml:space="preserve"> </t>
    </r>
  </si>
  <si>
    <r>
      <t xml:space="preserve">Thùng cattong khăn lụa soft pack 250 tờ Indo </t>
    </r>
    <r>
      <rPr>
        <i/>
        <sz val="14"/>
        <color theme="1"/>
        <rFont val="Times New Roman"/>
        <family val="1"/>
      </rPr>
      <t>(50gói/thùng)</t>
    </r>
  </si>
  <si>
    <r>
      <t xml:space="preserve">Màng khăn lau đa năng 100 tờ </t>
    </r>
    <r>
      <rPr>
        <i/>
        <sz val="14"/>
        <color theme="1"/>
        <rFont val="Times New Roman"/>
        <family val="1"/>
      </rPr>
      <t>(232 gói/kg)</t>
    </r>
  </si>
  <si>
    <t xml:space="preserve">Vỏ hộp Shelton Hồng Vàng 180 tờ </t>
  </si>
  <si>
    <t xml:space="preserve">Vỏ hộp Shelton Hoa Nhí Xanh 180 tờ </t>
  </si>
  <si>
    <t xml:space="preserve">Vỏ hộp Shelton Bướm bạc 180 tờ </t>
  </si>
  <si>
    <r>
      <t xml:space="preserve">Túi Nilong trắng đựng hộp 180 </t>
    </r>
    <r>
      <rPr>
        <i/>
        <sz val="14"/>
        <color theme="1"/>
        <rFont val="Times New Roman"/>
        <family val="1"/>
      </rPr>
      <t>(77c/kg)</t>
    </r>
  </si>
  <si>
    <r>
      <t xml:space="preserve">Màng sp lá xanh 250 tờ </t>
    </r>
    <r>
      <rPr>
        <i/>
        <sz val="14"/>
        <color theme="1"/>
        <rFont val="Times New Roman"/>
        <family val="1"/>
      </rPr>
      <t>(174c/kg)</t>
    </r>
  </si>
  <si>
    <r>
      <t xml:space="preserve">Màng sp hoa văn tròn 250 tờ </t>
    </r>
    <r>
      <rPr>
        <i/>
        <sz val="14"/>
        <color theme="1"/>
        <rFont val="Times New Roman"/>
        <family val="1"/>
      </rPr>
      <t>(182c/kg)</t>
    </r>
  </si>
  <si>
    <r>
      <t xml:space="preserve">Túi vệ sinh rút đáy </t>
    </r>
    <r>
      <rPr>
        <i/>
        <sz val="14"/>
        <color theme="1"/>
        <rFont val="Times New Roman"/>
        <family val="1"/>
      </rPr>
      <t>(78c/kg)</t>
    </r>
  </si>
  <si>
    <t>Thùng cattong Napkin 23*23(60 gói/thùng)</t>
  </si>
  <si>
    <t>Bao trắng sp cân 3 lớp (78c/kg)</t>
  </si>
  <si>
    <r>
      <t xml:space="preserve">Bao trắng NK23 *23 cân </t>
    </r>
    <r>
      <rPr>
        <i/>
        <sz val="14"/>
        <color theme="1"/>
        <rFont val="Times New Roman"/>
        <family val="1"/>
      </rPr>
      <t>(78c/kg)</t>
    </r>
  </si>
  <si>
    <t>Thùng cattong Napkin 23 cân</t>
  </si>
  <si>
    <r>
      <t xml:space="preserve">Thùng cattong khăn napkin 33*33 </t>
    </r>
    <r>
      <rPr>
        <i/>
        <sz val="14"/>
        <color theme="1"/>
        <rFont val="Times New Roman"/>
        <family val="1"/>
      </rPr>
      <t>(48c/kg)</t>
    </r>
  </si>
  <si>
    <r>
      <t xml:space="preserve">Túi nilong NK 33*33 lá xanh </t>
    </r>
    <r>
      <rPr>
        <i/>
        <sz val="14"/>
        <color theme="1"/>
        <rFont val="Times New Roman"/>
        <family val="1"/>
      </rPr>
      <t>(140c/kg)</t>
    </r>
  </si>
  <si>
    <r>
      <t xml:space="preserve">Bao trăng sp cân 2 lớp 115*115 </t>
    </r>
    <r>
      <rPr>
        <i/>
        <sz val="14"/>
        <color theme="1"/>
        <rFont val="Times New Roman"/>
        <family val="1"/>
      </rPr>
      <t>(90c/kg)</t>
    </r>
  </si>
  <si>
    <t>Tem sp cân 3L</t>
  </si>
  <si>
    <t>Băng keo trắng</t>
  </si>
  <si>
    <t>Thùng catton Khăn đa năng rút đáy 12 gói</t>
  </si>
  <si>
    <t>Màng cuộn SP 250 tờ lớp (226 túi/kg)</t>
  </si>
  <si>
    <t>Thùng catton sp 4 lớp 115*175 (40 gói/ thùng)</t>
  </si>
  <si>
    <t>Thùng catton sp 3 lớp 115*175 (40 gói/thùng)</t>
  </si>
  <si>
    <r>
      <t xml:space="preserve">Thùng cattong khăn hộp 180 tờ </t>
    </r>
    <r>
      <rPr>
        <i/>
        <sz val="14"/>
        <color theme="1"/>
        <rFont val="Times New Roman"/>
        <family val="1"/>
      </rPr>
      <t>(60 hộp/thùng)</t>
    </r>
  </si>
  <si>
    <t>Thùng cattong khăn 120 tờ phôi indo</t>
  </si>
  <si>
    <r>
      <t xml:space="preserve">Túi nilong Napkin hoa văn tròn 33*33 </t>
    </r>
    <r>
      <rPr>
        <i/>
        <sz val="14"/>
        <color theme="1"/>
        <rFont val="Times New Roman"/>
        <family val="1"/>
      </rPr>
      <t>(145c/kg)</t>
    </r>
  </si>
  <si>
    <r>
      <t xml:space="preserve">Túi nilong Napkin hoa văn tròn 23*23 </t>
    </r>
    <r>
      <rPr>
        <i/>
        <sz val="14"/>
        <color theme="1"/>
        <rFont val="Times New Roman"/>
        <family val="1"/>
      </rPr>
      <t>(244c/kg)</t>
    </r>
  </si>
  <si>
    <t>THÙNG OTAKMI320, 80</t>
  </si>
  <si>
    <t>THÙNG OTAKAMI320, 76</t>
  </si>
  <si>
    <t xml:space="preserve">THÙNG OTAKAMI180, 80  </t>
  </si>
  <si>
    <t>Thùng otakami 700, 80</t>
  </si>
  <si>
    <t xml:space="preserve">Thùng otakami 700, 76 </t>
  </si>
  <si>
    <t>Thùng otakami 160, 80</t>
  </si>
  <si>
    <t>Phôi JP GC DL 15 2L</t>
  </si>
  <si>
    <t>Phôi JP GC DL 15,5 2 L</t>
  </si>
  <si>
    <t>Phôi JP GC DL 18 2L (700g)</t>
  </si>
  <si>
    <t>Phôi JP GC DL 18 1L (700g)</t>
  </si>
  <si>
    <t>Phôi JP GC DL 18 2L (160m)</t>
  </si>
  <si>
    <t>Phôi JP GC DL 18 2L (600g)</t>
  </si>
  <si>
    <t>Phôi JP GC DL 16 2L (180m)</t>
  </si>
  <si>
    <t>Phôi JP GC DL 18 1L (600g)</t>
  </si>
  <si>
    <t>Phôi JP GC DL 18.5 2L (700g)</t>
  </si>
  <si>
    <t>Lõi 76</t>
  </si>
  <si>
    <t>ống</t>
  </si>
  <si>
    <t>Lõi 80</t>
  </si>
  <si>
    <t>Lõi 86</t>
  </si>
  <si>
    <t xml:space="preserve">Bao trắng 600g/bb, 80 </t>
  </si>
  <si>
    <t xml:space="preserve">Bao trắng 320 MC </t>
  </si>
  <si>
    <t>Bao 320 M, 76 MTL</t>
  </si>
  <si>
    <t>Bao trắng 4, 320 M, 76 MTL</t>
  </si>
  <si>
    <t>màng co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</si>
</sst>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(* #,##0.0_);_(* \(#,##0.0\);_(* &quot;-&quot;??_);_(@_)"/>
    <numFmt numFmtId="166" formatCode="_(* #,##0_);_(* \(#,##0\);_(* &quot;-&quot;??_);_(@_)"/>
    <numFmt numFmtId="167" formatCode="mm/dd/yyyy"/>
    <numFmt numFmtId="168" formatCode="0.0"/>
    <numFmt numFmtId="169" formatCode="_(* #,##0.0_);_(* \(#,##0.0\);_(* &quot;-&quot;?_);_(@_)"/>
    <numFmt numFmtId="170" formatCode="_-* #,##0.0_-;\-* #,##0.0_-;_-* &quot;-&quot;_-;_-@_-"/>
    <numFmt numFmtId="171" formatCode="_-* #,##0.00\ _₫_-;\-* #,##0.00\ _₫_-;_-* &quot;-&quot;??\ _₫_-;_-@_-"/>
    <numFmt numFmtId="172" formatCode="0.000"/>
    <numFmt numFmtId="173" formatCode="_-* #,##0.000\ _₫_-;\-* #,##0.000\ _₫_-;_-* &quot;-&quot;??\ _₫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10"/>
      <name val="Times New Roman"/>
      <family val="1"/>
    </font>
    <font>
      <b/>
      <sz val="20"/>
      <name val="Times New Roman"/>
      <family val="1"/>
    </font>
    <font>
      <b/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indexed="10"/>
      <name val="Times New Roman"/>
      <family val="1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sz val="10"/>
      <name val="Arial"/>
      <family val="2"/>
      <charset val="163"/>
    </font>
    <font>
      <b/>
      <sz val="16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b/>
      <sz val="10"/>
      <color theme="5"/>
      <name val="Arial"/>
      <family val="2"/>
    </font>
    <font>
      <sz val="10"/>
      <color theme="2" tint="-0.89999084444715716"/>
      <name val="Arial"/>
      <family val="2"/>
    </font>
    <font>
      <b/>
      <sz val="10"/>
      <color theme="2" tint="-0.89999084444715716"/>
      <name val="Arial"/>
      <family val="2"/>
    </font>
    <font>
      <sz val="10"/>
      <color indexed="10"/>
      <name val="Arial"/>
      <family val="2"/>
      <charset val="163"/>
    </font>
    <font>
      <sz val="9"/>
      <name val="Arial"/>
      <family val="2"/>
    </font>
    <font>
      <b/>
      <sz val="10"/>
      <color theme="1" tint="0.249977111117893"/>
      <name val="Arial"/>
      <family val="2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0"/>
      <color rgb="FFFF0000"/>
      <name val="Arial"/>
      <family val="2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65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165" fontId="3" fillId="3" borderId="1" xfId="1" applyNumberFormat="1" applyFont="1" applyFill="1" applyBorder="1" applyAlignment="1">
      <alignment horizontal="right"/>
    </xf>
    <xf numFmtId="166" fontId="3" fillId="0" borderId="2" xfId="1" applyNumberFormat="1" applyFont="1" applyBorder="1"/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166" fontId="5" fillId="3" borderId="1" xfId="1" applyNumberFormat="1" applyFont="1" applyFill="1" applyBorder="1" applyAlignment="1">
      <alignment horizontal="right"/>
    </xf>
    <xf numFmtId="166" fontId="6" fillId="0" borderId="2" xfId="1" applyNumberFormat="1" applyFont="1" applyBorder="1"/>
    <xf numFmtId="166" fontId="2" fillId="0" borderId="1" xfId="1" applyNumberFormat="1" applyFont="1" applyBorder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 vertical="top"/>
    </xf>
    <xf numFmtId="166" fontId="7" fillId="3" borderId="1" xfId="1" applyNumberFormat="1" applyFont="1" applyFill="1" applyBorder="1" applyAlignment="1">
      <alignment horizontal="right"/>
    </xf>
    <xf numFmtId="166" fontId="7" fillId="0" borderId="2" xfId="1" applyNumberFormat="1" applyFont="1" applyBorder="1"/>
    <xf numFmtId="166" fontId="8" fillId="0" borderId="1" xfId="1" applyNumberFormat="1" applyFont="1" applyBorder="1"/>
    <xf numFmtId="0" fontId="7" fillId="0" borderId="0" xfId="0" applyFont="1"/>
    <xf numFmtId="166" fontId="0" fillId="0" borderId="0" xfId="0" applyNumberFormat="1"/>
    <xf numFmtId="166" fontId="5" fillId="0" borderId="2" xfId="1" applyNumberFormat="1" applyFont="1" applyBorder="1"/>
    <xf numFmtId="166" fontId="3" fillId="0" borderId="1" xfId="1" applyNumberFormat="1" applyFont="1" applyBorder="1"/>
    <xf numFmtId="0" fontId="3" fillId="0" borderId="1" xfId="0" applyFont="1" applyBorder="1"/>
    <xf numFmtId="166" fontId="3" fillId="3" borderId="1" xfId="1" applyNumberFormat="1" applyFont="1" applyFill="1" applyBorder="1" applyAlignment="1">
      <alignment horizontal="right"/>
    </xf>
    <xf numFmtId="166" fontId="5" fillId="4" borderId="2" xfId="1" applyNumberFormat="1" applyFont="1" applyFill="1" applyBorder="1"/>
    <xf numFmtId="166" fontId="5" fillId="0" borderId="1" xfId="0" applyNumberFormat="1" applyFont="1" applyBorder="1"/>
    <xf numFmtId="14" fontId="0" fillId="0" borderId="1" xfId="0" applyNumberFormat="1" applyBorder="1"/>
    <xf numFmtId="0" fontId="2" fillId="0" borderId="1" xfId="0" applyFont="1" applyBorder="1" applyAlignment="1">
      <alignment horizontal="center"/>
    </xf>
    <xf numFmtId="166" fontId="2" fillId="5" borderId="1" xfId="0" applyNumberFormat="1" applyFont="1" applyFill="1" applyBorder="1"/>
    <xf numFmtId="165" fontId="2" fillId="5" borderId="1" xfId="0" applyNumberFormat="1" applyFont="1" applyFill="1" applyBorder="1"/>
    <xf numFmtId="167" fontId="0" fillId="0" borderId="1" xfId="0" applyNumberFormat="1" applyBorder="1" applyAlignment="1">
      <alignment horizontal="left"/>
    </xf>
    <xf numFmtId="166" fontId="3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166" fontId="9" fillId="0" borderId="2" xfId="1" applyNumberFormat="1" applyFont="1" applyBorder="1"/>
    <xf numFmtId="14" fontId="3" fillId="3" borderId="1" xfId="0" applyNumberFormat="1" applyFont="1" applyFill="1" applyBorder="1" applyAlignment="1">
      <alignment horizontal="center"/>
    </xf>
    <xf numFmtId="14" fontId="3" fillId="0" borderId="1" xfId="0" quotePrefix="1" applyNumberFormat="1" applyFon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left"/>
    </xf>
    <xf numFmtId="14" fontId="3" fillId="0" borderId="1" xfId="0" quotePrefix="1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166" fontId="2" fillId="3" borderId="1" xfId="1" applyNumberFormat="1" applyFont="1" applyFill="1" applyBorder="1"/>
    <xf numFmtId="0" fontId="3" fillId="0" borderId="0" xfId="0" applyFont="1"/>
    <xf numFmtId="166" fontId="3" fillId="3" borderId="1" xfId="1" applyNumberFormat="1" applyFont="1" applyFill="1" applyBorder="1"/>
    <xf numFmtId="166" fontId="3" fillId="5" borderId="1" xfId="0" applyNumberFormat="1" applyFont="1" applyFill="1" applyBorder="1"/>
    <xf numFmtId="166" fontId="1" fillId="0" borderId="1" xfId="1" applyNumberFormat="1" applyBorder="1"/>
    <xf numFmtId="166" fontId="5" fillId="6" borderId="2" xfId="1" applyNumberFormat="1" applyFont="1" applyFill="1" applyBorder="1"/>
    <xf numFmtId="166" fontId="6" fillId="6" borderId="2" xfId="1" applyNumberFormat="1" applyFont="1" applyFill="1" applyBorder="1"/>
    <xf numFmtId="166" fontId="5" fillId="6" borderId="1" xfId="1" applyNumberFormat="1" applyFont="1" applyFill="1" applyBorder="1" applyAlignment="1">
      <alignment horizontal="right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12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165" fontId="10" fillId="3" borderId="1" xfId="1" applyNumberFormat="1" applyFont="1" applyFill="1" applyBorder="1" applyAlignment="1">
      <alignment horizontal="right"/>
    </xf>
    <xf numFmtId="166" fontId="10" fillId="0" borderId="2" xfId="1" applyNumberFormat="1" applyFont="1" applyBorder="1"/>
    <xf numFmtId="166" fontId="10" fillId="0" borderId="1" xfId="1" applyNumberFormat="1" applyFont="1" applyBorder="1"/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 applyProtection="1">
      <alignment vertical="center"/>
      <protection locked="0"/>
    </xf>
    <xf numFmtId="166" fontId="13" fillId="3" borderId="1" xfId="1" applyNumberFormat="1" applyFont="1" applyFill="1" applyBorder="1" applyAlignment="1">
      <alignment horizontal="right"/>
    </xf>
    <xf numFmtId="166" fontId="13" fillId="0" borderId="2" xfId="1" applyNumberFormat="1" applyFont="1" applyBorder="1"/>
    <xf numFmtId="166" fontId="11" fillId="0" borderId="1" xfId="1" applyNumberFormat="1" applyFont="1" applyBorder="1"/>
    <xf numFmtId="14" fontId="10" fillId="3" borderId="1" xfId="0" applyNumberFormat="1" applyFont="1" applyFill="1" applyBorder="1" applyAlignment="1">
      <alignment horizontal="left"/>
    </xf>
    <xf numFmtId="166" fontId="11" fillId="0" borderId="1" xfId="1" applyNumberFormat="1" applyFont="1" applyBorder="1" applyAlignment="1">
      <alignment horizontal="center"/>
    </xf>
    <xf numFmtId="166" fontId="10" fillId="0" borderId="0" xfId="0" applyNumberFormat="1" applyFont="1"/>
    <xf numFmtId="14" fontId="10" fillId="0" borderId="1" xfId="0" applyNumberFormat="1" applyFont="1" applyBorder="1"/>
    <xf numFmtId="166" fontId="14" fillId="3" borderId="1" xfId="0" applyNumberFormat="1" applyFont="1" applyFill="1" applyBorder="1"/>
    <xf numFmtId="166" fontId="11" fillId="3" borderId="1" xfId="1" applyNumberFormat="1" applyFont="1" applyFill="1" applyBorder="1"/>
    <xf numFmtId="166" fontId="11" fillId="3" borderId="1" xfId="0" applyNumberFormat="1" applyFont="1" applyFill="1" applyBorder="1"/>
    <xf numFmtId="165" fontId="11" fillId="3" borderId="1" xfId="0" applyNumberFormat="1" applyFont="1" applyFill="1" applyBorder="1"/>
    <xf numFmtId="166" fontId="10" fillId="0" borderId="1" xfId="0" applyNumberFormat="1" applyFont="1" applyBorder="1"/>
    <xf numFmtId="167" fontId="10" fillId="0" borderId="1" xfId="0" applyNumberFormat="1" applyFont="1" applyBorder="1" applyAlignment="1">
      <alignment horizontal="left"/>
    </xf>
    <xf numFmtId="0" fontId="10" fillId="3" borderId="1" xfId="0" applyFont="1" applyFill="1" applyBorder="1"/>
    <xf numFmtId="0" fontId="11" fillId="0" borderId="1" xfId="0" applyFont="1" applyBorder="1" applyAlignment="1">
      <alignment horizontal="center"/>
    </xf>
    <xf numFmtId="166" fontId="11" fillId="5" borderId="1" xfId="0" applyNumberFormat="1" applyFont="1" applyFill="1" applyBorder="1"/>
    <xf numFmtId="165" fontId="11" fillId="5" borderId="1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left"/>
    </xf>
    <xf numFmtId="0" fontId="16" fillId="3" borderId="1" xfId="0" applyFont="1" applyFill="1" applyBorder="1" applyAlignment="1">
      <alignment horizontal="left" vertical="top"/>
    </xf>
    <xf numFmtId="165" fontId="11" fillId="3" borderId="1" xfId="1" applyNumberFormat="1" applyFont="1" applyFill="1" applyBorder="1" applyAlignment="1">
      <alignment horizontal="right"/>
    </xf>
    <xf numFmtId="166" fontId="11" fillId="3" borderId="1" xfId="1" applyNumberFormat="1" applyFont="1" applyFill="1" applyBorder="1" applyAlignment="1">
      <alignment horizontal="right"/>
    </xf>
    <xf numFmtId="165" fontId="11" fillId="3" borderId="1" xfId="1" applyNumberFormat="1" applyFont="1" applyFill="1" applyBorder="1" applyAlignment="1">
      <alignment horizontal="left"/>
    </xf>
    <xf numFmtId="166" fontId="11" fillId="0" borderId="1" xfId="1" applyNumberFormat="1" applyFont="1" applyBorder="1" applyAlignment="1">
      <alignment horizontal="left"/>
    </xf>
    <xf numFmtId="0" fontId="11" fillId="0" borderId="0" xfId="0" applyFont="1"/>
    <xf numFmtId="166" fontId="10" fillId="3" borderId="1" xfId="1" applyNumberFormat="1" applyFont="1" applyFill="1" applyBorder="1" applyAlignment="1">
      <alignment horizontal="right"/>
    </xf>
    <xf numFmtId="166" fontId="10" fillId="3" borderId="1" xfId="1" applyNumberFormat="1" applyFont="1" applyFill="1" applyBorder="1" applyAlignment="1">
      <alignment horizontal="left"/>
    </xf>
    <xf numFmtId="165" fontId="17" fillId="3" borderId="1" xfId="1" applyNumberFormat="1" applyFont="1" applyFill="1" applyBorder="1" applyAlignment="1">
      <alignment horizontal="right"/>
    </xf>
    <xf numFmtId="14" fontId="10" fillId="0" borderId="1" xfId="0" quotePrefix="1" applyNumberFormat="1" applyFont="1" applyBorder="1" applyAlignment="1">
      <alignment horizontal="left"/>
    </xf>
    <xf numFmtId="166" fontId="10" fillId="0" borderId="1" xfId="1" applyNumberFormat="1" applyFont="1" applyBorder="1" applyAlignment="1">
      <alignment horizontal="left"/>
    </xf>
    <xf numFmtId="0" fontId="10" fillId="4" borderId="1" xfId="0" applyFont="1" applyFill="1" applyBorder="1"/>
    <xf numFmtId="14" fontId="10" fillId="4" borderId="1" xfId="0" applyNumberFormat="1" applyFont="1" applyFill="1" applyBorder="1" applyAlignment="1">
      <alignment horizontal="left"/>
    </xf>
    <xf numFmtId="0" fontId="10" fillId="4" borderId="0" xfId="0" applyFont="1" applyFill="1"/>
    <xf numFmtId="165" fontId="18" fillId="3" borderId="1" xfId="1" applyNumberFormat="1" applyFont="1" applyFill="1" applyBorder="1" applyAlignment="1">
      <alignment horizontal="right"/>
    </xf>
    <xf numFmtId="43" fontId="10" fillId="3" borderId="1" xfId="1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top"/>
    </xf>
    <xf numFmtId="43" fontId="11" fillId="3" borderId="1" xfId="1" applyFont="1" applyFill="1" applyBorder="1" applyAlignment="1">
      <alignment horizontal="left"/>
    </xf>
    <xf numFmtId="43" fontId="11" fillId="0" borderId="1" xfId="1" applyFont="1" applyBorder="1" applyAlignment="1">
      <alignment horizontal="left"/>
    </xf>
    <xf numFmtId="43" fontId="11" fillId="5" borderId="1" xfId="1" applyFont="1" applyFill="1" applyBorder="1" applyAlignment="1">
      <alignment horizontal="left"/>
    </xf>
    <xf numFmtId="165" fontId="11" fillId="5" borderId="1" xfId="0" applyNumberFormat="1" applyFont="1" applyFill="1" applyBorder="1" applyAlignment="1">
      <alignment horizontal="left"/>
    </xf>
    <xf numFmtId="165" fontId="0" fillId="0" borderId="0" xfId="1" applyNumberFormat="1" applyFont="1"/>
    <xf numFmtId="165" fontId="2" fillId="0" borderId="0" xfId="1" applyNumberFormat="1" applyFont="1" applyAlignment="1">
      <alignment horizontal="center"/>
    </xf>
    <xf numFmtId="165" fontId="3" fillId="2" borderId="1" xfId="1" applyNumberFormat="1" applyFont="1" applyFill="1" applyBorder="1" applyAlignment="1">
      <alignment horizontal="center" wrapText="1"/>
    </xf>
    <xf numFmtId="165" fontId="5" fillId="3" borderId="1" xfId="1" applyNumberFormat="1" applyFont="1" applyFill="1" applyBorder="1" applyAlignment="1">
      <alignment horizontal="right"/>
    </xf>
    <xf numFmtId="165" fontId="2" fillId="0" borderId="1" xfId="1" applyNumberFormat="1" applyFont="1" applyBorder="1"/>
    <xf numFmtId="165" fontId="6" fillId="4" borderId="2" xfId="1" applyNumberFormat="1" applyFont="1" applyFill="1" applyBorder="1"/>
    <xf numFmtId="165" fontId="5" fillId="4" borderId="2" xfId="1" applyNumberFormat="1" applyFont="1" applyFill="1" applyBorder="1"/>
    <xf numFmtId="165" fontId="5" fillId="0" borderId="1" xfId="1" applyNumberFormat="1" applyFont="1" applyBorder="1"/>
    <xf numFmtId="165" fontId="5" fillId="0" borderId="2" xfId="1" applyNumberFormat="1" applyFont="1" applyBorder="1"/>
    <xf numFmtId="43" fontId="5" fillId="0" borderId="2" xfId="1" applyFont="1" applyBorder="1"/>
    <xf numFmtId="165" fontId="0" fillId="0" borderId="0" xfId="0" applyNumberFormat="1"/>
    <xf numFmtId="165" fontId="2" fillId="5" borderId="1" xfId="1" applyNumberFormat="1" applyFont="1" applyFill="1" applyBorder="1"/>
    <xf numFmtId="166" fontId="2" fillId="5" borderId="1" xfId="1" applyNumberFormat="1" applyFont="1" applyFill="1" applyBorder="1"/>
    <xf numFmtId="165" fontId="3" fillId="0" borderId="2" xfId="1" applyNumberFormat="1" applyFont="1" applyBorder="1"/>
    <xf numFmtId="165" fontId="19" fillId="0" borderId="1" xfId="1" applyNumberFormat="1" applyFont="1" applyBorder="1"/>
    <xf numFmtId="165" fontId="6" fillId="0" borderId="2" xfId="1" applyNumberFormat="1" applyFont="1" applyBorder="1"/>
    <xf numFmtId="166" fontId="20" fillId="3" borderId="1" xfId="0" applyNumberFormat="1" applyFont="1" applyFill="1" applyBorder="1"/>
    <xf numFmtId="165" fontId="6" fillId="3" borderId="1" xfId="1" applyNumberFormat="1" applyFont="1" applyFill="1" applyBorder="1"/>
    <xf numFmtId="165" fontId="3" fillId="3" borderId="1" xfId="0" applyNumberFormat="1" applyFont="1" applyFill="1" applyBorder="1"/>
    <xf numFmtId="165" fontId="1" fillId="0" borderId="1" xfId="1" applyNumberFormat="1" applyBorder="1"/>
    <xf numFmtId="165" fontId="6" fillId="0" borderId="1" xfId="1" applyNumberFormat="1" applyFont="1" applyBorder="1" applyAlignment="1">
      <alignment horizontal="right"/>
    </xf>
    <xf numFmtId="165" fontId="20" fillId="0" borderId="1" xfId="0" applyNumberFormat="1" applyFont="1" applyBorder="1"/>
    <xf numFmtId="43" fontId="5" fillId="3" borderId="1" xfId="1" applyFont="1" applyFill="1" applyBorder="1" applyAlignment="1">
      <alignment horizontal="right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167" fontId="0" fillId="0" borderId="1" xfId="0" applyNumberFormat="1" applyBorder="1"/>
    <xf numFmtId="43" fontId="20" fillId="3" borderId="1" xfId="1" applyFont="1" applyFill="1" applyBorder="1"/>
    <xf numFmtId="165" fontId="2" fillId="3" borderId="1" xfId="1" applyNumberFormat="1" applyFont="1" applyFill="1" applyBorder="1"/>
    <xf numFmtId="165" fontId="2" fillId="3" borderId="1" xfId="0" applyNumberFormat="1" applyFont="1" applyFill="1" applyBorder="1"/>
    <xf numFmtId="0" fontId="21" fillId="0" borderId="1" xfId="0" applyFont="1" applyBorder="1"/>
    <xf numFmtId="165" fontId="20" fillId="0" borderId="1" xfId="1" applyNumberFormat="1" applyFont="1" applyBorder="1"/>
    <xf numFmtId="166" fontId="0" fillId="0" borderId="1" xfId="0" applyNumberFormat="1" applyBorder="1"/>
    <xf numFmtId="166" fontId="1" fillId="0" borderId="2" xfId="1" applyNumberFormat="1" applyBorder="1"/>
    <xf numFmtId="165" fontId="0" fillId="0" borderId="1" xfId="1" applyNumberFormat="1" applyFont="1" applyBorder="1"/>
    <xf numFmtId="43" fontId="1" fillId="0" borderId="1" xfId="1" applyBorder="1"/>
    <xf numFmtId="166" fontId="19" fillId="0" borderId="1" xfId="1" applyNumberFormat="1" applyFont="1" applyBorder="1"/>
    <xf numFmtId="165" fontId="20" fillId="3" borderId="1" xfId="1" applyNumberFormat="1" applyFont="1" applyFill="1" applyBorder="1"/>
    <xf numFmtId="166" fontId="0" fillId="0" borderId="0" xfId="1" applyNumberFormat="1" applyFont="1"/>
    <xf numFmtId="43" fontId="0" fillId="0" borderId="1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/>
    <xf numFmtId="43" fontId="3" fillId="2" borderId="1" xfId="1" applyFont="1" applyFill="1" applyBorder="1" applyAlignment="1">
      <alignment horizontal="center" wrapText="1"/>
    </xf>
    <xf numFmtId="43" fontId="3" fillId="0" borderId="2" xfId="1" applyFont="1" applyBorder="1"/>
    <xf numFmtId="43" fontId="6" fillId="0" borderId="2" xfId="1" applyFont="1" applyBorder="1"/>
    <xf numFmtId="43" fontId="6" fillId="3" borderId="1" xfId="1" applyFont="1" applyFill="1" applyBorder="1"/>
    <xf numFmtId="43" fontId="3" fillId="3" borderId="1" xfId="1" applyFont="1" applyFill="1" applyBorder="1" applyAlignment="1">
      <alignment horizontal="right"/>
    </xf>
    <xf numFmtId="43" fontId="6" fillId="4" borderId="2" xfId="1" applyFont="1" applyFill="1" applyBorder="1"/>
    <xf numFmtId="166" fontId="5" fillId="0" borderId="1" xfId="1" applyNumberFormat="1" applyFont="1" applyFill="1" applyBorder="1" applyAlignment="1">
      <alignment horizontal="right"/>
    </xf>
    <xf numFmtId="43" fontId="5" fillId="0" borderId="2" xfId="1" applyFont="1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6" fontId="5" fillId="4" borderId="1" xfId="1" applyNumberFormat="1" applyFont="1" applyFill="1" applyBorder="1" applyAlignment="1">
      <alignment horizontal="right"/>
    </xf>
    <xf numFmtId="43" fontId="5" fillId="4" borderId="2" xfId="1" applyFont="1" applyFill="1" applyBorder="1"/>
    <xf numFmtId="0" fontId="0" fillId="4" borderId="0" xfId="0" applyFill="1"/>
    <xf numFmtId="43" fontId="19" fillId="0" borderId="1" xfId="1" applyFont="1" applyBorder="1"/>
    <xf numFmtId="43" fontId="2" fillId="5" borderId="1" xfId="0" applyNumberFormat="1" applyFont="1" applyFill="1" applyBorder="1"/>
    <xf numFmtId="43" fontId="2" fillId="5" borderId="1" xfId="1" applyFont="1" applyFill="1" applyBorder="1"/>
    <xf numFmtId="14" fontId="0" fillId="3" borderId="1" xfId="0" applyNumberFormat="1" applyFill="1" applyBorder="1" applyAlignment="1">
      <alignment horizontal="center"/>
    </xf>
    <xf numFmtId="166" fontId="5" fillId="3" borderId="2" xfId="1" applyNumberFormat="1" applyFont="1" applyFill="1" applyBorder="1"/>
    <xf numFmtId="166" fontId="6" fillId="3" borderId="2" xfId="1" applyNumberFormat="1" applyFont="1" applyFill="1" applyBorder="1"/>
    <xf numFmtId="43" fontId="5" fillId="3" borderId="1" xfId="1" applyFont="1" applyFill="1" applyBorder="1"/>
    <xf numFmtId="166" fontId="5" fillId="3" borderId="1" xfId="0" applyNumberFormat="1" applyFont="1" applyFill="1" applyBorder="1"/>
    <xf numFmtId="14" fontId="0" fillId="3" borderId="1" xfId="0" quotePrefix="1" applyNumberFormat="1" applyFill="1" applyBorder="1" applyAlignment="1">
      <alignment horizontal="center"/>
    </xf>
    <xf numFmtId="166" fontId="6" fillId="4" borderId="2" xfId="1" applyNumberFormat="1" applyFont="1" applyFill="1" applyBorder="1"/>
    <xf numFmtId="14" fontId="0" fillId="3" borderId="1" xfId="0" applyNumberFormat="1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166" fontId="5" fillId="4" borderId="1" xfId="0" applyNumberFormat="1" applyFont="1" applyFill="1" applyBorder="1"/>
    <xf numFmtId="166" fontId="6" fillId="0" borderId="2" xfId="1" applyNumberFormat="1" applyFont="1" applyFill="1" applyBorder="1"/>
    <xf numFmtId="0" fontId="6" fillId="0" borderId="0" xfId="0" applyFont="1"/>
    <xf numFmtId="166" fontId="7" fillId="0" borderId="1" xfId="1" applyNumberFormat="1" applyFont="1" applyBorder="1"/>
    <xf numFmtId="0" fontId="0" fillId="6" borderId="0" xfId="0" applyFill="1"/>
    <xf numFmtId="14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/>
    <xf numFmtId="0" fontId="6" fillId="0" borderId="1" xfId="0" applyFont="1" applyBorder="1" applyAlignment="1">
      <alignment horizontal="center"/>
    </xf>
    <xf numFmtId="166" fontId="6" fillId="3" borderId="1" xfId="0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/>
    <xf numFmtId="166" fontId="1" fillId="3" borderId="2" xfId="1" applyNumberFormat="1" applyFill="1" applyBorder="1"/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/>
    <xf numFmtId="14" fontId="3" fillId="3" borderId="1" xfId="0" quotePrefix="1" applyNumberFormat="1" applyFont="1" applyFill="1" applyBorder="1" applyAlignment="1">
      <alignment horizontal="center"/>
    </xf>
    <xf numFmtId="0" fontId="2" fillId="0" borderId="0" xfId="0" applyFont="1"/>
    <xf numFmtId="166" fontId="2" fillId="0" borderId="0" xfId="0" applyNumberFormat="1" applyFont="1"/>
    <xf numFmtId="14" fontId="2" fillId="3" borderId="1" xfId="0" applyNumberFormat="1" applyFont="1" applyFill="1" applyBorder="1" applyAlignment="1">
      <alignment horizontal="left"/>
    </xf>
    <xf numFmtId="166" fontId="23" fillId="3" borderId="1" xfId="0" applyNumberFormat="1" applyFont="1" applyFill="1" applyBorder="1"/>
    <xf numFmtId="166" fontId="23" fillId="3" borderId="2" xfId="1" applyNumberFormat="1" applyFont="1" applyFill="1" applyBorder="1"/>
    <xf numFmtId="14" fontId="0" fillId="3" borderId="1" xfId="0" applyNumberFormat="1" applyFill="1" applyBorder="1"/>
    <xf numFmtId="14" fontId="21" fillId="0" borderId="1" xfId="0" applyNumberFormat="1" applyFont="1" applyBorder="1" applyAlignment="1">
      <alignment horizontal="left"/>
    </xf>
    <xf numFmtId="166" fontId="21" fillId="0" borderId="1" xfId="1" applyNumberFormat="1" applyFont="1" applyBorder="1"/>
    <xf numFmtId="166" fontId="1" fillId="0" borderId="0" xfId="1" applyNumberFormat="1"/>
    <xf numFmtId="9" fontId="3" fillId="0" borderId="0" xfId="2" applyFont="1"/>
    <xf numFmtId="168" fontId="0" fillId="0" borderId="0" xfId="0" applyNumberFormat="1"/>
    <xf numFmtId="165" fontId="1" fillId="0" borderId="0" xfId="1" applyNumberFormat="1"/>
    <xf numFmtId="43" fontId="0" fillId="0" borderId="0" xfId="0" applyNumberFormat="1"/>
    <xf numFmtId="43" fontId="1" fillId="0" borderId="0" xfId="1"/>
    <xf numFmtId="14" fontId="3" fillId="3" borderId="1" xfId="0" applyNumberFormat="1" applyFont="1" applyFill="1" applyBorder="1" applyAlignment="1">
      <alignment horizontal="left"/>
    </xf>
    <xf numFmtId="14" fontId="3" fillId="3" borderId="1" xfId="0" quotePrefix="1" applyNumberFormat="1" applyFont="1" applyFill="1" applyBorder="1" applyAlignment="1">
      <alignment horizontal="left"/>
    </xf>
    <xf numFmtId="166" fontId="20" fillId="3" borderId="2" xfId="0" applyNumberFormat="1" applyFont="1" applyFill="1" applyBorder="1"/>
    <xf numFmtId="0" fontId="3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vertical="top"/>
    </xf>
    <xf numFmtId="165" fontId="9" fillId="3" borderId="1" xfId="1" applyNumberFormat="1" applyFont="1" applyFill="1" applyBorder="1" applyAlignment="1">
      <alignment horizontal="right"/>
    </xf>
    <xf numFmtId="165" fontId="24" fillId="3" borderId="1" xfId="1" applyNumberFormat="1" applyFont="1" applyFill="1" applyBorder="1" applyAlignment="1">
      <alignment horizontal="right"/>
    </xf>
    <xf numFmtId="165" fontId="20" fillId="3" borderId="1" xfId="0" applyNumberFormat="1" applyFont="1" applyFill="1" applyBorder="1"/>
    <xf numFmtId="165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25" fillId="0" borderId="1" xfId="0" applyNumberFormat="1" applyFont="1" applyBorder="1" applyAlignment="1">
      <alignment horizontal="left"/>
    </xf>
    <xf numFmtId="0" fontId="25" fillId="3" borderId="1" xfId="0" applyFont="1" applyFill="1" applyBorder="1" applyAlignment="1">
      <alignment horizontal="center"/>
    </xf>
    <xf numFmtId="166" fontId="25" fillId="0" borderId="1" xfId="1" applyNumberFormat="1" applyFont="1" applyBorder="1"/>
    <xf numFmtId="166" fontId="25" fillId="0" borderId="2" xfId="1" applyNumberFormat="1" applyFont="1" applyBorder="1"/>
    <xf numFmtId="166" fontId="26" fillId="0" borderId="1" xfId="1" applyNumberFormat="1" applyFont="1" applyBorder="1"/>
    <xf numFmtId="0" fontId="25" fillId="0" borderId="0" xfId="0" applyFont="1"/>
    <xf numFmtId="166" fontId="25" fillId="3" borderId="1" xfId="1" applyNumberFormat="1" applyFont="1" applyFill="1" applyBorder="1" applyAlignment="1">
      <alignment horizontal="right"/>
    </xf>
    <xf numFmtId="0" fontId="27" fillId="0" borderId="1" xfId="0" applyFont="1" applyBorder="1" applyAlignment="1">
      <alignment horizontal="center"/>
    </xf>
    <xf numFmtId="14" fontId="27" fillId="0" borderId="1" xfId="0" applyNumberFormat="1" applyFont="1" applyBorder="1" applyAlignment="1">
      <alignment horizontal="left"/>
    </xf>
    <xf numFmtId="0" fontId="27" fillId="3" borderId="1" xfId="0" applyFont="1" applyFill="1" applyBorder="1" applyAlignment="1">
      <alignment horizontal="left" vertical="top"/>
    </xf>
    <xf numFmtId="0" fontId="27" fillId="3" borderId="1" xfId="0" applyFont="1" applyFill="1" applyBorder="1" applyAlignment="1">
      <alignment horizontal="center"/>
    </xf>
    <xf numFmtId="166" fontId="27" fillId="0" borderId="1" xfId="1" applyNumberFormat="1" applyFont="1" applyBorder="1"/>
    <xf numFmtId="166" fontId="27" fillId="0" borderId="2" xfId="1" applyNumberFormat="1" applyFont="1" applyBorder="1"/>
    <xf numFmtId="166" fontId="28" fillId="0" borderId="1" xfId="1" applyNumberFormat="1" applyFont="1" applyBorder="1"/>
    <xf numFmtId="0" fontId="27" fillId="0" borderId="0" xfId="0" applyFont="1"/>
    <xf numFmtId="166" fontId="27" fillId="3" borderId="1" xfId="1" applyNumberFormat="1" applyFont="1" applyFill="1" applyBorder="1" applyAlignment="1">
      <alignment horizontal="right"/>
    </xf>
    <xf numFmtId="14" fontId="6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/>
    </xf>
    <xf numFmtId="166" fontId="6" fillId="0" borderId="1" xfId="0" applyNumberFormat="1" applyFont="1" applyBorder="1"/>
    <xf numFmtId="0" fontId="5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/>
    </xf>
    <xf numFmtId="166" fontId="2" fillId="4" borderId="1" xfId="1" applyNumberFormat="1" applyFont="1" applyFill="1" applyBorder="1"/>
    <xf numFmtId="166" fontId="3" fillId="4" borderId="1" xfId="1" applyNumberFormat="1" applyFont="1" applyFill="1" applyBorder="1"/>
    <xf numFmtId="166" fontId="3" fillId="6" borderId="1" xfId="1" applyNumberFormat="1" applyFont="1" applyFill="1" applyBorder="1"/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left"/>
    </xf>
    <xf numFmtId="0" fontId="5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/>
    <xf numFmtId="166" fontId="2" fillId="6" borderId="1" xfId="1" applyNumberFormat="1" applyFont="1" applyFill="1" applyBorder="1"/>
    <xf numFmtId="0" fontId="0" fillId="6" borderId="1" xfId="0" applyFill="1" applyBorder="1"/>
    <xf numFmtId="166" fontId="1" fillId="6" borderId="0" xfId="1" applyNumberFormat="1" applyFill="1"/>
    <xf numFmtId="0" fontId="2" fillId="0" borderId="1" xfId="0" applyFont="1" applyBorder="1"/>
    <xf numFmtId="0" fontId="23" fillId="3" borderId="1" xfId="0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right"/>
    </xf>
    <xf numFmtId="166" fontId="2" fillId="0" borderId="2" xfId="1" applyNumberFormat="1" applyFont="1" applyBorder="1"/>
    <xf numFmtId="1" fontId="2" fillId="0" borderId="1" xfId="0" applyNumberFormat="1" applyFont="1" applyBorder="1"/>
    <xf numFmtId="0" fontId="3" fillId="3" borderId="1" xfId="0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66" fontId="3" fillId="0" borderId="1" xfId="1" applyNumberFormat="1" applyFont="1" applyBorder="1" applyAlignment="1">
      <alignment horizontal="left"/>
    </xf>
    <xf numFmtId="166" fontId="29" fillId="0" borderId="2" xfId="1" applyNumberFormat="1" applyFont="1" applyBorder="1"/>
    <xf numFmtId="1" fontId="0" fillId="0" borderId="0" xfId="0" applyNumberFormat="1"/>
    <xf numFmtId="14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>
      <alignment horizontal="right"/>
    </xf>
    <xf numFmtId="169" fontId="0" fillId="0" borderId="1" xfId="0" applyNumberFormat="1" applyBorder="1"/>
    <xf numFmtId="49" fontId="3" fillId="3" borderId="1" xfId="0" applyNumberFormat="1" applyFont="1" applyFill="1" applyBorder="1" applyAlignment="1" applyProtection="1">
      <alignment horizontal="left" vertical="center"/>
      <protection locked="0"/>
    </xf>
    <xf numFmtId="166" fontId="30" fillId="0" borderId="1" xfId="1" applyNumberFormat="1" applyFont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165" fontId="30" fillId="0" borderId="1" xfId="1" applyNumberFormat="1" applyFont="1" applyBorder="1" applyAlignment="1">
      <alignment horizontal="left"/>
    </xf>
    <xf numFmtId="49" fontId="3" fillId="4" borderId="1" xfId="0" applyNumberFormat="1" applyFont="1" applyFill="1" applyBorder="1" applyAlignment="1" applyProtection="1">
      <alignment horizontal="left" vertical="center"/>
      <protection locked="0"/>
    </xf>
    <xf numFmtId="166" fontId="1" fillId="4" borderId="1" xfId="1" applyNumberFormat="1" applyFill="1" applyBorder="1"/>
    <xf numFmtId="166" fontId="1" fillId="4" borderId="2" xfId="1" applyNumberFormat="1" applyFill="1" applyBorder="1"/>
    <xf numFmtId="0" fontId="0" fillId="4" borderId="1" xfId="0" applyFill="1" applyBorder="1"/>
    <xf numFmtId="43" fontId="5" fillId="3" borderId="1" xfId="1" applyFont="1" applyFill="1" applyBorder="1" applyAlignment="1">
      <alignment horizontal="left" vertical="top"/>
    </xf>
    <xf numFmtId="169" fontId="0" fillId="0" borderId="0" xfId="0" applyNumberFormat="1"/>
    <xf numFmtId="166" fontId="6" fillId="3" borderId="1" xfId="1" applyNumberFormat="1" applyFont="1" applyFill="1" applyBorder="1"/>
    <xf numFmtId="0" fontId="6" fillId="0" borderId="1" xfId="0" applyFont="1" applyBorder="1" applyAlignment="1">
      <alignment horizontal="right"/>
    </xf>
    <xf numFmtId="166" fontId="31" fillId="0" borderId="1" xfId="1" applyNumberFormat="1" applyFont="1" applyBorder="1"/>
    <xf numFmtId="166" fontId="10" fillId="0" borderId="0" xfId="1" applyNumberFormat="1" applyFont="1"/>
    <xf numFmtId="166" fontId="10" fillId="0" borderId="1" xfId="1" applyNumberFormat="1" applyFont="1" applyBorder="1" applyAlignment="1">
      <alignment horizontal="center" wrapText="1"/>
    </xf>
    <xf numFmtId="165" fontId="10" fillId="0" borderId="0" xfId="0" applyNumberFormat="1" applyFont="1"/>
    <xf numFmtId="165" fontId="10" fillId="0" borderId="1" xfId="0" applyNumberFormat="1" applyFont="1" applyBorder="1" applyAlignment="1">
      <alignment horizontal="center" wrapText="1"/>
    </xf>
    <xf numFmtId="165" fontId="17" fillId="4" borderId="1" xfId="1" applyNumberFormat="1" applyFont="1" applyFill="1" applyBorder="1" applyAlignment="1">
      <alignment horizontal="right"/>
    </xf>
    <xf numFmtId="165" fontId="18" fillId="3" borderId="2" xfId="1" applyNumberFormat="1" applyFont="1" applyFill="1" applyBorder="1" applyAlignment="1">
      <alignment horizontal="right"/>
    </xf>
    <xf numFmtId="165" fontId="13" fillId="0" borderId="2" xfId="1" applyNumberFormat="1" applyFont="1" applyBorder="1"/>
    <xf numFmtId="165" fontId="10" fillId="0" borderId="2" xfId="1" applyNumberFormat="1" applyFont="1" applyBorder="1"/>
    <xf numFmtId="165" fontId="11" fillId="5" borderId="1" xfId="1" applyNumberFormat="1" applyFont="1" applyFill="1" applyBorder="1"/>
    <xf numFmtId="165" fontId="10" fillId="0" borderId="0" xfId="1" applyNumberFormat="1" applyFont="1"/>
    <xf numFmtId="165" fontId="10" fillId="0" borderId="1" xfId="1" applyNumberFormat="1" applyFont="1" applyBorder="1" applyAlignment="1">
      <alignment horizontal="center" wrapText="1"/>
    </xf>
    <xf numFmtId="165" fontId="10" fillId="4" borderId="1" xfId="1" applyNumberFormat="1" applyFont="1" applyFill="1" applyBorder="1" applyAlignment="1">
      <alignment horizontal="right"/>
    </xf>
    <xf numFmtId="165" fontId="13" fillId="0" borderId="1" xfId="1" applyNumberFormat="1" applyFont="1" applyBorder="1"/>
    <xf numFmtId="165" fontId="10" fillId="0" borderId="1" xfId="1" applyNumberFormat="1" applyFont="1" applyBorder="1"/>
    <xf numFmtId="0" fontId="32" fillId="0" borderId="1" xfId="0" applyFont="1" applyBorder="1"/>
    <xf numFmtId="14" fontId="32" fillId="0" borderId="1" xfId="0" applyNumberFormat="1" applyFont="1" applyBorder="1" applyAlignment="1">
      <alignment horizontal="left"/>
    </xf>
    <xf numFmtId="0" fontId="32" fillId="3" borderId="1" xfId="0" applyFont="1" applyFill="1" applyBorder="1" applyAlignment="1">
      <alignment horizontal="center" vertical="top"/>
    </xf>
    <xf numFmtId="165" fontId="32" fillId="3" borderId="1" xfId="1" applyNumberFormat="1" applyFont="1" applyFill="1" applyBorder="1" applyAlignment="1">
      <alignment horizontal="right"/>
    </xf>
    <xf numFmtId="165" fontId="32" fillId="3" borderId="2" xfId="1" applyNumberFormat="1" applyFont="1" applyFill="1" applyBorder="1" applyAlignment="1">
      <alignment horizontal="right"/>
    </xf>
    <xf numFmtId="166" fontId="32" fillId="3" borderId="1" xfId="1" applyNumberFormat="1" applyFont="1" applyFill="1" applyBorder="1" applyAlignment="1">
      <alignment horizontal="left"/>
    </xf>
    <xf numFmtId="0" fontId="32" fillId="0" borderId="0" xfId="0" applyFont="1"/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left"/>
    </xf>
    <xf numFmtId="0" fontId="5" fillId="8" borderId="1" xfId="0" applyFont="1" applyFill="1" applyBorder="1" applyAlignment="1">
      <alignment horizontal="left" vertical="top"/>
    </xf>
    <xf numFmtId="49" fontId="3" fillId="8" borderId="1" xfId="0" applyNumberFormat="1" applyFont="1" applyFill="1" applyBorder="1" applyAlignment="1" applyProtection="1">
      <alignment horizontal="left" vertical="center"/>
      <protection locked="0"/>
    </xf>
    <xf numFmtId="43" fontId="1" fillId="8" borderId="1" xfId="1" applyFill="1" applyBorder="1"/>
    <xf numFmtId="166" fontId="1" fillId="8" borderId="2" xfId="1" applyNumberFormat="1" applyFill="1" applyBorder="1"/>
    <xf numFmtId="165" fontId="5" fillId="8" borderId="2" xfId="1" applyNumberFormat="1" applyFont="1" applyFill="1" applyBorder="1"/>
    <xf numFmtId="166" fontId="2" fillId="8" borderId="1" xfId="1" applyNumberFormat="1" applyFont="1" applyFill="1" applyBorder="1"/>
    <xf numFmtId="166" fontId="3" fillId="8" borderId="1" xfId="1" applyNumberFormat="1" applyFont="1" applyFill="1" applyBorder="1"/>
    <xf numFmtId="0" fontId="0" fillId="8" borderId="1" xfId="0" applyFill="1" applyBorder="1"/>
    <xf numFmtId="169" fontId="0" fillId="8" borderId="1" xfId="0" applyNumberFormat="1" applyFill="1" applyBorder="1"/>
    <xf numFmtId="0" fontId="0" fillId="8" borderId="0" xfId="0" applyFill="1"/>
    <xf numFmtId="43" fontId="2" fillId="0" borderId="0" xfId="1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right"/>
    </xf>
    <xf numFmtId="43" fontId="1" fillId="0" borderId="2" xfId="1" applyBorder="1"/>
    <xf numFmtId="43" fontId="1" fillId="4" borderId="2" xfId="1" applyFill="1" applyBorder="1"/>
    <xf numFmtId="43" fontId="1" fillId="8" borderId="2" xfId="1" applyFill="1" applyBorder="1"/>
    <xf numFmtId="43" fontId="5" fillId="3" borderId="1" xfId="1" applyFont="1" applyFill="1" applyBorder="1" applyAlignment="1">
      <alignment horizontal="center"/>
    </xf>
    <xf numFmtId="166" fontId="11" fillId="5" borderId="1" xfId="1" applyNumberFormat="1" applyFont="1" applyFill="1" applyBorder="1"/>
    <xf numFmtId="0" fontId="11" fillId="0" borderId="0" xfId="0" applyFont="1" applyAlignment="1">
      <alignment horizontal="center"/>
    </xf>
    <xf numFmtId="0" fontId="32" fillId="2" borderId="1" xfId="0" applyFont="1" applyFill="1" applyBorder="1" applyAlignment="1">
      <alignment horizontal="center"/>
    </xf>
    <xf numFmtId="166" fontId="32" fillId="0" borderId="0" xfId="1" applyNumberFormat="1" applyFont="1"/>
    <xf numFmtId="166" fontId="11" fillId="0" borderId="0" xfId="1" applyNumberFormat="1" applyFont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166" fontId="32" fillId="2" borderId="1" xfId="1" applyNumberFormat="1" applyFont="1" applyFill="1" applyBorder="1" applyAlignment="1">
      <alignment horizontal="center" wrapText="1"/>
    </xf>
    <xf numFmtId="166" fontId="13" fillId="3" borderId="1" xfId="1" applyNumberFormat="1" applyFont="1" applyFill="1" applyBorder="1" applyAlignment="1">
      <alignment horizontal="center" vertical="top"/>
    </xf>
    <xf numFmtId="166" fontId="32" fillId="0" borderId="1" xfId="1" applyNumberFormat="1" applyFont="1" applyBorder="1"/>
    <xf numFmtId="0" fontId="32" fillId="0" borderId="1" xfId="0" applyFont="1" applyBorder="1" applyAlignment="1">
      <alignment horizontal="center"/>
    </xf>
    <xf numFmtId="166" fontId="17" fillId="0" borderId="2" xfId="1" applyNumberFormat="1" applyFont="1" applyBorder="1"/>
    <xf numFmtId="166" fontId="32" fillId="3" borderId="1" xfId="1" applyNumberFormat="1" applyFont="1" applyFill="1" applyBorder="1" applyAlignment="1">
      <alignment horizontal="center" vertical="top"/>
    </xf>
    <xf numFmtId="166" fontId="32" fillId="3" borderId="1" xfId="1" applyNumberFormat="1" applyFont="1" applyFill="1" applyBorder="1" applyAlignment="1">
      <alignment horizontal="right"/>
    </xf>
    <xf numFmtId="166" fontId="32" fillId="0" borderId="2" xfId="1" applyNumberFormat="1" applyFont="1" applyBorder="1"/>
    <xf numFmtId="166" fontId="32" fillId="0" borderId="0" xfId="0" applyNumberFormat="1" applyFont="1"/>
    <xf numFmtId="166" fontId="13" fillId="0" borderId="1" xfId="0" applyNumberFormat="1" applyFont="1" applyBorder="1"/>
    <xf numFmtId="0" fontId="32" fillId="7" borderId="1" xfId="0" applyFont="1" applyFill="1" applyBorder="1"/>
    <xf numFmtId="0" fontId="11" fillId="7" borderId="1" xfId="0" applyFont="1" applyFill="1" applyBorder="1" applyAlignment="1">
      <alignment horizontal="center"/>
    </xf>
    <xf numFmtId="166" fontId="32" fillId="7" borderId="1" xfId="1" applyNumberFormat="1" applyFont="1" applyFill="1" applyBorder="1"/>
    <xf numFmtId="166" fontId="11" fillId="7" borderId="1" xfId="0" applyNumberFormat="1" applyFont="1" applyFill="1" applyBorder="1"/>
    <xf numFmtId="165" fontId="11" fillId="7" borderId="1" xfId="0" applyNumberFormat="1" applyFont="1" applyFill="1" applyBorder="1"/>
    <xf numFmtId="0" fontId="3" fillId="6" borderId="1" xfId="0" applyFont="1" applyFill="1" applyBorder="1"/>
    <xf numFmtId="170" fontId="5" fillId="0" borderId="2" xfId="3" applyNumberFormat="1" applyFont="1" applyBorder="1"/>
    <xf numFmtId="166" fontId="34" fillId="0" borderId="1" xfId="1" applyNumberFormat="1" applyFont="1" applyBorder="1"/>
    <xf numFmtId="165" fontId="34" fillId="0" borderId="1" xfId="1" applyNumberFormat="1" applyFont="1" applyBorder="1"/>
    <xf numFmtId="0" fontId="34" fillId="0" borderId="1" xfId="0" applyFont="1" applyBorder="1"/>
    <xf numFmtId="165" fontId="7" fillId="0" borderId="2" xfId="1" applyNumberFormat="1" applyFont="1" applyBorder="1"/>
    <xf numFmtId="165" fontId="3" fillId="0" borderId="1" xfId="1" applyNumberFormat="1" applyFont="1" applyBorder="1"/>
    <xf numFmtId="0" fontId="27" fillId="0" borderId="1" xfId="0" applyFont="1" applyBorder="1"/>
    <xf numFmtId="171" fontId="0" fillId="4" borderId="0" xfId="0" applyNumberFormat="1" applyFill="1"/>
    <xf numFmtId="0" fontId="10" fillId="4" borderId="1" xfId="0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top"/>
    </xf>
    <xf numFmtId="166" fontId="10" fillId="4" borderId="1" xfId="1" applyNumberFormat="1" applyFont="1" applyFill="1" applyBorder="1" applyAlignment="1">
      <alignment horizontal="right"/>
    </xf>
    <xf numFmtId="166" fontId="10" fillId="4" borderId="1" xfId="1" applyNumberFormat="1" applyFont="1" applyFill="1" applyBorder="1" applyAlignment="1">
      <alignment horizontal="left"/>
    </xf>
    <xf numFmtId="166" fontId="17" fillId="4" borderId="1" xfId="1" applyNumberFormat="1" applyFont="1" applyFill="1" applyBorder="1" applyAlignment="1">
      <alignment horizontal="left"/>
    </xf>
    <xf numFmtId="0" fontId="17" fillId="4" borderId="1" xfId="0" applyFont="1" applyFill="1" applyBorder="1"/>
    <xf numFmtId="14" fontId="17" fillId="4" borderId="1" xfId="0" applyNumberFormat="1" applyFont="1" applyFill="1" applyBorder="1" applyAlignment="1">
      <alignment horizontal="left"/>
    </xf>
    <xf numFmtId="0" fontId="17" fillId="4" borderId="1" xfId="0" applyFont="1" applyFill="1" applyBorder="1" applyAlignment="1" applyProtection="1">
      <alignment vertical="center"/>
      <protection locked="0"/>
    </xf>
    <xf numFmtId="0" fontId="17" fillId="4" borderId="1" xfId="0" applyFont="1" applyFill="1" applyBorder="1" applyAlignment="1">
      <alignment horizontal="center" vertical="top"/>
    </xf>
    <xf numFmtId="166" fontId="17" fillId="4" borderId="1" xfId="1" applyNumberFormat="1" applyFont="1" applyFill="1" applyBorder="1" applyAlignment="1">
      <alignment horizontal="right"/>
    </xf>
    <xf numFmtId="172" fontId="0" fillId="0" borderId="0" xfId="0" applyNumberFormat="1"/>
    <xf numFmtId="172" fontId="0" fillId="0" borderId="1" xfId="0" applyNumberFormat="1" applyBorder="1"/>
    <xf numFmtId="2" fontId="0" fillId="0" borderId="1" xfId="0" applyNumberFormat="1" applyBorder="1"/>
    <xf numFmtId="0" fontId="36" fillId="0" borderId="1" xfId="0" applyFont="1" applyBorder="1"/>
    <xf numFmtId="0" fontId="36" fillId="4" borderId="0" xfId="0" applyFont="1" applyFill="1"/>
    <xf numFmtId="166" fontId="0" fillId="4" borderId="1" xfId="1" applyNumberFormat="1" applyFont="1" applyFill="1" applyBorder="1"/>
    <xf numFmtId="0" fontId="5" fillId="3" borderId="1" xfId="0" applyFont="1" applyFill="1" applyBorder="1" applyAlignment="1">
      <alignment horizontal="left" vertical="top" wrapText="1"/>
    </xf>
    <xf numFmtId="166" fontId="3" fillId="4" borderId="1" xfId="1" applyNumberFormat="1" applyFont="1" applyFill="1" applyBorder="1" applyAlignment="1">
      <alignment horizontal="right"/>
    </xf>
    <xf numFmtId="43" fontId="6" fillId="0" borderId="2" xfId="1" applyFont="1" applyBorder="1" applyAlignment="1">
      <alignment wrapText="1"/>
    </xf>
    <xf numFmtId="14" fontId="27" fillId="0" borderId="1" xfId="0" quotePrefix="1" applyNumberFormat="1" applyFont="1" applyBorder="1" applyAlignment="1">
      <alignment horizontal="left"/>
    </xf>
    <xf numFmtId="14" fontId="6" fillId="0" borderId="1" xfId="0" quotePrefix="1" applyNumberFormat="1" applyFont="1" applyBorder="1" applyAlignment="1">
      <alignment horizontal="left"/>
    </xf>
    <xf numFmtId="14" fontId="0" fillId="0" borderId="0" xfId="0" quotePrefix="1" applyNumberFormat="1" applyAlignment="1">
      <alignment horizontal="left"/>
    </xf>
    <xf numFmtId="14" fontId="25" fillId="0" borderId="1" xfId="0" quotePrefix="1" applyNumberFormat="1" applyFont="1" applyBorder="1" applyAlignment="1">
      <alignment horizontal="left"/>
    </xf>
    <xf numFmtId="14" fontId="0" fillId="3" borderId="1" xfId="0" quotePrefix="1" applyNumberFormat="1" applyFill="1" applyBorder="1" applyAlignment="1">
      <alignment horizontal="left"/>
    </xf>
    <xf numFmtId="14" fontId="0" fillId="4" borderId="1" xfId="0" quotePrefix="1" applyNumberFormat="1" applyFill="1" applyBorder="1" applyAlignment="1">
      <alignment horizontal="left"/>
    </xf>
    <xf numFmtId="0" fontId="5" fillId="4" borderId="1" xfId="0" applyFont="1" applyFill="1" applyBorder="1" applyAlignment="1">
      <alignment horizontal="center" vertical="top"/>
    </xf>
    <xf numFmtId="43" fontId="10" fillId="4" borderId="1" xfId="1" applyFont="1" applyFill="1" applyBorder="1" applyAlignment="1">
      <alignment horizontal="right"/>
    </xf>
    <xf numFmtId="43" fontId="2" fillId="0" borderId="1" xfId="1" applyFont="1" applyBorder="1"/>
    <xf numFmtId="43" fontId="0" fillId="0" borderId="1" xfId="1" applyFont="1" applyBorder="1"/>
    <xf numFmtId="43" fontId="27" fillId="0" borderId="2" xfId="1" applyFont="1" applyBorder="1"/>
    <xf numFmtId="43" fontId="9" fillId="0" borderId="2" xfId="1" applyFont="1" applyBorder="1"/>
    <xf numFmtId="43" fontId="5" fillId="6" borderId="2" xfId="1" applyFont="1" applyFill="1" applyBorder="1"/>
    <xf numFmtId="43" fontId="3" fillId="0" borderId="1" xfId="1" applyFont="1" applyBorder="1"/>
    <xf numFmtId="43" fontId="6" fillId="0" borderId="1" xfId="1" applyFont="1" applyBorder="1"/>
    <xf numFmtId="43" fontId="3" fillId="4" borderId="1" xfId="1" applyFont="1" applyFill="1" applyBorder="1"/>
    <xf numFmtId="43" fontId="7" fillId="0" borderId="1" xfId="1" applyFont="1" applyBorder="1"/>
    <xf numFmtId="43" fontId="3" fillId="6" borderId="1" xfId="1" applyFont="1" applyFill="1" applyBorder="1"/>
    <xf numFmtId="0" fontId="37" fillId="0" borderId="0" xfId="0" applyFont="1"/>
    <xf numFmtId="165" fontId="2" fillId="4" borderId="1" xfId="1" applyNumberFormat="1" applyFont="1" applyFill="1" applyBorder="1"/>
    <xf numFmtId="165" fontId="19" fillId="4" borderId="1" xfId="1" applyNumberFormat="1" applyFont="1" applyFill="1" applyBorder="1"/>
    <xf numFmtId="165" fontId="20" fillId="4" borderId="1" xfId="0" applyNumberFormat="1" applyFont="1" applyFill="1" applyBorder="1"/>
    <xf numFmtId="43" fontId="2" fillId="4" borderId="1" xfId="1" applyFont="1" applyFill="1" applyBorder="1"/>
    <xf numFmtId="43" fontId="0" fillId="4" borderId="0" xfId="1" applyFont="1" applyFill="1"/>
    <xf numFmtId="43" fontId="7" fillId="0" borderId="2" xfId="1" applyFont="1" applyBorder="1"/>
    <xf numFmtId="14" fontId="5" fillId="3" borderId="1" xfId="0" applyNumberFormat="1" applyFont="1" applyFill="1" applyBorder="1" applyAlignment="1">
      <alignment horizontal="left" vertical="top"/>
    </xf>
    <xf numFmtId="166" fontId="10" fillId="2" borderId="1" xfId="1" applyNumberFormat="1" applyFont="1" applyFill="1" applyBorder="1" applyAlignment="1">
      <alignment horizontal="center" wrapText="1"/>
    </xf>
    <xf numFmtId="166" fontId="11" fillId="7" borderId="1" xfId="1" applyNumberFormat="1" applyFont="1" applyFill="1" applyBorder="1"/>
    <xf numFmtId="43" fontId="13" fillId="0" borderId="2" xfId="1" applyFont="1" applyBorder="1"/>
    <xf numFmtId="166" fontId="10" fillId="0" borderId="1" xfId="1" applyNumberFormat="1" applyFont="1" applyBorder="1" applyAlignment="1">
      <alignment horizontal="center" vertical="center" wrapText="1"/>
    </xf>
    <xf numFmtId="171" fontId="0" fillId="0" borderId="0" xfId="0" applyNumberFormat="1"/>
    <xf numFmtId="43" fontId="36" fillId="4" borderId="0" xfId="1" applyFont="1" applyFill="1"/>
    <xf numFmtId="0" fontId="3" fillId="4" borderId="1" xfId="0" applyFont="1" applyFill="1" applyBorder="1"/>
    <xf numFmtId="43" fontId="5" fillId="4" borderId="1" xfId="1" applyFont="1" applyFill="1" applyBorder="1" applyAlignment="1">
      <alignment horizontal="right"/>
    </xf>
    <xf numFmtId="43" fontId="19" fillId="4" borderId="1" xfId="1" applyFont="1" applyFill="1" applyBorder="1"/>
    <xf numFmtId="43" fontId="36" fillId="0" borderId="0" xfId="1" applyFont="1"/>
    <xf numFmtId="14" fontId="0" fillId="6" borderId="1" xfId="0" applyNumberFormat="1" applyFill="1" applyBorder="1" applyAlignment="1">
      <alignment horizontal="center"/>
    </xf>
    <xf numFmtId="43" fontId="5" fillId="6" borderId="1" xfId="1" applyFont="1" applyFill="1" applyBorder="1" applyAlignment="1">
      <alignment horizontal="right"/>
    </xf>
    <xf numFmtId="43" fontId="6" fillId="6" borderId="2" xfId="1" applyFont="1" applyFill="1" applyBorder="1"/>
    <xf numFmtId="43" fontId="19" fillId="6" borderId="1" xfId="1" applyFont="1" applyFill="1" applyBorder="1"/>
    <xf numFmtId="0" fontId="36" fillId="0" borderId="0" xfId="0" applyFont="1"/>
    <xf numFmtId="165" fontId="20" fillId="4" borderId="1" xfId="1" applyNumberFormat="1" applyFont="1" applyFill="1" applyBorder="1"/>
    <xf numFmtId="43" fontId="6" fillId="4" borderId="1" xfId="1" applyFont="1" applyFill="1" applyBorder="1"/>
    <xf numFmtId="165" fontId="5" fillId="4" borderId="1" xfId="1" applyNumberFormat="1" applyFont="1" applyFill="1" applyBorder="1" applyAlignment="1">
      <alignment horizontal="right"/>
    </xf>
    <xf numFmtId="165" fontId="6" fillId="4" borderId="1" xfId="1" applyNumberFormat="1" applyFont="1" applyFill="1" applyBorder="1" applyAlignment="1">
      <alignment horizontal="right"/>
    </xf>
    <xf numFmtId="166" fontId="19" fillId="4" borderId="1" xfId="1" applyNumberFormat="1" applyFont="1" applyFill="1" applyBorder="1"/>
    <xf numFmtId="43" fontId="11" fillId="0" borderId="1" xfId="1" applyFont="1" applyBorder="1"/>
    <xf numFmtId="0" fontId="36" fillId="4" borderId="1" xfId="0" applyFont="1" applyFill="1" applyBorder="1" applyAlignment="1">
      <alignment horizontal="center"/>
    </xf>
    <xf numFmtId="14" fontId="3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center"/>
    </xf>
    <xf numFmtId="166" fontId="6" fillId="4" borderId="1" xfId="1" applyNumberFormat="1" applyFont="1" applyFill="1" applyBorder="1" applyAlignment="1">
      <alignment horizontal="right"/>
    </xf>
    <xf numFmtId="166" fontId="38" fillId="4" borderId="1" xfId="1" applyNumberFormat="1" applyFont="1" applyFill="1" applyBorder="1"/>
    <xf numFmtId="166" fontId="6" fillId="4" borderId="1" xfId="1" applyNumberFormat="1" applyFont="1" applyFill="1" applyBorder="1"/>
    <xf numFmtId="0" fontId="36" fillId="4" borderId="1" xfId="0" applyFont="1" applyFill="1" applyBorder="1"/>
    <xf numFmtId="166" fontId="36" fillId="4" borderId="1" xfId="0" applyNumberFormat="1" applyFont="1" applyFill="1" applyBorder="1"/>
    <xf numFmtId="14" fontId="6" fillId="4" borderId="1" xfId="0" applyNumberFormat="1" applyFont="1" applyFill="1" applyBorder="1" applyAlignment="1">
      <alignment horizontal="left"/>
    </xf>
    <xf numFmtId="166" fontId="6" fillId="4" borderId="1" xfId="0" applyNumberFormat="1" applyFont="1" applyFill="1" applyBorder="1"/>
    <xf numFmtId="173" fontId="0" fillId="4" borderId="0" xfId="0" applyNumberFormat="1" applyFill="1"/>
    <xf numFmtId="166" fontId="36" fillId="4" borderId="0" xfId="0" applyNumberFormat="1" applyFont="1" applyFill="1"/>
    <xf numFmtId="171" fontId="10" fillId="0" borderId="0" xfId="0" applyNumberFormat="1" applyFont="1"/>
    <xf numFmtId="166" fontId="27" fillId="0" borderId="0" xfId="0" applyNumberFormat="1" applyFont="1"/>
    <xf numFmtId="166" fontId="27" fillId="4" borderId="2" xfId="1" applyNumberFormat="1" applyFont="1" applyFill="1" applyBorder="1"/>
    <xf numFmtId="0" fontId="36" fillId="4" borderId="0" xfId="0" applyFont="1" applyFill="1" applyAlignment="1">
      <alignment wrapText="1"/>
    </xf>
    <xf numFmtId="14" fontId="27" fillId="4" borderId="1" xfId="0" applyNumberFormat="1" applyFont="1" applyFill="1" applyBorder="1" applyAlignment="1">
      <alignment horizontal="left"/>
    </xf>
    <xf numFmtId="0" fontId="27" fillId="4" borderId="1" xfId="0" applyFont="1" applyFill="1" applyBorder="1"/>
    <xf numFmtId="166" fontId="0" fillId="4" borderId="1" xfId="0" applyNumberFormat="1" applyFill="1" applyBorder="1"/>
    <xf numFmtId="171" fontId="6" fillId="4" borderId="0" xfId="0" applyNumberFormat="1" applyFont="1" applyFill="1"/>
    <xf numFmtId="0" fontId="36" fillId="9" borderId="1" xfId="0" applyFont="1" applyFill="1" applyBorder="1" applyAlignment="1">
      <alignment horizontal="center"/>
    </xf>
    <xf numFmtId="14" fontId="6" fillId="9" borderId="1" xfId="0" applyNumberFormat="1" applyFont="1" applyFill="1" applyBorder="1" applyAlignment="1">
      <alignment horizontal="left"/>
    </xf>
    <xf numFmtId="0" fontId="6" fillId="9" borderId="1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center"/>
    </xf>
    <xf numFmtId="166" fontId="6" fillId="9" borderId="1" xfId="1" applyNumberFormat="1" applyFont="1" applyFill="1" applyBorder="1" applyAlignment="1">
      <alignment horizontal="right"/>
    </xf>
    <xf numFmtId="166" fontId="6" fillId="9" borderId="2" xfId="1" applyNumberFormat="1" applyFont="1" applyFill="1" applyBorder="1"/>
    <xf numFmtId="166" fontId="38" fillId="9" borderId="1" xfId="1" applyNumberFormat="1" applyFont="1" applyFill="1" applyBorder="1"/>
    <xf numFmtId="166" fontId="6" fillId="9" borderId="1" xfId="1" applyNumberFormat="1" applyFont="1" applyFill="1" applyBorder="1"/>
    <xf numFmtId="0" fontId="36" fillId="9" borderId="1" xfId="0" applyFont="1" applyFill="1" applyBorder="1"/>
    <xf numFmtId="166" fontId="36" fillId="9" borderId="1" xfId="0" applyNumberFormat="1" applyFont="1" applyFill="1" applyBorder="1"/>
    <xf numFmtId="0" fontId="36" fillId="9" borderId="0" xfId="0" applyFont="1" applyFill="1"/>
    <xf numFmtId="0" fontId="34" fillId="0" borderId="0" xfId="0" applyFont="1"/>
    <xf numFmtId="0" fontId="39" fillId="4" borderId="4" xfId="0" applyFont="1" applyFill="1" applyBorder="1" applyAlignment="1">
      <alignment vertical="center" wrapText="1"/>
    </xf>
    <xf numFmtId="0" fontId="39" fillId="4" borderId="1" xfId="0" applyFont="1" applyFill="1" applyBorder="1"/>
    <xf numFmtId="0" fontId="39" fillId="4" borderId="1" xfId="0" applyFont="1" applyFill="1" applyBorder="1" applyAlignment="1">
      <alignment wrapText="1"/>
    </xf>
    <xf numFmtId="0" fontId="41" fillId="4" borderId="4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left" wrapText="1"/>
    </xf>
    <xf numFmtId="0" fontId="39" fillId="4" borderId="1" xfId="0" applyFont="1" applyFill="1" applyBorder="1" applyAlignment="1">
      <alignment vertical="center" wrapText="1"/>
    </xf>
    <xf numFmtId="0" fontId="44" fillId="4" borderId="1" xfId="0" applyFont="1" applyFill="1" applyBorder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66" fontId="10" fillId="3" borderId="3" xfId="1" applyNumberFormat="1" applyFont="1" applyFill="1" applyBorder="1" applyAlignment="1">
      <alignment horizontal="center"/>
    </xf>
    <xf numFmtId="166" fontId="10" fillId="3" borderId="0" xfId="1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9" fillId="6" borderId="1" xfId="0" applyFont="1" applyFill="1" applyBorder="1"/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692206</xdr:colOff>
      <xdr:row>6</xdr:row>
      <xdr:rowOff>76200</xdr:rowOff>
    </xdr:from>
    <xdr:to>
      <xdr:col>14</xdr:col>
      <xdr:colOff>571500</xdr:colOff>
      <xdr:row>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702464-7102-556C-0978-963F39B80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0031" y="1219200"/>
          <a:ext cx="1850969" cy="3238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th&#7867;%20kho%202024.chu&#7849;n\B&#249;i%20Ng&#7885;c\TH&#7866;%20KHO%202018\TH&#7866;%20KHO%20NGUY&#202;N%20V&#7852;T%20LI&#7878;U%20N&#258;M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sktop\N&#259;m%202017\Th&#7867;%20kho%202017\2014\TH&#7866;%20KHO\TH&#7866;%20KHO%20NGUY&#202;N%20V&#7852;T%20LI&#7878;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 2018"/>
      <sheetName val="Keo 3395"/>
      <sheetName val="Băng dính "/>
      <sheetName val="Hộp 120 tờ trắng"/>
      <sheetName val="Thùng cattong 120 tờ"/>
      <sheetName val="Túi đựng hộp 120 tờ"/>
      <sheetName val="Hộp 120 tờ xanh"/>
      <sheetName val="Nilong SP hình tròn"/>
      <sheetName val="Nilong SP xếp lá cây "/>
      <sheetName val="Thùng cattong khăn soft pack"/>
      <sheetName val="Hộp CB"/>
      <sheetName val="Hộp Hoa nhí xanh"/>
      <sheetName val="Hộp HV"/>
      <sheetName val="Hộp CB nền bạc"/>
      <sheetName val="Hộp oto"/>
      <sheetName val="Túi bóng trắng đựng hộp giấy"/>
      <sheetName val="Thùng cattong 180 tờ"/>
      <sheetName val="Màng shelton"/>
      <sheetName val="Phôi giấy KH 760"/>
      <sheetName val="Nilong NKCB"/>
      <sheetName val="Nilong NK lá cây"/>
      <sheetName val="Phôi giấy NK 325"/>
      <sheetName val="Thùng catong Napkin 33 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4" t="str">
            <v>THẺ KHO NGUYÊN VẬT LIỆU</v>
          </cell>
        </row>
      </sheetData>
      <sheetData sheetId="10" refreshError="1">
        <row r="4">
          <cell r="A4" t="str">
            <v>THẺ KHO NGUYÊN VẬT LIỆU</v>
          </cell>
        </row>
      </sheetData>
      <sheetData sheetId="11" refreshError="1"/>
      <sheetData sheetId="12" refreshError="1">
        <row r="4">
          <cell r="A4" t="str">
            <v>THẺ KHO NGUYÊN VẬT LIỆU</v>
          </cell>
        </row>
      </sheetData>
      <sheetData sheetId="13" refreshError="1">
        <row r="4">
          <cell r="A4" t="str">
            <v>THẺ KHO NGUYÊN VẬT LIỆU</v>
          </cell>
        </row>
      </sheetData>
      <sheetData sheetId="14" refreshError="1">
        <row r="4">
          <cell r="A4" t="str">
            <v>THẺ KHO NGUYÊN VẬT LIỆU</v>
          </cell>
        </row>
      </sheetData>
      <sheetData sheetId="15" refreshError="1">
        <row r="4">
          <cell r="A4" t="str">
            <v>THẺ KHO NGUYÊN VẬT LIỆU</v>
          </cell>
        </row>
      </sheetData>
      <sheetData sheetId="16" refreshError="1"/>
      <sheetData sheetId="17" refreshError="1"/>
      <sheetData sheetId="18" refreshError="1">
        <row r="4">
          <cell r="A4" t="str">
            <v>THẺ KHO NGUYÊN VẬT LIỆU</v>
          </cell>
        </row>
      </sheetData>
      <sheetData sheetId="19" refreshError="1">
        <row r="4">
          <cell r="A4" t="str">
            <v>THẺ KHO NGUYÊN VẬT LIỆU</v>
          </cell>
        </row>
      </sheetData>
      <sheetData sheetId="20" refreshError="1">
        <row r="4">
          <cell r="A4" t="str">
            <v>THẺ KHO NGUYÊN VẬT LIỆU</v>
          </cell>
        </row>
      </sheetData>
      <sheetData sheetId="21" refreshError="1">
        <row r="4">
          <cell r="A4" t="str">
            <v>THẺ KHO NGUYÊN VẬT LIỆU</v>
          </cell>
        </row>
      </sheetData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long SP hình tròn"/>
      <sheetName val="Nilong SP xếp lá cây "/>
      <sheetName val="Thùng cattong khăn soft pack"/>
      <sheetName val="Dầu thủy lực"/>
      <sheetName val="BKT"/>
      <sheetName val="Keo 3395"/>
      <sheetName val="Hộp Hoa nhí xanh"/>
      <sheetName val="Hộp CB"/>
      <sheetName val="Hộp HV"/>
      <sheetName val="Hộp Hoa nhí đen"/>
      <sheetName val="Hộp oto"/>
      <sheetName val="Túi bóng trắng đựng hộp giấy"/>
      <sheetName val="Thùng cattong 180 tờ"/>
      <sheetName val="Màng shelton"/>
      <sheetName val="Phôi giấy KH 750"/>
      <sheetName val="Phôi giấy KH 760"/>
      <sheetName val="Phôi giấy KH 775"/>
      <sheetName val="Phôi giấy KH 600"/>
      <sheetName val="Phôi giấy KH 780"/>
      <sheetName val="Nilong NKCB"/>
      <sheetName val="Nilong NK lá cây"/>
      <sheetName val="Phôi giấy NK 325"/>
      <sheetName val="Thùng catong Napkin 33 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4">
          <cell r="A4" t="str">
            <v>THẺ KHO NGUYÊN VẬT LIỆU</v>
          </cell>
        </row>
      </sheetData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C25F9-55D5-4C8C-9C16-F6530D6FD811}" name="tblTongHopNVL" displayName="tblTongHopNVL" ref="A1:C154" totalsRowShown="0" headerRowDxfId="0">
  <autoFilter ref="A1:C154" xr:uid="{521C25F9-55D5-4C8C-9C16-F6530D6FD811}"/>
  <sortState xmlns:xlrd2="http://schemas.microsoft.com/office/spreadsheetml/2017/richdata2" ref="A2:C131">
    <sortCondition ref="A1:A131"/>
  </sortState>
  <tableColumns count="3">
    <tableColumn id="1" xr3:uid="{FBF998F3-CE84-4831-8725-09CC23959A64}" name="Tên NVL (Tên sheet)"/>
    <tableColumn id="2" xr3:uid="{D2E76B7F-3B29-4880-BE88-54BE6582D619}" name="Ðõn vo tính (cot D)"/>
    <tableColumn id="3" xr3:uid="{AD455CA3-AE07-470C-9EE4-0920374FFA28}" name="So luong ton (cot 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39"/>
  <sheetViews>
    <sheetView view="pageBreakPreview" topLeftCell="A56" zoomScaleNormal="100" zoomScaleSheetLayoutView="100" workbookViewId="0">
      <selection activeCell="B112" sqref="B112"/>
    </sheetView>
  </sheetViews>
  <sheetFormatPr defaultColWidth="9.140625" defaultRowHeight="15.75" x14ac:dyDescent="0.25"/>
  <cols>
    <col min="1" max="1" width="6" style="297" customWidth="1"/>
    <col min="2" max="2" width="51" style="297" customWidth="1"/>
    <col min="3" max="3" width="6.5703125" style="297" customWidth="1"/>
    <col min="4" max="4" width="11.5703125" style="323" customWidth="1"/>
    <col min="5" max="5" width="12.28515625" style="297" customWidth="1"/>
    <col min="6" max="6" width="12" style="297" customWidth="1"/>
    <col min="7" max="7" width="11.7109375" style="323" customWidth="1"/>
    <col min="8" max="8" width="22.7109375" style="297" customWidth="1"/>
    <col min="9" max="10" width="9.140625" style="297"/>
    <col min="11" max="11" width="11.28515625" style="297" bestFit="1" customWidth="1"/>
    <col min="12" max="15" width="9.140625" style="297"/>
    <col min="16" max="16" width="11.7109375" style="297" bestFit="1" customWidth="1"/>
    <col min="17" max="16384" width="9.140625" style="297"/>
  </cols>
  <sheetData>
    <row r="1" spans="1:11" x14ac:dyDescent="0.25">
      <c r="A1" s="297" t="s">
        <v>0</v>
      </c>
    </row>
    <row r="2" spans="1:11" x14ac:dyDescent="0.25">
      <c r="A2" s="297" t="s">
        <v>1</v>
      </c>
    </row>
    <row r="3" spans="1:11" x14ac:dyDescent="0.25">
      <c r="A3" s="456" t="s">
        <v>378</v>
      </c>
      <c r="B3" s="456"/>
      <c r="C3" s="456"/>
      <c r="D3" s="456"/>
      <c r="E3" s="456"/>
      <c r="F3" s="456"/>
      <c r="G3" s="456"/>
      <c r="H3" s="456"/>
    </row>
    <row r="4" spans="1:11" x14ac:dyDescent="0.25">
      <c r="A4" s="456"/>
      <c r="B4" s="456"/>
      <c r="C4" s="456"/>
      <c r="D4" s="456"/>
      <c r="E4" s="456"/>
      <c r="F4" s="456"/>
      <c r="G4" s="456"/>
      <c r="H4" s="456"/>
    </row>
    <row r="5" spans="1:11" x14ac:dyDescent="0.25">
      <c r="A5" s="321"/>
      <c r="B5" s="321"/>
      <c r="C5" s="321"/>
      <c r="D5" s="324"/>
      <c r="E5" s="321"/>
      <c r="F5" s="321"/>
      <c r="G5" s="324"/>
      <c r="H5" s="321"/>
    </row>
    <row r="7" spans="1:11" ht="27.75" customHeight="1" x14ac:dyDescent="0.25">
      <c r="A7" s="322" t="s">
        <v>3</v>
      </c>
      <c r="B7" s="322" t="s">
        <v>117</v>
      </c>
      <c r="C7" s="325" t="s">
        <v>95</v>
      </c>
      <c r="D7" s="326" t="s">
        <v>97</v>
      </c>
      <c r="E7" s="57" t="s">
        <v>6</v>
      </c>
      <c r="F7" s="57" t="s">
        <v>7</v>
      </c>
      <c r="G7" s="395" t="s">
        <v>98</v>
      </c>
      <c r="H7" s="322" t="s">
        <v>10</v>
      </c>
    </row>
    <row r="8" spans="1:11" ht="18" customHeight="1" x14ac:dyDescent="0.25">
      <c r="A8" s="291"/>
      <c r="B8" s="60"/>
      <c r="C8" s="60"/>
      <c r="D8" s="327"/>
      <c r="E8" s="62"/>
      <c r="F8" s="63"/>
      <c r="G8" s="328"/>
      <c r="H8" s="291"/>
    </row>
    <row r="9" spans="1:11" ht="18" customHeight="1" x14ac:dyDescent="0.25">
      <c r="A9" s="329">
        <v>1</v>
      </c>
      <c r="B9" s="15" t="s">
        <v>103</v>
      </c>
      <c r="C9" s="80" t="s">
        <v>33</v>
      </c>
      <c r="D9" s="327">
        <f>'Hộp 120 Trắng'!G8</f>
        <v>0</v>
      </c>
      <c r="E9" s="67">
        <f>'Hộp 120 Trắng'!E56</f>
        <v>20980</v>
      </c>
      <c r="F9" s="330">
        <f>'Hộp 120 Trắng'!F56</f>
        <v>15173</v>
      </c>
      <c r="G9" s="69">
        <f>D9+E9-F9</f>
        <v>5807</v>
      </c>
      <c r="H9" s="291"/>
      <c r="I9" s="297">
        <f>+G9/60</f>
        <v>96.783333333333331</v>
      </c>
    </row>
    <row r="10" spans="1:11" ht="18" customHeight="1" x14ac:dyDescent="0.25">
      <c r="A10" s="329">
        <f t="shared" ref="A10:A96" si="0">+A9+1</f>
        <v>2</v>
      </c>
      <c r="B10" s="15" t="s">
        <v>105</v>
      </c>
      <c r="C10" s="80" t="s">
        <v>33</v>
      </c>
      <c r="D10" s="327">
        <f>'Hộp 120 Xanh'!G9</f>
        <v>691</v>
      </c>
      <c r="E10" s="67">
        <f>'Hộp 120 Xanh'!E83</f>
        <v>21130</v>
      </c>
      <c r="F10" s="330">
        <f>'Hộp 120 Xanh'!F83</f>
        <v>17737</v>
      </c>
      <c r="G10" s="69">
        <f t="shared" ref="G10:G95" si="1">D10+E10-F10</f>
        <v>4084</v>
      </c>
      <c r="H10" s="291"/>
      <c r="I10" s="297">
        <f>+G10/60</f>
        <v>68.066666666666663</v>
      </c>
    </row>
    <row r="11" spans="1:11" ht="18" customHeight="1" x14ac:dyDescent="0.25">
      <c r="A11" s="329">
        <f t="shared" si="0"/>
        <v>3</v>
      </c>
      <c r="B11" s="15" t="s">
        <v>118</v>
      </c>
      <c r="C11" s="80" t="s">
        <v>33</v>
      </c>
      <c r="D11" s="331">
        <f>'Hộp HV'!G8</f>
        <v>5672</v>
      </c>
      <c r="E11" s="332">
        <f>'Hộp HV'!E61</f>
        <v>0</v>
      </c>
      <c r="F11" s="333">
        <f>'Hộp HV'!F61</f>
        <v>3709</v>
      </c>
      <c r="G11" s="69">
        <f t="shared" si="1"/>
        <v>1963</v>
      </c>
      <c r="H11" s="291"/>
    </row>
    <row r="12" spans="1:11" ht="18" customHeight="1" x14ac:dyDescent="0.25">
      <c r="A12" s="329">
        <f t="shared" si="0"/>
        <v>4</v>
      </c>
      <c r="B12" s="15" t="s">
        <v>119</v>
      </c>
      <c r="C12" s="80" t="s">
        <v>33</v>
      </c>
      <c r="D12" s="327">
        <f>'Hộp hồng đỏ'!G8</f>
        <v>8676</v>
      </c>
      <c r="E12" s="67">
        <f>'Hộp hồng đỏ'!E43</f>
        <v>0</v>
      </c>
      <c r="F12" s="330">
        <f>'Hộp hồng đỏ'!F43</f>
        <v>0</v>
      </c>
      <c r="G12" s="69">
        <f t="shared" si="1"/>
        <v>8676</v>
      </c>
      <c r="H12" s="291"/>
      <c r="J12" s="334"/>
    </row>
    <row r="13" spans="1:11" ht="18" customHeight="1" x14ac:dyDescent="0.25">
      <c r="A13" s="329">
        <f t="shared" si="0"/>
        <v>5</v>
      </c>
      <c r="B13" s="15" t="s">
        <v>120</v>
      </c>
      <c r="C13" s="80" t="s">
        <v>33</v>
      </c>
      <c r="D13" s="327">
        <f>'Hộp bướm bạc'!G9</f>
        <v>762</v>
      </c>
      <c r="E13" s="67">
        <f>'Hộp bướm bạc'!E47</f>
        <v>0</v>
      </c>
      <c r="F13" s="330">
        <f>'Hộp bướm bạc'!F47</f>
        <v>420</v>
      </c>
      <c r="G13" s="69">
        <f t="shared" si="1"/>
        <v>342</v>
      </c>
      <c r="H13" s="291"/>
      <c r="J13" s="297">
        <f>110+266</f>
        <v>376</v>
      </c>
      <c r="K13" s="297" t="s">
        <v>139</v>
      </c>
    </row>
    <row r="14" spans="1:11" ht="18" customHeight="1" x14ac:dyDescent="0.25">
      <c r="A14" s="329">
        <f t="shared" si="0"/>
        <v>6</v>
      </c>
      <c r="B14" s="15" t="s">
        <v>121</v>
      </c>
      <c r="C14" s="80" t="s">
        <v>33</v>
      </c>
      <c r="D14" s="327">
        <f>'Hộp NX'!G8</f>
        <v>1364</v>
      </c>
      <c r="E14" s="67">
        <f>'Hộp NX'!E58</f>
        <v>10130</v>
      </c>
      <c r="F14" s="68">
        <f>'Hộp NX'!F58</f>
        <v>4764</v>
      </c>
      <c r="G14" s="69">
        <f t="shared" si="1"/>
        <v>6730</v>
      </c>
      <c r="H14" s="291"/>
    </row>
    <row r="15" spans="1:11" ht="18" customHeight="1" x14ac:dyDescent="0.25">
      <c r="A15" s="329">
        <f t="shared" si="0"/>
        <v>7</v>
      </c>
      <c r="B15" s="66" t="s">
        <v>122</v>
      </c>
      <c r="C15" s="80" t="s">
        <v>33</v>
      </c>
      <c r="D15" s="327">
        <f>'Hộp oto'!G8</f>
        <v>649</v>
      </c>
      <c r="E15" s="67">
        <f>'Hộp oto'!E31</f>
        <v>0</v>
      </c>
      <c r="F15" s="68">
        <f>'Hộp oto'!F31</f>
        <v>0</v>
      </c>
      <c r="G15" s="69">
        <f t="shared" si="1"/>
        <v>649</v>
      </c>
      <c r="H15" s="291"/>
      <c r="I15" s="334"/>
    </row>
    <row r="16" spans="1:11" ht="18" customHeight="1" x14ac:dyDescent="0.25">
      <c r="A16" s="329">
        <f t="shared" si="0"/>
        <v>8</v>
      </c>
      <c r="B16" s="15" t="s">
        <v>123</v>
      </c>
      <c r="C16" s="80" t="s">
        <v>33</v>
      </c>
      <c r="D16" s="327">
        <f>'Hộp bướm đen'!G9</f>
        <v>6237</v>
      </c>
      <c r="E16" s="67">
        <f>'Hộp bướm đen'!E42</f>
        <v>0</v>
      </c>
      <c r="F16" s="68">
        <f>'Hộp bướm đen'!F42</f>
        <v>0</v>
      </c>
      <c r="G16" s="69">
        <f t="shared" si="1"/>
        <v>6237</v>
      </c>
      <c r="H16" s="291"/>
    </row>
    <row r="17" spans="1:12" ht="18" customHeight="1" x14ac:dyDescent="0.25">
      <c r="A17" s="329">
        <f t="shared" si="0"/>
        <v>9</v>
      </c>
      <c r="B17" s="66" t="s">
        <v>107</v>
      </c>
      <c r="C17" s="66" t="s">
        <v>23</v>
      </c>
      <c r="D17" s="327">
        <f>'Bao Trắng 180'!G8</f>
        <v>375</v>
      </c>
      <c r="E17" s="67">
        <f>'Bao Trắng 180'!E155</f>
        <v>0</v>
      </c>
      <c r="F17" s="67">
        <f>'Bao Trắng 180'!F155</f>
        <v>181.59999999999994</v>
      </c>
      <c r="G17" s="69">
        <f t="shared" si="1"/>
        <v>193.40000000000006</v>
      </c>
      <c r="H17" s="291"/>
    </row>
    <row r="18" spans="1:12" ht="18" customHeight="1" x14ac:dyDescent="0.25">
      <c r="A18" s="329">
        <f t="shared" si="0"/>
        <v>10</v>
      </c>
      <c r="B18" s="15" t="s">
        <v>108</v>
      </c>
      <c r="C18" s="66" t="s">
        <v>23</v>
      </c>
      <c r="D18" s="327">
        <f>'Bao Trắng 120'!G9</f>
        <v>189.1</v>
      </c>
      <c r="E18" s="67">
        <f>'Bao Trắng 120'!E91</f>
        <v>0</v>
      </c>
      <c r="F18" s="67">
        <f>'Bao Trắng 120'!F91</f>
        <v>123.2</v>
      </c>
      <c r="G18" s="69">
        <f t="shared" si="1"/>
        <v>65.899999999999991</v>
      </c>
      <c r="H18" s="291"/>
    </row>
    <row r="19" spans="1:12" ht="18" customHeight="1" x14ac:dyDescent="0.25">
      <c r="A19" s="329">
        <f t="shared" si="0"/>
        <v>11</v>
      </c>
      <c r="B19" s="15" t="s">
        <v>109</v>
      </c>
      <c r="C19" s="66" t="s">
        <v>23</v>
      </c>
      <c r="D19" s="327">
        <f>'Nilon NK Lá cây'!G8</f>
        <v>44.9</v>
      </c>
      <c r="E19" s="95">
        <f>'Nilon NK Lá cây'!E41</f>
        <v>0</v>
      </c>
      <c r="F19" s="95">
        <f>'Nilon NK Lá cây'!F41</f>
        <v>4.5999999999999996</v>
      </c>
      <c r="G19" s="69">
        <f t="shared" si="1"/>
        <v>40.299999999999997</v>
      </c>
      <c r="H19" s="291"/>
    </row>
    <row r="20" spans="1:12" ht="18" customHeight="1" x14ac:dyDescent="0.25">
      <c r="A20" s="329">
        <f t="shared" si="0"/>
        <v>12</v>
      </c>
      <c r="B20" s="15" t="s">
        <v>116</v>
      </c>
      <c r="C20" s="66" t="s">
        <v>23</v>
      </c>
      <c r="D20" s="327">
        <f>'Túi nilong tròn 33'!G8</f>
        <v>360.9</v>
      </c>
      <c r="E20" s="67">
        <f>'Túi nilong tròn 33'!E34</f>
        <v>0</v>
      </c>
      <c r="F20" s="67">
        <f>'Túi nilong tròn 33'!F34</f>
        <v>9.3000000000000007</v>
      </c>
      <c r="G20" s="69">
        <f t="shared" si="1"/>
        <v>351.59999999999997</v>
      </c>
      <c r="H20" s="291"/>
      <c r="K20" s="297">
        <f>4*30+26+8</f>
        <v>154</v>
      </c>
      <c r="L20" s="334"/>
    </row>
    <row r="21" spans="1:12" ht="18" customHeight="1" x14ac:dyDescent="0.25">
      <c r="A21" s="329">
        <f t="shared" si="0"/>
        <v>13</v>
      </c>
      <c r="B21" s="15" t="s">
        <v>115</v>
      </c>
      <c r="C21" s="66" t="s">
        <v>23</v>
      </c>
      <c r="D21" s="327">
        <f>'Túi nilong tròn 23'!G8</f>
        <v>366</v>
      </c>
      <c r="E21" s="67">
        <f>'Túi nilong tròn 23'!E35</f>
        <v>0</v>
      </c>
      <c r="F21" s="68">
        <f>'Túi nilong tròn 23'!F35</f>
        <v>0</v>
      </c>
      <c r="G21" s="69">
        <f t="shared" si="1"/>
        <v>366</v>
      </c>
      <c r="H21" s="291"/>
    </row>
    <row r="22" spans="1:12" ht="18" customHeight="1" x14ac:dyDescent="0.25">
      <c r="A22" s="329">
        <f t="shared" si="0"/>
        <v>14</v>
      </c>
      <c r="B22" s="15" t="s">
        <v>110</v>
      </c>
      <c r="C22" s="80" t="s">
        <v>33</v>
      </c>
      <c r="D22" s="327">
        <f>'Nilon NK cánh bướm'!G8</f>
        <v>10</v>
      </c>
      <c r="E22" s="67">
        <f>'Nilon NK cánh bướm'!E37</f>
        <v>0</v>
      </c>
      <c r="F22" s="68">
        <f>'Nilon NK cánh bướm'!F37</f>
        <v>0</v>
      </c>
      <c r="G22" s="69">
        <f t="shared" si="1"/>
        <v>10</v>
      </c>
      <c r="H22" s="291"/>
    </row>
    <row r="23" spans="1:12" ht="18" customHeight="1" x14ac:dyDescent="0.25">
      <c r="A23" s="329">
        <f t="shared" si="0"/>
        <v>15</v>
      </c>
      <c r="B23" s="15" t="s">
        <v>111</v>
      </c>
      <c r="C23" s="80" t="s">
        <v>33</v>
      </c>
      <c r="D23" s="327">
        <f>'Nilon SP Lá cây'!G8</f>
        <v>132</v>
      </c>
      <c r="E23" s="335">
        <f>'Nilon SP Lá cây'!E91</f>
        <v>0</v>
      </c>
      <c r="F23" s="68">
        <f>'Nilon SP Lá cây'!F91</f>
        <v>0</v>
      </c>
      <c r="G23" s="69">
        <f t="shared" si="1"/>
        <v>132</v>
      </c>
      <c r="H23" s="291"/>
    </row>
    <row r="24" spans="1:12" ht="18" customHeight="1" x14ac:dyDescent="0.25">
      <c r="A24" s="329">
        <f t="shared" si="0"/>
        <v>16</v>
      </c>
      <c r="B24" s="15" t="s">
        <v>112</v>
      </c>
      <c r="C24" s="80" t="s">
        <v>33</v>
      </c>
      <c r="D24" s="327">
        <f>'Nilon SP Tròn'!G8</f>
        <v>64.2</v>
      </c>
      <c r="E24" s="335">
        <f>'Nilon SP Tròn'!E113</f>
        <v>0</v>
      </c>
      <c r="F24" s="68">
        <f>'Nilon SP Tròn'!F113</f>
        <v>6.8</v>
      </c>
      <c r="G24" s="69">
        <f t="shared" si="1"/>
        <v>57.400000000000006</v>
      </c>
      <c r="H24" s="291"/>
    </row>
    <row r="25" spans="1:12" ht="18" customHeight="1" x14ac:dyDescent="0.25">
      <c r="A25" s="329"/>
      <c r="B25" s="15" t="s">
        <v>184</v>
      </c>
      <c r="C25" s="80" t="s">
        <v>23</v>
      </c>
      <c r="D25" s="327">
        <f>'Túi GVS 2 lớp 10 cuộn Có lõi'!G8</f>
        <v>342.3</v>
      </c>
      <c r="E25" s="335">
        <f>'Túi GVS 2 lớp 10 cuộn Có lõi'!E35</f>
        <v>0</v>
      </c>
      <c r="F25" s="68">
        <f>'Túi GVS 2 lớp 10 cuộn Có lõi'!F35</f>
        <v>0</v>
      </c>
      <c r="G25" s="69">
        <f t="shared" si="1"/>
        <v>342.3</v>
      </c>
      <c r="H25" s="291"/>
    </row>
    <row r="26" spans="1:12" ht="18" customHeight="1" x14ac:dyDescent="0.25">
      <c r="A26" s="329"/>
      <c r="B26" s="341" t="s">
        <v>157</v>
      </c>
      <c r="C26" s="80" t="s">
        <v>23</v>
      </c>
      <c r="D26" s="327">
        <f>'Túi GVS 10 cuộn 3 lớp Có lõi '!G8</f>
        <v>73.5</v>
      </c>
      <c r="E26" s="335">
        <f>'Túi GVS 10 cuộn 3 lớp Có lõi '!E58</f>
        <v>384</v>
      </c>
      <c r="F26" s="68">
        <f>'Túi GVS 10 cuộn 3 lớp Có lõi '!F58</f>
        <v>372.09999999999997</v>
      </c>
      <c r="G26" s="69">
        <f t="shared" si="1"/>
        <v>85.400000000000034</v>
      </c>
      <c r="H26" s="291"/>
    </row>
    <row r="27" spans="1:12" ht="18" customHeight="1" x14ac:dyDescent="0.25">
      <c r="A27" s="329"/>
      <c r="B27" s="341" t="s">
        <v>159</v>
      </c>
      <c r="C27" s="80" t="s">
        <v>23</v>
      </c>
      <c r="D27" s="327">
        <f>'Túi GVS 10 cuộn 3 lớp không lõi'!G8</f>
        <v>221</v>
      </c>
      <c r="E27" s="335">
        <f>'Túi GVS 10 cuộn 3 lớp không lõi'!E34</f>
        <v>0</v>
      </c>
      <c r="F27" s="68">
        <f>'Túi GVS 10 cuộn 3 lớp không lõi'!F34</f>
        <v>101.3</v>
      </c>
      <c r="G27" s="69">
        <f t="shared" si="1"/>
        <v>119.7</v>
      </c>
      <c r="H27" s="291"/>
    </row>
    <row r="28" spans="1:12" ht="18" customHeight="1" x14ac:dyDescent="0.25">
      <c r="A28" s="329"/>
      <c r="B28" s="341" t="s">
        <v>186</v>
      </c>
      <c r="C28" s="80" t="s">
        <v>23</v>
      </c>
      <c r="D28" s="327">
        <f>'Túi GVS 12 cuộn 3 lớp Có lõi. '!G8</f>
        <v>273.8</v>
      </c>
      <c r="E28" s="335">
        <f>'Túi GVS 12 cuộn 3 lớp Có lõi. '!E56</f>
        <v>0</v>
      </c>
      <c r="F28" s="68">
        <f>'Túi GVS 12 cuộn 3 lớp Có lõi. '!F56</f>
        <v>0.7</v>
      </c>
      <c r="G28" s="69">
        <f t="shared" si="1"/>
        <v>273.10000000000002</v>
      </c>
      <c r="H28" s="291"/>
    </row>
    <row r="29" spans="1:12" ht="18" customHeight="1" x14ac:dyDescent="0.25">
      <c r="A29" s="329"/>
      <c r="B29" s="341" t="s">
        <v>251</v>
      </c>
      <c r="C29" s="80" t="s">
        <v>23</v>
      </c>
      <c r="D29" s="327">
        <f>'Túi GVS 12 cuộn 3 lớp không lõi'!G8</f>
        <v>274.89999999999998</v>
      </c>
      <c r="E29" s="335">
        <f>'Túi GVS 12 cuộn 3 lớp không lõi'!E61</f>
        <v>448</v>
      </c>
      <c r="F29" s="68">
        <f>'Túi GVS 12 cuộn 3 lớp không lõi'!F61</f>
        <v>381.00000000000011</v>
      </c>
      <c r="G29" s="69">
        <f t="shared" si="1"/>
        <v>341.89999999999986</v>
      </c>
      <c r="H29" s="291"/>
    </row>
    <row r="30" spans="1:12" ht="18" customHeight="1" x14ac:dyDescent="0.25">
      <c r="A30" s="329"/>
      <c r="B30" s="15" t="s">
        <v>185</v>
      </c>
      <c r="C30" s="80" t="s">
        <v>23</v>
      </c>
      <c r="D30" s="327">
        <f>'Màng bọc cuộn CN'!G8</f>
        <v>147.1</v>
      </c>
      <c r="E30" s="335">
        <f>'Màng bọc cuộn CN'!E113</f>
        <v>781.74</v>
      </c>
      <c r="F30" s="68">
        <f>'Màng bọc cuộn CN'!F113</f>
        <v>940.45000000000016</v>
      </c>
      <c r="G30" s="69">
        <f t="shared" si="1"/>
        <v>-11.610000000000127</v>
      </c>
      <c r="H30" s="291"/>
    </row>
    <row r="31" spans="1:12" ht="18" customHeight="1" x14ac:dyDescent="0.25">
      <c r="A31" s="329"/>
      <c r="B31" s="15" t="s">
        <v>237</v>
      </c>
      <c r="C31" s="80" t="s">
        <v>23</v>
      </c>
      <c r="D31" s="327">
        <f>'Màng ĐN 100 tờ'!G8</f>
        <v>359.7</v>
      </c>
      <c r="E31" s="335">
        <f>'Màng ĐN 100 tờ'!E113</f>
        <v>25.5</v>
      </c>
      <c r="F31" s="68">
        <f>'Màng ĐN 100 tờ'!F113</f>
        <v>211.89999999999998</v>
      </c>
      <c r="G31" s="69">
        <f t="shared" si="1"/>
        <v>173.3</v>
      </c>
      <c r="H31" s="291"/>
    </row>
    <row r="32" spans="1:12" ht="18" customHeight="1" x14ac:dyDescent="0.25">
      <c r="A32" s="329"/>
      <c r="B32" s="15" t="s">
        <v>198</v>
      </c>
      <c r="C32" s="80" t="s">
        <v>23</v>
      </c>
      <c r="D32" s="327">
        <f>'MÀNG SP 250 TỜ 2 LỚP M871'!G8</f>
        <v>171.8</v>
      </c>
      <c r="E32" s="335">
        <f>'MÀNG SP 250 TỜ 2 LỚP M871'!E114</f>
        <v>0</v>
      </c>
      <c r="F32" s="68">
        <f>'MÀNG SP 250 TỜ 2 LỚP M871'!F114</f>
        <v>0</v>
      </c>
      <c r="G32" s="69">
        <f t="shared" si="1"/>
        <v>171.8</v>
      </c>
      <c r="H32" s="291"/>
    </row>
    <row r="33" spans="1:8" ht="18" customHeight="1" x14ac:dyDescent="0.25">
      <c r="A33" s="329"/>
      <c r="B33" s="15" t="s">
        <v>197</v>
      </c>
      <c r="C33" s="80" t="s">
        <v>23</v>
      </c>
      <c r="D33" s="327">
        <f>'MÀNG SP 100 TỜ 4 LỚP M857'!G8</f>
        <v>256.60000000000002</v>
      </c>
      <c r="E33" s="335">
        <f>'MÀNG SP 100 TỜ 4 LỚP M857'!E113</f>
        <v>0</v>
      </c>
      <c r="F33" s="68">
        <f>'MÀNG SP 100 TỜ 4 LỚP M857'!F113</f>
        <v>37.1</v>
      </c>
      <c r="G33" s="69">
        <f t="shared" si="1"/>
        <v>219.50000000000003</v>
      </c>
      <c r="H33" s="291"/>
    </row>
    <row r="34" spans="1:8" ht="18" customHeight="1" x14ac:dyDescent="0.25">
      <c r="A34" s="329"/>
      <c r="B34" s="15" t="s">
        <v>196</v>
      </c>
      <c r="C34" s="80" t="s">
        <v>23</v>
      </c>
      <c r="D34" s="327">
        <f>'MÀNG SP 100 TỜ 3 LỚP M864'!G8</f>
        <v>208.4</v>
      </c>
      <c r="E34" s="335">
        <f>'MÀNG SP 100 TỜ 3 LỚP M864'!E113</f>
        <v>4.7</v>
      </c>
      <c r="F34" s="68">
        <f>'MÀNG SP 100 TỜ 3 LỚP M864'!F113</f>
        <v>141.5</v>
      </c>
      <c r="G34" s="69">
        <f t="shared" si="1"/>
        <v>71.599999999999994</v>
      </c>
      <c r="H34" s="291"/>
    </row>
    <row r="35" spans="1:8" ht="18" customHeight="1" x14ac:dyDescent="0.25">
      <c r="A35" s="329"/>
      <c r="B35" s="15" t="s">
        <v>268</v>
      </c>
      <c r="C35" s="80" t="s">
        <v>23</v>
      </c>
      <c r="D35" s="327">
        <f>'MÀNG SP 180 TỜ 3 LỚP '!G8</f>
        <v>227</v>
      </c>
      <c r="E35" s="335">
        <f>'MÀNG SP 180 TỜ 3 LỚP '!E113</f>
        <v>0</v>
      </c>
      <c r="F35" s="68">
        <f>'MÀNG SP 180 TỜ 3 LỚP '!F113</f>
        <v>47.6</v>
      </c>
      <c r="G35" s="69">
        <f t="shared" si="1"/>
        <v>179.4</v>
      </c>
      <c r="H35" s="291"/>
    </row>
    <row r="36" spans="1:8" ht="18" customHeight="1" x14ac:dyDescent="0.25">
      <c r="A36" s="329"/>
      <c r="B36" s="15" t="s">
        <v>219</v>
      </c>
      <c r="C36" s="80" t="s">
        <v>23</v>
      </c>
      <c r="D36" s="327">
        <f>'TÚI VỆ SINH RÚT ĐÁY'!G8</f>
        <v>223.5</v>
      </c>
      <c r="E36" s="335">
        <f>'TÚI VỆ SINH RÚT ĐÁY'!E113</f>
        <v>0</v>
      </c>
      <c r="F36" s="68">
        <f>'TÚI VỆ SINH RÚT ĐÁY'!F113</f>
        <v>0</v>
      </c>
      <c r="G36" s="69">
        <f t="shared" si="1"/>
        <v>223.5</v>
      </c>
      <c r="H36" s="291"/>
    </row>
    <row r="37" spans="1:8" ht="18" customHeight="1" x14ac:dyDescent="0.25">
      <c r="A37" s="329"/>
      <c r="B37" s="15" t="s">
        <v>220</v>
      </c>
      <c r="C37" s="80" t="s">
        <v>23</v>
      </c>
      <c r="D37" s="327">
        <f>'TÚI RÚT ĐA NĂNG'!G8</f>
        <v>223.3</v>
      </c>
      <c r="E37" s="335">
        <f>'TÚI RÚT ĐA NĂNG'!E113</f>
        <v>0</v>
      </c>
      <c r="F37" s="68">
        <f>'TÚI RÚT ĐA NĂNG'!F113</f>
        <v>33.6</v>
      </c>
      <c r="G37" s="69">
        <f t="shared" si="1"/>
        <v>189.70000000000002</v>
      </c>
      <c r="H37" s="291"/>
    </row>
    <row r="38" spans="1:8" ht="18" customHeight="1" x14ac:dyDescent="0.25">
      <c r="A38" s="329"/>
      <c r="B38" s="15" t="s">
        <v>397</v>
      </c>
      <c r="C38" s="80" t="s">
        <v>23</v>
      </c>
      <c r="D38" s="327">
        <f>'Túi GVS có lõi Shera 12 cuộn'!G8</f>
        <v>250.3</v>
      </c>
      <c r="E38" s="335">
        <f>'Túi GVS có lõi Shera 12 cuộn'!E62</f>
        <v>7.6</v>
      </c>
      <c r="F38" s="397">
        <f>'Túi GVS có lõi Shera 12 cuộn'!F62</f>
        <v>145.29999999999998</v>
      </c>
      <c r="G38" s="415">
        <f t="shared" si="1"/>
        <v>112.60000000000005</v>
      </c>
      <c r="H38" s="291"/>
    </row>
    <row r="39" spans="1:8" ht="18" customHeight="1" x14ac:dyDescent="0.25">
      <c r="A39" s="329"/>
      <c r="B39" s="66" t="s">
        <v>189</v>
      </c>
      <c r="C39" s="80" t="s">
        <v>23</v>
      </c>
      <c r="D39" s="327">
        <f>'Bao vô cây CN '!G8</f>
        <v>552</v>
      </c>
      <c r="E39" s="335">
        <f>'Bao vô cây CN '!E153</f>
        <v>176.3</v>
      </c>
      <c r="F39" s="68">
        <f>'Bao vô cây CN '!F153</f>
        <v>357.49999999999994</v>
      </c>
      <c r="G39" s="69">
        <f t="shared" si="1"/>
        <v>370.8</v>
      </c>
      <c r="H39" s="291"/>
    </row>
    <row r="40" spans="1:8" ht="18" customHeight="1" x14ac:dyDescent="0.25">
      <c r="A40" s="329"/>
      <c r="B40" s="66" t="s">
        <v>283</v>
      </c>
      <c r="C40" s="80" t="s">
        <v>23</v>
      </c>
      <c r="D40" s="327">
        <f>'Bao 5 cuộn CN'!G8</f>
        <v>523</v>
      </c>
      <c r="E40" s="335">
        <f>'Bao 5 cuộn CN'!E154</f>
        <v>334.5</v>
      </c>
      <c r="F40" s="68">
        <f>'Bao 5 cuộn CN'!F154</f>
        <v>347.40000000000003</v>
      </c>
      <c r="G40" s="69">
        <f t="shared" si="1"/>
        <v>510.09999999999997</v>
      </c>
      <c r="H40" s="291"/>
    </row>
    <row r="41" spans="1:8" ht="18" customHeight="1" x14ac:dyDescent="0.25">
      <c r="A41" s="329"/>
      <c r="B41" s="66" t="s">
        <v>327</v>
      </c>
      <c r="C41" s="80" t="s">
        <v>23</v>
      </c>
      <c r="D41" s="327">
        <f>'Bao vô cây CN  10 cuộn'!G8</f>
        <v>119</v>
      </c>
      <c r="E41" s="335">
        <f>'Bao vô cây CN  10 cuộn'!E153</f>
        <v>474</v>
      </c>
      <c r="F41" s="68">
        <f>'Bao vô cây CN  10 cuộn'!F153</f>
        <v>394.70000000000005</v>
      </c>
      <c r="G41" s="69">
        <f t="shared" si="1"/>
        <v>198.29999999999995</v>
      </c>
      <c r="H41" s="291"/>
    </row>
    <row r="42" spans="1:8" ht="18" customHeight="1" x14ac:dyDescent="0.25">
      <c r="A42" s="329"/>
      <c r="B42" s="66" t="s">
        <v>191</v>
      </c>
      <c r="C42" s="80" t="s">
        <v>23</v>
      </c>
      <c r="D42" s="327">
        <f>'Bao vô cây 12 cuộn'!G8</f>
        <v>337</v>
      </c>
      <c r="E42" s="335">
        <f>'Bao vô cây 12 cuộn'!E153</f>
        <v>0</v>
      </c>
      <c r="F42" s="68">
        <f>'Bao vô cây 12 cuộn'!F153</f>
        <v>216.90000000000003</v>
      </c>
      <c r="G42" s="69">
        <f t="shared" si="1"/>
        <v>120.09999999999997</v>
      </c>
      <c r="H42" s="291"/>
    </row>
    <row r="43" spans="1:8" ht="18" customHeight="1" x14ac:dyDescent="0.25">
      <c r="A43" s="329"/>
      <c r="B43" s="66" t="s">
        <v>192</v>
      </c>
      <c r="C43" s="80" t="s">
        <v>23</v>
      </c>
      <c r="D43" s="327">
        <f>'Bao vô cây 10 cuộn'!G8</f>
        <v>629</v>
      </c>
      <c r="E43" s="335">
        <f>'Bao vô cây 10 cuộn'!E155</f>
        <v>0</v>
      </c>
      <c r="F43" s="68">
        <f>'Bao vô cây 10 cuộn'!F155</f>
        <v>385.10000000000014</v>
      </c>
      <c r="G43" s="69">
        <f t="shared" si="1"/>
        <v>243.89999999999986</v>
      </c>
      <c r="H43" s="291"/>
    </row>
    <row r="44" spans="1:8" ht="18" customHeight="1" x14ac:dyDescent="0.25">
      <c r="A44" s="329"/>
      <c r="B44" s="15" t="s">
        <v>339</v>
      </c>
      <c r="C44" s="80" t="s">
        <v>23</v>
      </c>
      <c r="D44" s="327">
        <f>'Bao trăng sp cân.3 lơp'!G9</f>
        <v>39.9</v>
      </c>
      <c r="E44" s="335">
        <f>'Bao trăng sp cân.3 lơp'!E91</f>
        <v>99</v>
      </c>
      <c r="F44" s="68">
        <f>'Bao trăng sp cân.3 lơp'!F91</f>
        <v>59.999999999999993</v>
      </c>
      <c r="G44" s="69">
        <f t="shared" si="1"/>
        <v>78.900000000000006</v>
      </c>
      <c r="H44" s="291"/>
    </row>
    <row r="45" spans="1:8" ht="18" customHeight="1" x14ac:dyDescent="0.25">
      <c r="A45" s="329"/>
      <c r="B45" s="15" t="s">
        <v>233</v>
      </c>
      <c r="C45" s="80" t="s">
        <v>23</v>
      </c>
      <c r="D45" s="327">
        <f>'Bao trăng sp 10 gói'!G9</f>
        <v>6</v>
      </c>
      <c r="E45" s="335">
        <f>'Bao trăng sp 10 gói'!E92</f>
        <v>163</v>
      </c>
      <c r="F45" s="68">
        <f>'Bao trăng sp 10 gói'!F92</f>
        <v>71.500000000000014</v>
      </c>
      <c r="G45" s="69">
        <f t="shared" si="1"/>
        <v>97.499999999999986</v>
      </c>
      <c r="H45" s="291"/>
    </row>
    <row r="46" spans="1:8" ht="18" customHeight="1" x14ac:dyDescent="0.25">
      <c r="A46" s="329"/>
      <c r="B46" s="15" t="s">
        <v>338</v>
      </c>
      <c r="C46" s="80" t="s">
        <v>23</v>
      </c>
      <c r="D46" s="327">
        <f>'Bao trăng sp cân.2 lơp '!G9</f>
        <v>176</v>
      </c>
      <c r="E46" s="335">
        <f>'Bao trăng sp cân.2 lơp '!E91</f>
        <v>0</v>
      </c>
      <c r="F46" s="68">
        <f>'Bao trăng sp cân.2 lơp '!F91</f>
        <v>0.5</v>
      </c>
      <c r="G46" s="69">
        <f t="shared" si="1"/>
        <v>175.5</v>
      </c>
      <c r="H46" s="291"/>
    </row>
    <row r="47" spans="1:8" ht="18" customHeight="1" x14ac:dyDescent="0.25">
      <c r="A47" s="329"/>
      <c r="B47" s="15" t="s">
        <v>396</v>
      </c>
      <c r="C47" s="80" t="s">
        <v>23</v>
      </c>
      <c r="D47" s="327">
        <f>'Bao vô cây CN  10 cuộn'!G8</f>
        <v>119</v>
      </c>
      <c r="E47" s="335">
        <f>'Bao vô cây CN  10 cuộn'!E153</f>
        <v>474</v>
      </c>
      <c r="F47" s="68">
        <f>'Bao vô cây CN  10 cuộn'!F153</f>
        <v>394.70000000000005</v>
      </c>
      <c r="G47" s="69">
        <f t="shared" si="1"/>
        <v>198.29999999999995</v>
      </c>
      <c r="H47" s="291"/>
    </row>
    <row r="48" spans="1:8" ht="18" customHeight="1" x14ac:dyDescent="0.25">
      <c r="A48" s="329"/>
      <c r="B48" s="15"/>
      <c r="C48" s="80"/>
      <c r="D48" s="327"/>
      <c r="E48" s="335"/>
      <c r="F48" s="68"/>
      <c r="G48" s="69">
        <f t="shared" si="1"/>
        <v>0</v>
      </c>
      <c r="H48" s="291"/>
    </row>
    <row r="49" spans="1:9" ht="18" customHeight="1" x14ac:dyDescent="0.25">
      <c r="A49" s="329"/>
      <c r="B49" s="15" t="s">
        <v>146</v>
      </c>
      <c r="C49" s="80" t="s">
        <v>23</v>
      </c>
      <c r="D49" s="327">
        <f>'Bao trăng 23 cân'!G9</f>
        <v>167.9</v>
      </c>
      <c r="E49" s="335">
        <f>'Bao trăng 23 cân'!E140</f>
        <v>237.8</v>
      </c>
      <c r="F49" s="68">
        <f>'Bao trăng 23 cân'!F140</f>
        <v>220.09999999999994</v>
      </c>
      <c r="G49" s="69">
        <f t="shared" si="1"/>
        <v>185.60000000000011</v>
      </c>
      <c r="H49" s="291"/>
    </row>
    <row r="50" spans="1:9" ht="18" customHeight="1" x14ac:dyDescent="0.25">
      <c r="A50" s="329"/>
      <c r="B50" s="15" t="s">
        <v>357</v>
      </c>
      <c r="C50" s="80" t="s">
        <v>23</v>
      </c>
      <c r="D50" s="327">
        <f>'Bao trăng 33 cân '!G9</f>
        <v>0</v>
      </c>
      <c r="E50" s="335">
        <f>'Bao trăng 33 cân '!E140</f>
        <v>110.5</v>
      </c>
      <c r="F50" s="397">
        <f>'Bao trăng 33 cân '!F140</f>
        <v>37.1</v>
      </c>
      <c r="G50" s="69">
        <f t="shared" si="1"/>
        <v>73.400000000000006</v>
      </c>
      <c r="H50" s="291"/>
    </row>
    <row r="51" spans="1:9" ht="18" customHeight="1" x14ac:dyDescent="0.25">
      <c r="A51" s="329">
        <f>+A24+1</f>
        <v>17</v>
      </c>
      <c r="B51" s="15" t="s">
        <v>24</v>
      </c>
      <c r="C51" s="80" t="s">
        <v>33</v>
      </c>
      <c r="D51" s="327">
        <f>'Thùng catton SP'!G8</f>
        <v>24</v>
      </c>
      <c r="E51" s="335">
        <f>'Thùng catton SP'!E183</f>
        <v>1010</v>
      </c>
      <c r="F51" s="68">
        <f>'Thùng catton SP'!F183</f>
        <v>185</v>
      </c>
      <c r="G51" s="69">
        <f t="shared" si="1"/>
        <v>849</v>
      </c>
      <c r="H51" s="291"/>
      <c r="I51" s="334"/>
    </row>
    <row r="52" spans="1:9" ht="18" customHeight="1" x14ac:dyDescent="0.25">
      <c r="A52" s="329">
        <f t="shared" si="0"/>
        <v>18</v>
      </c>
      <c r="B52" s="15" t="s">
        <v>30</v>
      </c>
      <c r="C52" s="80" t="s">
        <v>33</v>
      </c>
      <c r="D52" s="327">
        <f>'Thùng catton 120'!G8</f>
        <v>466</v>
      </c>
      <c r="E52" s="335">
        <f>'Thùng catton 120'!E93</f>
        <v>994</v>
      </c>
      <c r="F52" s="68">
        <f>'Thùng catton 120'!F93</f>
        <v>562</v>
      </c>
      <c r="G52" s="69">
        <f t="shared" si="1"/>
        <v>898</v>
      </c>
      <c r="H52" s="291"/>
    </row>
    <row r="53" spans="1:9" ht="18" customHeight="1" x14ac:dyDescent="0.25">
      <c r="A53" s="329">
        <f t="shared" si="0"/>
        <v>19</v>
      </c>
      <c r="B53" s="15" t="s">
        <v>96</v>
      </c>
      <c r="C53" s="80" t="s">
        <v>33</v>
      </c>
      <c r="D53" s="327">
        <f>'Thùng catton NK 23'!G8</f>
        <v>797</v>
      </c>
      <c r="E53" s="335">
        <f>'Thùng catton NK 23'!E100</f>
        <v>0</v>
      </c>
      <c r="F53" s="68">
        <f>'Thùng catton NK 23'!F100</f>
        <v>0</v>
      </c>
      <c r="G53" s="69">
        <f t="shared" si="1"/>
        <v>797</v>
      </c>
      <c r="H53" s="291"/>
    </row>
    <row r="54" spans="1:9" ht="18" customHeight="1" x14ac:dyDescent="0.25">
      <c r="A54" s="329">
        <f t="shared" si="0"/>
        <v>20</v>
      </c>
      <c r="B54" s="15" t="s">
        <v>113</v>
      </c>
      <c r="C54" s="80" t="s">
        <v>33</v>
      </c>
      <c r="D54" s="327">
        <f>'Thùng catton NK 23 cân'!G8</f>
        <v>78</v>
      </c>
      <c r="E54" s="335">
        <f>'Thùng catton NK 23 cân'!E144</f>
        <v>920</v>
      </c>
      <c r="F54" s="68">
        <f>'Thùng catton NK 23 cân'!F144</f>
        <v>1016</v>
      </c>
      <c r="G54" s="69">
        <f t="shared" si="1"/>
        <v>-18</v>
      </c>
      <c r="H54" s="291"/>
    </row>
    <row r="55" spans="1:9" ht="18" customHeight="1" x14ac:dyDescent="0.25">
      <c r="A55" s="329">
        <f t="shared" si="0"/>
        <v>21</v>
      </c>
      <c r="B55" s="15" t="s">
        <v>114</v>
      </c>
      <c r="C55" s="80" t="s">
        <v>33</v>
      </c>
      <c r="D55" s="327">
        <f>'Thùng catton NK 33'!G8</f>
        <v>788</v>
      </c>
      <c r="E55" s="335">
        <f>'Thùng catton NK 33'!E101</f>
        <v>0</v>
      </c>
      <c r="F55" s="68">
        <f>'Thùng catton NK 33'!F101</f>
        <v>49</v>
      </c>
      <c r="G55" s="69">
        <f t="shared" si="1"/>
        <v>739</v>
      </c>
      <c r="H55" s="291"/>
    </row>
    <row r="56" spans="1:9" ht="18" customHeight="1" x14ac:dyDescent="0.25">
      <c r="A56" s="329">
        <f t="shared" si="0"/>
        <v>22</v>
      </c>
      <c r="B56" s="15" t="s">
        <v>38</v>
      </c>
      <c r="C56" s="80" t="s">
        <v>33</v>
      </c>
      <c r="D56" s="327">
        <f>'Thùng catton 180'!G8</f>
        <v>691</v>
      </c>
      <c r="E56" s="335">
        <f>'Thùng catton 180'!E118</f>
        <v>0</v>
      </c>
      <c r="F56" s="68">
        <f>'Thùng catton 180'!F118</f>
        <v>156</v>
      </c>
      <c r="G56" s="69">
        <f t="shared" si="1"/>
        <v>535</v>
      </c>
      <c r="H56" s="291"/>
    </row>
    <row r="57" spans="1:9" ht="18" customHeight="1" x14ac:dyDescent="0.25">
      <c r="A57" s="329"/>
      <c r="B57" s="15" t="s">
        <v>284</v>
      </c>
      <c r="C57" s="80" t="s">
        <v>33</v>
      </c>
      <c r="D57" s="327">
        <f>'Thùng catton VS RÚT ĐÁY'!G8</f>
        <v>853</v>
      </c>
      <c r="E57" s="335">
        <f>'Thùng catton VS RÚT ĐÁY'!E119</f>
        <v>0</v>
      </c>
      <c r="F57" s="68">
        <f>'Thùng catton VS RÚT ĐÁY'!F119</f>
        <v>0</v>
      </c>
      <c r="G57" s="69">
        <f t="shared" si="1"/>
        <v>853</v>
      </c>
      <c r="H57" s="291"/>
    </row>
    <row r="58" spans="1:9" ht="18" customHeight="1" x14ac:dyDescent="0.25">
      <c r="A58" s="329"/>
      <c r="B58" s="15" t="s">
        <v>235</v>
      </c>
      <c r="C58" s="80" t="s">
        <v>33</v>
      </c>
      <c r="D58" s="327">
        <f>'Thùng catton VS RÚT ĐÁY 12g'!G8</f>
        <v>583</v>
      </c>
      <c r="E58" s="335">
        <f>'Thùng catton VS RÚT ĐÁY 12g'!E118</f>
        <v>0</v>
      </c>
      <c r="F58" s="68">
        <f>'Thùng catton VS RÚT ĐÁY 12g'!F118</f>
        <v>93</v>
      </c>
      <c r="G58" s="69">
        <f t="shared" si="1"/>
        <v>490</v>
      </c>
      <c r="H58" s="291"/>
    </row>
    <row r="59" spans="1:9" ht="18" customHeight="1" x14ac:dyDescent="0.25">
      <c r="A59" s="329"/>
      <c r="B59" s="15" t="s">
        <v>285</v>
      </c>
      <c r="C59" s="80" t="s">
        <v>33</v>
      </c>
      <c r="D59" s="327">
        <f>'Thùng catton ĐA NĂNG RÚT ĐÁY'!G8</f>
        <v>831</v>
      </c>
      <c r="E59" s="335">
        <f>'Thùng catton ĐA NĂNG RÚT ĐÁY'!E119</f>
        <v>0</v>
      </c>
      <c r="F59" s="68">
        <f>'Thùng catton ĐA NĂNG RÚT ĐÁY'!F119</f>
        <v>0</v>
      </c>
      <c r="G59" s="69">
        <f t="shared" si="1"/>
        <v>831</v>
      </c>
      <c r="H59" s="291"/>
    </row>
    <row r="60" spans="1:9" ht="18" customHeight="1" x14ac:dyDescent="0.25">
      <c r="A60" s="329"/>
      <c r="B60" s="15" t="s">
        <v>286</v>
      </c>
      <c r="C60" s="80" t="s">
        <v>33</v>
      </c>
      <c r="D60" s="327">
        <f>'Thùng catton ĐA NĂNG RÚT ĐÁY 12'!G8</f>
        <v>521</v>
      </c>
      <c r="E60" s="335">
        <f>'Thùng catton ĐA NĂNG RÚT ĐÁY 12'!E118</f>
        <v>0</v>
      </c>
      <c r="F60" s="68">
        <f>'Thùng catton ĐA NĂNG RÚT ĐÁY 12'!F118</f>
        <v>282</v>
      </c>
      <c r="G60" s="69">
        <f t="shared" si="1"/>
        <v>239</v>
      </c>
      <c r="H60" s="291"/>
    </row>
    <row r="61" spans="1:9" ht="18" customHeight="1" x14ac:dyDescent="0.25">
      <c r="A61" s="329"/>
      <c r="B61" s="15" t="s">
        <v>256</v>
      </c>
      <c r="C61" s="80" t="s">
        <v>33</v>
      </c>
      <c r="D61" s="327">
        <f>'Thùng catton SP 175- 2 LƠP.60G '!G8</f>
        <v>531</v>
      </c>
      <c r="E61" s="335">
        <f>'Thùng catton SP 175- 2 LƠP.60G '!E118</f>
        <v>0</v>
      </c>
      <c r="F61" s="68">
        <f>'Thùng catton SP 175- 2 LƠP.60G '!F118</f>
        <v>436</v>
      </c>
      <c r="G61" s="69">
        <f t="shared" si="1"/>
        <v>95</v>
      </c>
      <c r="H61" s="291"/>
    </row>
    <row r="62" spans="1:9" ht="18" customHeight="1" x14ac:dyDescent="0.25">
      <c r="A62" s="329"/>
      <c r="B62" s="15" t="s">
        <v>208</v>
      </c>
      <c r="C62" s="80" t="s">
        <v>33</v>
      </c>
      <c r="D62" s="327">
        <f>'Thùng catton SP 175 - 2 LƠP.18G'!G8</f>
        <v>1060</v>
      </c>
      <c r="E62" s="335">
        <f>'Thùng catton SP 175 - 2 LƠP.18G'!E118</f>
        <v>0</v>
      </c>
      <c r="F62" s="68">
        <f>'Thùng catton SP 175 - 2 LƠP.18G'!F118</f>
        <v>0</v>
      </c>
      <c r="G62" s="69">
        <f t="shared" si="1"/>
        <v>1060</v>
      </c>
      <c r="H62" s="291"/>
    </row>
    <row r="63" spans="1:9" ht="18" customHeight="1" x14ac:dyDescent="0.25">
      <c r="A63" s="329"/>
      <c r="B63" s="15" t="s">
        <v>209</v>
      </c>
      <c r="C63" s="80" t="s">
        <v>33</v>
      </c>
      <c r="D63" s="327">
        <f>'Thùng catton SP 115 - 3 LỚP'!G8</f>
        <v>605</v>
      </c>
      <c r="E63" s="335">
        <f>'Thùng catton SP 115 - 3 LỚP'!E118</f>
        <v>0</v>
      </c>
      <c r="F63" s="68">
        <f>'Thùng catton SP 115 - 3 LỚP'!F118</f>
        <v>0</v>
      </c>
      <c r="G63" s="69">
        <f t="shared" si="1"/>
        <v>605</v>
      </c>
      <c r="H63" s="291"/>
    </row>
    <row r="64" spans="1:9" ht="18" customHeight="1" x14ac:dyDescent="0.25">
      <c r="A64" s="329"/>
      <c r="B64" s="15" t="s">
        <v>210</v>
      </c>
      <c r="C64" s="80" t="s">
        <v>33</v>
      </c>
      <c r="D64" s="327">
        <f>'Thùng catton SP 115 - 4 LỚP'!G8</f>
        <v>671</v>
      </c>
      <c r="E64" s="335">
        <f>'Thùng catton SP 115 - 4 LỚP'!E119</f>
        <v>0</v>
      </c>
      <c r="F64" s="68">
        <f>'Thùng catton SP 115 - 4 LỚP'!F119</f>
        <v>0</v>
      </c>
      <c r="G64" s="69">
        <f t="shared" si="1"/>
        <v>671</v>
      </c>
      <c r="H64" s="291"/>
    </row>
    <row r="65" spans="1:8" ht="18" customHeight="1" x14ac:dyDescent="0.25">
      <c r="A65" s="329"/>
      <c r="B65" s="15" t="s">
        <v>287</v>
      </c>
      <c r="C65" s="80" t="s">
        <v>33</v>
      </c>
      <c r="D65" s="327">
        <f>'Thùng catton SP 115 - 4 LỚP 100'!G8</f>
        <v>968</v>
      </c>
      <c r="E65" s="335">
        <f>'Thùng catton SP 115 - 4 LỚP 100'!E118</f>
        <v>0</v>
      </c>
      <c r="F65" s="68">
        <f>'Thùng catton SP 115 - 4 LỚP 100'!F118</f>
        <v>163</v>
      </c>
      <c r="G65" s="69">
        <f t="shared" si="1"/>
        <v>805</v>
      </c>
      <c r="H65" s="291"/>
    </row>
    <row r="66" spans="1:8" ht="18" customHeight="1" x14ac:dyDescent="0.25">
      <c r="A66" s="329"/>
      <c r="B66" s="15" t="s">
        <v>288</v>
      </c>
      <c r="C66" s="80" t="s">
        <v>33</v>
      </c>
      <c r="D66" s="327">
        <f>'Thùng catton SP 115 - 3 LỚP100 '!G8</f>
        <v>614</v>
      </c>
      <c r="E66" s="335">
        <f>'Thùng catton SP 115 - 3 LỚP100 '!E121</f>
        <v>0</v>
      </c>
      <c r="F66" s="68">
        <f>'Thùng catton SP 115 - 3 LỚP100 '!F121</f>
        <v>529</v>
      </c>
      <c r="G66" s="69">
        <f t="shared" si="1"/>
        <v>85</v>
      </c>
      <c r="H66" s="291"/>
    </row>
    <row r="67" spans="1:8" ht="18" customHeight="1" x14ac:dyDescent="0.25">
      <c r="A67" s="329">
        <f>+A56+1</f>
        <v>23</v>
      </c>
      <c r="B67" s="46" t="s">
        <v>39</v>
      </c>
      <c r="C67" s="80" t="s">
        <v>23</v>
      </c>
      <c r="D67" s="327">
        <f>'Phôi NK 325'!G8</f>
        <v>1743.6</v>
      </c>
      <c r="E67" s="335">
        <f>'Phôi NK 325'!E37</f>
        <v>0</v>
      </c>
      <c r="F67" s="68">
        <f>'Phôi NK 325'!F37</f>
        <v>1743.6</v>
      </c>
      <c r="G67" s="69">
        <f t="shared" si="1"/>
        <v>0</v>
      </c>
      <c r="H67" s="291"/>
    </row>
    <row r="68" spans="1:8" ht="18" customHeight="1" x14ac:dyDescent="0.25">
      <c r="A68" s="329">
        <f t="shared" si="0"/>
        <v>24</v>
      </c>
      <c r="B68" s="46" t="s">
        <v>40</v>
      </c>
      <c r="C68" s="80" t="s">
        <v>23</v>
      </c>
      <c r="D68" s="327">
        <f>'Phôi NK 23'!G8</f>
        <v>16307</v>
      </c>
      <c r="E68" s="335">
        <f>'Phôi NK 23'!E97</f>
        <v>0</v>
      </c>
      <c r="F68" s="68">
        <f>'Phôi NK 23'!F97</f>
        <v>3996.5</v>
      </c>
      <c r="G68" s="69">
        <f t="shared" si="1"/>
        <v>12310.5</v>
      </c>
      <c r="H68" s="291"/>
    </row>
    <row r="69" spans="1:8" ht="18" customHeight="1" x14ac:dyDescent="0.25">
      <c r="A69" s="329">
        <f t="shared" si="0"/>
        <v>25</v>
      </c>
      <c r="B69" s="243" t="s">
        <v>42</v>
      </c>
      <c r="C69" s="80" t="s">
        <v>23</v>
      </c>
      <c r="D69" s="327">
        <f>'Phôi giấy KH 760'!G8</f>
        <v>6190</v>
      </c>
      <c r="E69" s="335">
        <f>'Phôi giấy KH 760'!E108</f>
        <v>0</v>
      </c>
      <c r="F69" s="68">
        <f>'Phôi giấy KH 760'!F108</f>
        <v>1571</v>
      </c>
      <c r="G69" s="69">
        <f t="shared" si="1"/>
        <v>4619</v>
      </c>
      <c r="H69" s="291"/>
    </row>
    <row r="70" spans="1:8" ht="18" customHeight="1" x14ac:dyDescent="0.25">
      <c r="A70" s="329"/>
      <c r="B70" s="46" t="s">
        <v>174</v>
      </c>
      <c r="C70" s="80" t="s">
        <v>23</v>
      </c>
      <c r="D70" s="327">
        <f>'Phôi giấy XG .KH 2850 ĐL 17'!G8</f>
        <v>6148</v>
      </c>
      <c r="E70" s="335">
        <f>'Phôi giấy XG .KH 2850 ĐL 17'!E108</f>
        <v>10369.700000000001</v>
      </c>
      <c r="F70" s="68">
        <f>'Phôi giấy XG .KH 2850 ĐL 17'!F108</f>
        <v>9844.3000000000011</v>
      </c>
      <c r="G70" s="69">
        <f t="shared" si="1"/>
        <v>6673.4</v>
      </c>
      <c r="H70" s="291"/>
    </row>
    <row r="71" spans="1:8" ht="18" customHeight="1" x14ac:dyDescent="0.25">
      <c r="A71" s="329"/>
      <c r="B71" s="46" t="s">
        <v>173</v>
      </c>
      <c r="C71" s="80" t="s">
        <v>23</v>
      </c>
      <c r="D71" s="327">
        <f>'Phôi giấy XG. KH 2850 DL 14'!G8</f>
        <v>1927</v>
      </c>
      <c r="E71" s="335">
        <f>'Phôi giấy XG. KH 2850 DL 14'!E108</f>
        <v>3920.1</v>
      </c>
      <c r="F71" s="68"/>
      <c r="G71" s="69">
        <f t="shared" si="1"/>
        <v>5847.1</v>
      </c>
      <c r="H71" s="291"/>
    </row>
    <row r="72" spans="1:8" ht="18" customHeight="1" x14ac:dyDescent="0.25">
      <c r="A72" s="329"/>
      <c r="B72" s="46" t="s">
        <v>273</v>
      </c>
      <c r="C72" s="80" t="s">
        <v>23</v>
      </c>
      <c r="D72" s="327">
        <f>'Phôi giấy XG. KH 2910 DL 15.gộp'!G8</f>
        <v>12510</v>
      </c>
      <c r="E72" s="335">
        <f>'Phôi giấy XG. KH 2910 DL 15.gộp'!E112</f>
        <v>8338.2999999999993</v>
      </c>
      <c r="F72" s="68">
        <f>'Phôi giấy XG. KH 2910 DL 15.gộp'!F112</f>
        <v>20848.599999999999</v>
      </c>
      <c r="G72" s="69">
        <f t="shared" si="1"/>
        <v>-0.2999999999992724</v>
      </c>
      <c r="H72" s="291"/>
    </row>
    <row r="73" spans="1:8" ht="18" customHeight="1" x14ac:dyDescent="0.25">
      <c r="A73" s="329"/>
      <c r="B73" s="46" t="s">
        <v>319</v>
      </c>
      <c r="C73" s="80" t="s">
        <v>23</v>
      </c>
      <c r="D73" s="327">
        <f>'Phôi giấy XG. KH 2870 DL16,5'!G8</f>
        <v>4650</v>
      </c>
      <c r="E73" s="335">
        <f>'Phôi giấy XG. KH 2870 DL16,5'!E108</f>
        <v>0</v>
      </c>
      <c r="F73" s="68">
        <f>'Phôi giấy XG. KH 2870 DL16,5'!F108</f>
        <v>2761.6</v>
      </c>
      <c r="G73" s="69">
        <f t="shared" si="1"/>
        <v>1888.4</v>
      </c>
      <c r="H73" s="291"/>
    </row>
    <row r="74" spans="1:8" ht="18" customHeight="1" x14ac:dyDescent="0.25">
      <c r="A74" s="329"/>
      <c r="B74" s="46" t="s">
        <v>340</v>
      </c>
      <c r="C74" s="80" t="s">
        <v>23</v>
      </c>
      <c r="D74" s="327">
        <f>'Phôi giấy XG. KH 2870 DL 18,5'!G8</f>
        <v>13030</v>
      </c>
      <c r="E74" s="335">
        <f>'Phôi giấy XG. KH 2870 DL 18,5'!E108</f>
        <v>0</v>
      </c>
      <c r="F74" s="68">
        <f>'Phôi giấy XG. KH 2870 DL 18,5'!F108</f>
        <v>8944.1</v>
      </c>
      <c r="G74" s="69">
        <f t="shared" si="1"/>
        <v>4085.8999999999996</v>
      </c>
      <c r="H74" s="291"/>
    </row>
    <row r="75" spans="1:8" ht="18" customHeight="1" x14ac:dyDescent="0.25">
      <c r="A75" s="329"/>
      <c r="B75" s="46" t="s">
        <v>274</v>
      </c>
      <c r="C75" s="80" t="s">
        <v>23</v>
      </c>
      <c r="D75" s="327">
        <f>'Phôi giấy XG. KH 2870 DL 18'!G8</f>
        <v>0</v>
      </c>
      <c r="E75" s="335">
        <f>'Phôi giấy XG. KH 2870 DL 18'!E108</f>
        <v>2005.4</v>
      </c>
      <c r="F75" s="68">
        <f>'Phôi giấy XG. KH 2870 DL 18'!F108</f>
        <v>2005.4</v>
      </c>
      <c r="G75" s="69">
        <f t="shared" si="1"/>
        <v>0</v>
      </c>
      <c r="H75" s="291"/>
    </row>
    <row r="76" spans="1:8" ht="18" customHeight="1" x14ac:dyDescent="0.25">
      <c r="A76" s="329"/>
      <c r="B76" s="46" t="s">
        <v>203</v>
      </c>
      <c r="C76" s="80" t="s">
        <v>23</v>
      </c>
      <c r="D76" s="327">
        <f>'Phôi giấy XG. KH 2770 DL 17'!G8</f>
        <v>4826</v>
      </c>
      <c r="E76" s="335">
        <f>'Phôi giấy XG. KH 2770 DL 17'!E108</f>
        <v>0</v>
      </c>
      <c r="F76" s="68">
        <f>'Phôi giấy XG. KH 2770 DL 17'!F108</f>
        <v>4879.5000000000009</v>
      </c>
      <c r="G76" s="69">
        <f t="shared" si="1"/>
        <v>-53.500000000000909</v>
      </c>
      <c r="H76" s="291"/>
    </row>
    <row r="77" spans="1:8" ht="18" customHeight="1" x14ac:dyDescent="0.25">
      <c r="A77" s="329"/>
      <c r="B77" s="46" t="s">
        <v>202</v>
      </c>
      <c r="C77" s="80" t="s">
        <v>23</v>
      </c>
      <c r="D77" s="327">
        <f>'Phôi giấy XG. KH 2770 DL 14'!G8</f>
        <v>2850</v>
      </c>
      <c r="E77" s="335">
        <f>'Phôi giấy XG. KH 2770 DL 14'!E108</f>
        <v>0</v>
      </c>
      <c r="F77" s="68">
        <f>'Phôi giấy XG. KH 2770 DL 14'!F108</f>
        <v>2850.4</v>
      </c>
      <c r="G77" s="69">
        <f t="shared" si="1"/>
        <v>-0.40000000000009095</v>
      </c>
      <c r="H77" s="291"/>
    </row>
    <row r="78" spans="1:8" ht="18" customHeight="1" x14ac:dyDescent="0.25">
      <c r="A78" s="329"/>
      <c r="B78" s="46" t="s">
        <v>171</v>
      </c>
      <c r="C78" s="80" t="s">
        <v>23</v>
      </c>
      <c r="D78" s="327">
        <f>'Phôi giấy XGKH 1420 DL 13.2 LỚP'!G8</f>
        <v>3005.3</v>
      </c>
      <c r="E78" s="335">
        <f>'Phôi giấy XGKH 1420 DL 13.2 LỚP'!E109</f>
        <v>6282.4000000000005</v>
      </c>
      <c r="F78" s="68">
        <f>'Phôi giấy XGKH 1420 DL 13.2 LỚP'!F109</f>
        <v>5360.5</v>
      </c>
      <c r="G78" s="69">
        <f t="shared" si="1"/>
        <v>3927.2000000000007</v>
      </c>
      <c r="H78" s="291"/>
    </row>
    <row r="79" spans="1:8" ht="18" customHeight="1" x14ac:dyDescent="0.25">
      <c r="A79" s="329"/>
      <c r="B79" s="46" t="s">
        <v>299</v>
      </c>
      <c r="C79" s="80" t="s">
        <v>23</v>
      </c>
      <c r="D79" s="327">
        <f>'Phôi giấy XGKH 1420 DL 15,2L '!G8</f>
        <v>3442</v>
      </c>
      <c r="E79" s="335">
        <f>'Phôi giấy XGKH 1420 DL 15,2L '!E108</f>
        <v>6700.6</v>
      </c>
      <c r="F79" s="68">
        <f>'Phôi giấy XGKH 1420 DL 15,2L '!F108</f>
        <v>0</v>
      </c>
      <c r="G79" s="69">
        <f t="shared" si="1"/>
        <v>10142.6</v>
      </c>
      <c r="H79" s="291"/>
    </row>
    <row r="80" spans="1:8" ht="18" customHeight="1" x14ac:dyDescent="0.25">
      <c r="A80" s="329"/>
      <c r="B80" s="46" t="s">
        <v>178</v>
      </c>
      <c r="C80" s="80" t="s">
        <v>23</v>
      </c>
      <c r="D80" s="327">
        <f>'Phôi giấy XGKH 1420 DL 22.2 LỚP'!G8</f>
        <v>2587</v>
      </c>
      <c r="E80" s="335">
        <f>'Phôi giấy XGKH 1420 DL 22.2 LỚP'!E108</f>
        <v>0</v>
      </c>
      <c r="F80" s="68">
        <f>'Phôi giấy XGKH 1420 DL 22.2 LỚP'!F108</f>
        <v>0</v>
      </c>
      <c r="G80" s="69">
        <f t="shared" si="1"/>
        <v>2587</v>
      </c>
      <c r="H80" s="291"/>
    </row>
    <row r="81" spans="1:8" ht="18" customHeight="1" x14ac:dyDescent="0.25">
      <c r="A81" s="329"/>
      <c r="B81" s="46" t="s">
        <v>170</v>
      </c>
      <c r="C81" s="80" t="s">
        <v>23</v>
      </c>
      <c r="D81" s="327">
        <f>'Phôi giấy XGKH 1420 DL13, 3 LỚP'!G8</f>
        <v>8093</v>
      </c>
      <c r="E81" s="335">
        <f>'Phôi giấy XGKH 1420 DL13, 3 LỚP'!E111</f>
        <v>26896</v>
      </c>
      <c r="F81" s="68">
        <f>'Phôi giấy XGKH 1420 DL13, 3 LỚP'!F111</f>
        <v>25301.699999999997</v>
      </c>
      <c r="G81" s="69">
        <f t="shared" si="1"/>
        <v>9687.3000000000029</v>
      </c>
      <c r="H81" s="291"/>
    </row>
    <row r="82" spans="1:8" ht="18" customHeight="1" x14ac:dyDescent="0.25">
      <c r="A82" s="329"/>
      <c r="B82" s="46" t="s">
        <v>246</v>
      </c>
      <c r="C82" s="80" t="s">
        <v>23</v>
      </c>
      <c r="D82" s="327">
        <f>'Phôi giấy XGKH 240. DL17 2 LỚP'!G8</f>
        <v>13702</v>
      </c>
      <c r="E82" s="335">
        <f>'Phôi giấy XGKH 240. DL17 2 LỚP'!E110</f>
        <v>15696.3</v>
      </c>
      <c r="F82" s="68">
        <f>'Phôi giấy XGKH 240. DL17 2 LỚP'!F110</f>
        <v>18493.199999999997</v>
      </c>
      <c r="G82" s="69">
        <f t="shared" si="1"/>
        <v>10905.100000000002</v>
      </c>
      <c r="H82" s="291"/>
    </row>
    <row r="83" spans="1:8" ht="18" customHeight="1" x14ac:dyDescent="0.25">
      <c r="A83" s="329"/>
      <c r="B83" s="46" t="s">
        <v>249</v>
      </c>
      <c r="C83" s="80" t="s">
        <v>23</v>
      </c>
      <c r="D83" s="327">
        <f>'Phôi giấy XGK800 . DL22'!G8</f>
        <v>8706</v>
      </c>
      <c r="E83" s="335">
        <f>'Phôi giấy XGK800 . DL22'!E108</f>
        <v>8517.4</v>
      </c>
      <c r="F83" s="68">
        <f>'Phôi giấy XGK800 . DL22'!F108</f>
        <v>5655.8</v>
      </c>
      <c r="G83" s="69">
        <f t="shared" si="1"/>
        <v>11567.600000000002</v>
      </c>
      <c r="H83" s="291"/>
    </row>
    <row r="84" spans="1:8" ht="18" customHeight="1" x14ac:dyDescent="0.25">
      <c r="A84" s="329"/>
      <c r="B84" s="46" t="s">
        <v>351</v>
      </c>
      <c r="C84" s="80" t="s">
        <v>23</v>
      </c>
      <c r="D84" s="327">
        <f>'Phôi giấy XG. KH 2900 DL17'!G8</f>
        <v>0</v>
      </c>
      <c r="E84" s="335">
        <f>'Phôi giấy XG. KH 2900 DL17'!E108</f>
        <v>8898.9</v>
      </c>
      <c r="F84" s="68">
        <f>'Phôi giấy XG. KH 2900 DL17'!F108</f>
        <v>5349.1</v>
      </c>
      <c r="G84" s="69">
        <f t="shared" si="1"/>
        <v>3549.7999999999993</v>
      </c>
      <c r="H84" s="291"/>
    </row>
    <row r="85" spans="1:8" ht="18" customHeight="1" x14ac:dyDescent="0.25">
      <c r="A85" s="329"/>
      <c r="B85" s="46" t="s">
        <v>282</v>
      </c>
      <c r="C85" s="80" t="s">
        <v>23</v>
      </c>
      <c r="D85" s="327">
        <f>'Phôi giấy XG. KH 2870 DL15.gộp '!G8</f>
        <v>0</v>
      </c>
      <c r="E85" s="335">
        <f>'Phôi giấy XG. KH 2870 DL15.gộp '!E108</f>
        <v>8338.2999999999993</v>
      </c>
      <c r="F85" s="68">
        <f>'Phôi giấy XG. KH 2870 DL15.gộp '!F108</f>
        <v>8338.4</v>
      </c>
      <c r="G85" s="69">
        <f t="shared" si="1"/>
        <v>-0.1000000000003638</v>
      </c>
      <c r="H85" s="291"/>
    </row>
    <row r="86" spans="1:8" ht="18" customHeight="1" x14ac:dyDescent="0.25">
      <c r="A86" s="329"/>
      <c r="B86" s="46" t="s">
        <v>341</v>
      </c>
      <c r="C86" s="80"/>
      <c r="D86" s="327">
        <f>'Phôi giấy BNKH 240. DL17 2L'!G8</f>
        <v>384</v>
      </c>
      <c r="E86" s="335">
        <f>'Phôi giấy BNKH 240. DL17 2L'!E108</f>
        <v>0</v>
      </c>
      <c r="F86" s="68">
        <f>'Phôi giấy BNKH 240. DL17 2L'!F108</f>
        <v>0</v>
      </c>
      <c r="G86" s="69">
        <f t="shared" si="1"/>
        <v>384</v>
      </c>
      <c r="H86" s="291"/>
    </row>
    <row r="87" spans="1:8" ht="18" customHeight="1" x14ac:dyDescent="0.25">
      <c r="A87" s="329"/>
      <c r="B87" s="46" t="s">
        <v>179</v>
      </c>
      <c r="C87" s="80"/>
      <c r="D87" s="327">
        <f>'Phôi giấy LAKH 1870 DL13, 2 LỚP'!G8</f>
        <v>5127</v>
      </c>
      <c r="E87" s="335">
        <f>'Phôi giấy LAKH 1870 DL13, 2 LỚP'!E108</f>
        <v>0</v>
      </c>
      <c r="F87" s="68">
        <f>'Phôi giấy LAKH 1870 DL13, 2 LỚP'!F108</f>
        <v>1015.5</v>
      </c>
      <c r="G87" s="69">
        <f t="shared" si="1"/>
        <v>4111.5</v>
      </c>
      <c r="H87" s="291"/>
    </row>
    <row r="88" spans="1:8" ht="18" customHeight="1" x14ac:dyDescent="0.25">
      <c r="A88" s="329"/>
      <c r="B88" s="46" t="s">
        <v>342</v>
      </c>
      <c r="C88" s="80"/>
      <c r="D88" s="327">
        <f>'Phôi giấy  BNKH 1900 DL13, 2L '!G8</f>
        <v>1143</v>
      </c>
      <c r="E88" s="335">
        <f>'Phôi giấy  BNKH 1900 DL13, 2L '!E108</f>
        <v>0</v>
      </c>
      <c r="F88" s="68">
        <f>'Phôi giấy  BNKH 1900 DL13, 2L '!F108</f>
        <v>0</v>
      </c>
      <c r="G88" s="69">
        <f t="shared" si="1"/>
        <v>1143</v>
      </c>
      <c r="H88" s="291"/>
    </row>
    <row r="89" spans="1:8" ht="18" customHeight="1" x14ac:dyDescent="0.25">
      <c r="A89" s="329"/>
      <c r="B89" s="46" t="s">
        <v>343</v>
      </c>
      <c r="C89" s="80"/>
      <c r="D89" s="327">
        <f>'Phôi giấy  HLKH 1980 DL13, 4 ớp'!G8</f>
        <v>6977</v>
      </c>
      <c r="E89" s="335">
        <f>'Phôi giấy  HLKH 1980 DL13, 4 ớp'!E108</f>
        <v>0</v>
      </c>
      <c r="F89" s="68">
        <f>'Phôi giấy  HLKH 1980 DL13, 4 ớp'!F108</f>
        <v>0</v>
      </c>
      <c r="G89" s="69">
        <f t="shared" si="1"/>
        <v>6977</v>
      </c>
      <c r="H89" s="291"/>
    </row>
    <row r="90" spans="1:8" ht="18" customHeight="1" x14ac:dyDescent="0.25">
      <c r="A90" s="329"/>
      <c r="B90" s="46" t="s">
        <v>317</v>
      </c>
      <c r="C90" s="80"/>
      <c r="D90" s="327">
        <f>'Phôi giấy  JPCORELEX DL 15'!G8</f>
        <v>0</v>
      </c>
      <c r="E90" s="335">
        <f>'Phôi giấy  JPCORELEX DL 15'!E111</f>
        <v>23471</v>
      </c>
      <c r="F90" s="68">
        <f>'Phôi giấy  JPCORELEX DL 15'!F111</f>
        <v>20299</v>
      </c>
      <c r="G90" s="69">
        <f t="shared" si="1"/>
        <v>3172</v>
      </c>
      <c r="H90" s="291"/>
    </row>
    <row r="91" spans="1:8" ht="18" customHeight="1" x14ac:dyDescent="0.25">
      <c r="A91" s="329"/>
      <c r="B91" s="46" t="s">
        <v>318</v>
      </c>
      <c r="C91" s="80"/>
      <c r="D91" s="327">
        <f>'Phôi giấy  JPCORELEX DL 18'!G8</f>
        <v>68</v>
      </c>
      <c r="E91" s="335">
        <f>'Phôi giấy  JPCORELEX DL 18'!E108</f>
        <v>0</v>
      </c>
      <c r="F91" s="68">
        <f>'Phôi giấy  JPCORELEX DL 18'!F108</f>
        <v>68</v>
      </c>
      <c r="G91" s="69">
        <f t="shared" si="1"/>
        <v>0</v>
      </c>
      <c r="H91" s="291"/>
    </row>
    <row r="92" spans="1:8" ht="18" customHeight="1" x14ac:dyDescent="0.25">
      <c r="A92" s="329"/>
      <c r="B92" s="46" t="s">
        <v>345</v>
      </c>
      <c r="C92" s="80"/>
      <c r="D92" s="327">
        <f>'Phôi giấy  AN HÒA.K2850.DL 17.5'!G8</f>
        <v>6451</v>
      </c>
      <c r="E92" s="335">
        <f>'Phôi giấy  AN HÒA.K2850.DL 17.5'!E108</f>
        <v>0</v>
      </c>
      <c r="F92" s="68">
        <f>'Phôi giấy  AN HÒA.K2850.DL 17.5'!F108</f>
        <v>3664</v>
      </c>
      <c r="G92" s="69">
        <f t="shared" si="1"/>
        <v>2787</v>
      </c>
      <c r="H92" s="291"/>
    </row>
    <row r="93" spans="1:8" ht="18" customHeight="1" x14ac:dyDescent="0.25">
      <c r="A93" s="329"/>
      <c r="B93" s="46" t="s">
        <v>346</v>
      </c>
      <c r="C93" s="80"/>
      <c r="D93" s="327">
        <f>'Phôi   AN HÒA.K2850.DL17,gộp'!G8</f>
        <v>12836</v>
      </c>
      <c r="E93" s="335">
        <f>'Phôi   AN HÒA.K2850.DL17,gộp'!E113</f>
        <v>47183.8</v>
      </c>
      <c r="F93" s="68">
        <f>'Phôi   AN HÒA.K2850.DL17,gộp'!F113</f>
        <v>12427</v>
      </c>
      <c r="G93" s="69">
        <f t="shared" si="1"/>
        <v>47592.800000000003</v>
      </c>
      <c r="H93" s="291"/>
    </row>
    <row r="94" spans="1:8" ht="18" customHeight="1" x14ac:dyDescent="0.25">
      <c r="A94" s="329">
        <f>+A69+1</f>
        <v>26</v>
      </c>
      <c r="B94" s="254" t="s">
        <v>44</v>
      </c>
      <c r="C94" s="80" t="s">
        <v>99</v>
      </c>
      <c r="D94" s="327">
        <f>'Băng keo trắng'!G8</f>
        <v>178</v>
      </c>
      <c r="E94" s="335">
        <f>'Băng keo trắng'!E217</f>
        <v>540</v>
      </c>
      <c r="F94" s="68">
        <f>'Băng keo trắng'!F217</f>
        <v>628</v>
      </c>
      <c r="G94" s="69">
        <f t="shared" si="1"/>
        <v>90</v>
      </c>
      <c r="H94" s="291"/>
    </row>
    <row r="95" spans="1:8" ht="18" customHeight="1" x14ac:dyDescent="0.25">
      <c r="A95" s="329">
        <f t="shared" si="0"/>
        <v>27</v>
      </c>
      <c r="B95" s="254" t="s">
        <v>46</v>
      </c>
      <c r="C95" s="80" t="s">
        <v>23</v>
      </c>
      <c r="D95" s="327">
        <f>'Keo 3395FS'!G8</f>
        <v>118.2</v>
      </c>
      <c r="E95" s="335">
        <f>'Keo 3395FS'!E35</f>
        <v>0</v>
      </c>
      <c r="F95" s="68">
        <f>'Keo 3395FS'!F35</f>
        <v>10.3</v>
      </c>
      <c r="G95" s="69">
        <f t="shared" si="1"/>
        <v>107.9</v>
      </c>
      <c r="H95" s="291"/>
    </row>
    <row r="96" spans="1:8" ht="18" customHeight="1" x14ac:dyDescent="0.25">
      <c r="A96" s="329">
        <f t="shared" si="0"/>
        <v>28</v>
      </c>
      <c r="B96" s="46" t="s">
        <v>80</v>
      </c>
      <c r="C96" s="80" t="s">
        <v>33</v>
      </c>
      <c r="D96" s="327">
        <f>'Tem NK 23.'!G8</f>
        <v>30377</v>
      </c>
      <c r="E96" s="335">
        <f>'Tem NK 23.'!E99</f>
        <v>0</v>
      </c>
      <c r="F96" s="68">
        <f>'Tem NK 23.'!F99</f>
        <v>5851</v>
      </c>
      <c r="G96" s="69">
        <f t="shared" ref="G96:G97" si="2">D96+E96-F96</f>
        <v>24526</v>
      </c>
      <c r="H96" s="291"/>
    </row>
    <row r="97" spans="1:8" ht="18" customHeight="1" x14ac:dyDescent="0.25">
      <c r="A97" s="329" t="e">
        <f>+#REF!+1</f>
        <v>#REF!</v>
      </c>
      <c r="B97" s="80"/>
      <c r="C97" s="80"/>
      <c r="D97" s="327"/>
      <c r="E97" s="335"/>
      <c r="F97" s="68"/>
      <c r="G97" s="69">
        <f t="shared" si="2"/>
        <v>0</v>
      </c>
      <c r="H97" s="58"/>
    </row>
    <row r="98" spans="1:8" ht="15" customHeight="1" x14ac:dyDescent="0.25">
      <c r="A98" s="336"/>
      <c r="B98" s="337" t="s">
        <v>13</v>
      </c>
      <c r="C98" s="337"/>
      <c r="D98" s="338"/>
      <c r="E98" s="339">
        <f>SUM(E9:E97)</f>
        <v>236042.83999999997</v>
      </c>
      <c r="F98" s="339">
        <f>SUM(F9:F97)</f>
        <v>222404.05</v>
      </c>
      <c r="G98" s="396">
        <f>SUM(G9:G97)</f>
        <v>228610.99000000002</v>
      </c>
      <c r="H98" s="340"/>
    </row>
    <row r="99" spans="1:8" ht="15" customHeight="1" x14ac:dyDescent="0.25">
      <c r="E99" s="334"/>
      <c r="F99" s="334"/>
    </row>
    <row r="100" spans="1:8" ht="15" customHeight="1" x14ac:dyDescent="0.25"/>
    <row r="101" spans="1:8" ht="15" customHeight="1" x14ac:dyDescent="0.25"/>
    <row r="102" spans="1:8" ht="15" customHeight="1" x14ac:dyDescent="0.25"/>
    <row r="103" spans="1:8" ht="15" customHeight="1" x14ac:dyDescent="0.25"/>
    <row r="104" spans="1:8" ht="15" customHeight="1" x14ac:dyDescent="0.25"/>
    <row r="105" spans="1:8" ht="15" customHeight="1" x14ac:dyDescent="0.25"/>
    <row r="106" spans="1:8" ht="15" customHeight="1" x14ac:dyDescent="0.25"/>
    <row r="107" spans="1:8" ht="15" customHeight="1" x14ac:dyDescent="0.25"/>
    <row r="108" spans="1:8" ht="15" customHeight="1" x14ac:dyDescent="0.25"/>
    <row r="109" spans="1:8" ht="15" customHeight="1" x14ac:dyDescent="0.25"/>
    <row r="110" spans="1:8" ht="15" customHeight="1" x14ac:dyDescent="0.25"/>
    <row r="111" spans="1:8" ht="15" customHeight="1" x14ac:dyDescent="0.25"/>
    <row r="112" spans="1:8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</sheetData>
  <mergeCells count="1">
    <mergeCell ref="A3:H4"/>
  </mergeCells>
  <pageMargins left="0.70866141732283472" right="0.70866141732283472" top="0.74803149606299213" bottom="0.74803149606299213" header="0.31496062992125984" footer="0.31496062992125984"/>
  <pageSetup paperSize="9" scale="59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97"/>
  <sheetViews>
    <sheetView topLeftCell="A10" workbookViewId="0">
      <selection activeCell="M32" sqref="M32"/>
    </sheetView>
  </sheetViews>
  <sheetFormatPr defaultRowHeight="15" x14ac:dyDescent="0.25"/>
  <cols>
    <col min="1" max="1" width="6" customWidth="1"/>
    <col min="2" max="2" width="11.5703125" style="1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3.28515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s="457" t="s">
        <v>2</v>
      </c>
      <c r="B3" s="457"/>
      <c r="C3" s="457"/>
      <c r="D3" s="457"/>
      <c r="E3" s="457"/>
      <c r="F3" s="457"/>
      <c r="G3" s="457"/>
      <c r="H3" s="457"/>
      <c r="I3" s="457"/>
    </row>
    <row r="4" spans="1:11" x14ac:dyDescent="0.25">
      <c r="A4" s="457"/>
      <c r="B4" s="457"/>
      <c r="C4" s="457"/>
      <c r="D4" s="457"/>
      <c r="E4" s="457"/>
      <c r="F4" s="457"/>
      <c r="G4" s="457"/>
      <c r="H4" s="457"/>
      <c r="I4" s="457"/>
    </row>
    <row r="5" spans="1:11" x14ac:dyDescent="0.25">
      <c r="A5" s="2"/>
      <c r="B5" s="3"/>
      <c r="C5" s="2"/>
      <c r="D5" s="2"/>
      <c r="E5" s="2"/>
      <c r="F5" s="2"/>
      <c r="G5" s="2"/>
      <c r="H5" s="2"/>
      <c r="I5" s="2"/>
    </row>
    <row r="7" spans="1:11" ht="27.75" customHeight="1" x14ac:dyDescent="0.25">
      <c r="A7" s="4" t="s">
        <v>3</v>
      </c>
      <c r="B7" s="5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1" ht="18" customHeight="1" x14ac:dyDescent="0.25">
      <c r="A8" s="7"/>
      <c r="B8" s="8">
        <v>45658</v>
      </c>
      <c r="C8" s="9" t="s">
        <v>11</v>
      </c>
      <c r="D8" s="10"/>
      <c r="E8" s="11"/>
      <c r="F8" s="12"/>
      <c r="G8" s="343"/>
      <c r="H8" s="7"/>
      <c r="I8" s="7"/>
    </row>
    <row r="9" spans="1:11" ht="18" customHeight="1" x14ac:dyDescent="0.25">
      <c r="A9" s="14">
        <v>1</v>
      </c>
      <c r="B9" s="8">
        <v>45660</v>
      </c>
      <c r="C9" s="15" t="s">
        <v>103</v>
      </c>
      <c r="D9" s="10" t="s">
        <v>12</v>
      </c>
      <c r="E9" s="16">
        <f>26*400+80</f>
        <v>10480</v>
      </c>
      <c r="F9" s="17"/>
      <c r="G9" s="18">
        <f t="shared" ref="G9:G55" si="0">+G8+E9-F9</f>
        <v>10480</v>
      </c>
      <c r="H9" s="18" t="s">
        <v>91</v>
      </c>
      <c r="I9" s="7" t="s">
        <v>90</v>
      </c>
    </row>
    <row r="10" spans="1:11" ht="18" customHeight="1" x14ac:dyDescent="0.25">
      <c r="A10" s="14">
        <f t="shared" ref="A10:A55" si="1">+A9+1</f>
        <v>2</v>
      </c>
      <c r="B10" s="8">
        <v>45664</v>
      </c>
      <c r="C10" s="15" t="s">
        <v>103</v>
      </c>
      <c r="D10" s="10" t="s">
        <v>12</v>
      </c>
      <c r="E10" s="16"/>
      <c r="F10" s="17">
        <v>420</v>
      </c>
      <c r="G10" s="18">
        <f t="shared" si="0"/>
        <v>10060</v>
      </c>
      <c r="H10" s="18" t="s">
        <v>91</v>
      </c>
      <c r="I10" s="7" t="s">
        <v>90</v>
      </c>
    </row>
    <row r="11" spans="1:11" s="25" customFormat="1" ht="18" customHeight="1" x14ac:dyDescent="0.25">
      <c r="A11" s="19">
        <f t="shared" si="1"/>
        <v>3</v>
      </c>
      <c r="B11" s="20">
        <v>45665</v>
      </c>
      <c r="C11" s="15" t="s">
        <v>103</v>
      </c>
      <c r="D11" s="21" t="s">
        <v>12</v>
      </c>
      <c r="E11" s="22"/>
      <c r="F11" s="23">
        <v>1380</v>
      </c>
      <c r="G11" s="24">
        <f t="shared" si="0"/>
        <v>8680</v>
      </c>
      <c r="H11" s="18" t="s">
        <v>91</v>
      </c>
      <c r="I11" s="7" t="s">
        <v>90</v>
      </c>
    </row>
    <row r="12" spans="1:11" ht="18" customHeight="1" x14ac:dyDescent="0.25">
      <c r="A12" s="14">
        <f t="shared" si="1"/>
        <v>4</v>
      </c>
      <c r="B12" s="8">
        <v>45666</v>
      </c>
      <c r="C12" s="15" t="s">
        <v>103</v>
      </c>
      <c r="D12" s="10" t="s">
        <v>12</v>
      </c>
      <c r="E12" s="16"/>
      <c r="F12" s="17">
        <v>1260</v>
      </c>
      <c r="G12" s="18">
        <f t="shared" si="0"/>
        <v>7420</v>
      </c>
      <c r="H12" s="18" t="s">
        <v>91</v>
      </c>
      <c r="I12" s="7" t="s">
        <v>90</v>
      </c>
      <c r="K12" s="26"/>
    </row>
    <row r="13" spans="1:11" ht="18" customHeight="1" x14ac:dyDescent="0.25">
      <c r="A13" s="14">
        <f t="shared" si="1"/>
        <v>5</v>
      </c>
      <c r="B13" s="8">
        <v>45667</v>
      </c>
      <c r="C13" s="15" t="s">
        <v>103</v>
      </c>
      <c r="D13" s="10" t="s">
        <v>12</v>
      </c>
      <c r="E13" s="16"/>
      <c r="F13" s="17">
        <v>1261</v>
      </c>
      <c r="G13" s="18">
        <f t="shared" si="0"/>
        <v>6159</v>
      </c>
      <c r="H13" s="18" t="s">
        <v>91</v>
      </c>
      <c r="I13" s="7" t="s">
        <v>90</v>
      </c>
    </row>
    <row r="14" spans="1:11" ht="18" customHeight="1" x14ac:dyDescent="0.25">
      <c r="A14" s="14">
        <f t="shared" si="1"/>
        <v>6</v>
      </c>
      <c r="B14" s="8">
        <v>45668</v>
      </c>
      <c r="C14" s="15" t="s">
        <v>103</v>
      </c>
      <c r="D14" s="10" t="s">
        <v>12</v>
      </c>
      <c r="E14" s="16"/>
      <c r="F14" s="27">
        <v>1572</v>
      </c>
      <c r="G14" s="18">
        <f t="shared" si="0"/>
        <v>4587</v>
      </c>
      <c r="H14" s="18" t="s">
        <v>91</v>
      </c>
      <c r="I14" s="7" t="s">
        <v>90</v>
      </c>
    </row>
    <row r="15" spans="1:11" ht="18" customHeight="1" x14ac:dyDescent="0.25">
      <c r="A15" s="14">
        <f t="shared" si="1"/>
        <v>7</v>
      </c>
      <c r="B15" s="8">
        <v>45759</v>
      </c>
      <c r="C15" s="15" t="s">
        <v>103</v>
      </c>
      <c r="D15" s="10" t="s">
        <v>12</v>
      </c>
      <c r="E15" s="16"/>
      <c r="F15" s="27">
        <v>420</v>
      </c>
      <c r="G15" s="18">
        <f t="shared" si="0"/>
        <v>4167</v>
      </c>
      <c r="H15" s="18" t="s">
        <v>91</v>
      </c>
      <c r="I15" s="7" t="s">
        <v>90</v>
      </c>
    </row>
    <row r="16" spans="1:11" ht="18" customHeight="1" x14ac:dyDescent="0.25">
      <c r="A16" s="14">
        <f t="shared" si="1"/>
        <v>8</v>
      </c>
      <c r="B16" s="8">
        <v>45762</v>
      </c>
      <c r="C16" s="15" t="s">
        <v>103</v>
      </c>
      <c r="D16" s="10" t="s">
        <v>12</v>
      </c>
      <c r="E16" s="16"/>
      <c r="F16" s="27">
        <v>720</v>
      </c>
      <c r="G16" s="18">
        <f t="shared" si="0"/>
        <v>3447</v>
      </c>
      <c r="H16" s="18" t="s">
        <v>91</v>
      </c>
      <c r="I16" s="7" t="s">
        <v>90</v>
      </c>
    </row>
    <row r="17" spans="1:15" ht="18" customHeight="1" x14ac:dyDescent="0.25">
      <c r="A17" s="14">
        <f t="shared" si="1"/>
        <v>9</v>
      </c>
      <c r="B17" s="8">
        <v>45763</v>
      </c>
      <c r="C17" s="15" t="s">
        <v>335</v>
      </c>
      <c r="D17" s="10" t="s">
        <v>12</v>
      </c>
      <c r="E17" s="16"/>
      <c r="F17" s="16">
        <v>360</v>
      </c>
      <c r="G17" s="18">
        <f t="shared" si="0"/>
        <v>3087</v>
      </c>
      <c r="H17" s="18"/>
      <c r="I17" s="7"/>
    </row>
    <row r="18" spans="1:15" ht="18" customHeight="1" x14ac:dyDescent="0.25">
      <c r="A18" s="14">
        <f t="shared" si="1"/>
        <v>10</v>
      </c>
      <c r="B18" s="8">
        <v>45764</v>
      </c>
      <c r="C18" s="15" t="s">
        <v>335</v>
      </c>
      <c r="D18" s="10" t="s">
        <v>12</v>
      </c>
      <c r="E18" s="16"/>
      <c r="F18" s="16">
        <f>18*60</f>
        <v>1080</v>
      </c>
      <c r="G18" s="18">
        <f t="shared" si="0"/>
        <v>2007</v>
      </c>
      <c r="H18" s="18" t="s">
        <v>91</v>
      </c>
      <c r="I18" s="7" t="s">
        <v>90</v>
      </c>
    </row>
    <row r="19" spans="1:15" ht="18" customHeight="1" x14ac:dyDescent="0.25">
      <c r="A19" s="14">
        <f t="shared" si="1"/>
        <v>11</v>
      </c>
      <c r="B19" s="8">
        <v>45772</v>
      </c>
      <c r="C19" s="15" t="s">
        <v>335</v>
      </c>
      <c r="D19" s="10" t="s">
        <v>12</v>
      </c>
      <c r="E19" s="16"/>
      <c r="F19" s="16">
        <v>540</v>
      </c>
      <c r="G19" s="18">
        <f t="shared" si="0"/>
        <v>1467</v>
      </c>
      <c r="H19" s="18"/>
      <c r="I19" s="7"/>
    </row>
    <row r="20" spans="1:15" ht="18" customHeight="1" x14ac:dyDescent="0.25">
      <c r="A20" s="14">
        <f t="shared" si="1"/>
        <v>12</v>
      </c>
      <c r="B20" s="8">
        <v>45775</v>
      </c>
      <c r="C20" s="15" t="s">
        <v>335</v>
      </c>
      <c r="D20" s="10" t="s">
        <v>12</v>
      </c>
      <c r="E20" s="30"/>
      <c r="F20" s="30">
        <v>780</v>
      </c>
      <c r="G20" s="18">
        <f t="shared" si="0"/>
        <v>687</v>
      </c>
      <c r="H20" s="18" t="s">
        <v>91</v>
      </c>
      <c r="I20" s="7" t="s">
        <v>90</v>
      </c>
    </row>
    <row r="21" spans="1:15" ht="18" customHeight="1" x14ac:dyDescent="0.25">
      <c r="A21" s="14">
        <f t="shared" si="1"/>
        <v>13</v>
      </c>
      <c r="B21" s="8">
        <v>45776</v>
      </c>
      <c r="C21" s="15" t="s">
        <v>335</v>
      </c>
      <c r="D21" s="10" t="s">
        <v>12</v>
      </c>
      <c r="E21" s="16"/>
      <c r="F21" s="16">
        <v>660</v>
      </c>
      <c r="G21" s="18">
        <f t="shared" si="0"/>
        <v>27</v>
      </c>
      <c r="H21" s="18" t="s">
        <v>91</v>
      </c>
      <c r="I21" s="7" t="s">
        <v>90</v>
      </c>
      <c r="M21" s="26"/>
    </row>
    <row r="22" spans="1:15" ht="18" customHeight="1" x14ac:dyDescent="0.25">
      <c r="A22" s="14">
        <f t="shared" si="1"/>
        <v>14</v>
      </c>
      <c r="B22" s="8">
        <v>45797</v>
      </c>
      <c r="C22" s="15" t="s">
        <v>335</v>
      </c>
      <c r="D22" s="10" t="s">
        <v>12</v>
      </c>
      <c r="E22" s="16">
        <v>10500</v>
      </c>
      <c r="F22" s="27"/>
      <c r="G22" s="18">
        <f t="shared" si="0"/>
        <v>10527</v>
      </c>
      <c r="H22" s="18" t="s">
        <v>91</v>
      </c>
      <c r="I22" s="7" t="s">
        <v>90</v>
      </c>
    </row>
    <row r="23" spans="1:15" ht="18" customHeight="1" x14ac:dyDescent="0.25">
      <c r="A23" s="14">
        <f t="shared" si="1"/>
        <v>15</v>
      </c>
      <c r="B23" s="8">
        <v>45805</v>
      </c>
      <c r="C23" s="15" t="s">
        <v>335</v>
      </c>
      <c r="D23" s="10" t="s">
        <v>12</v>
      </c>
      <c r="E23" s="16"/>
      <c r="F23" s="27">
        <v>1720</v>
      </c>
      <c r="G23" s="18">
        <f t="shared" si="0"/>
        <v>8807</v>
      </c>
      <c r="H23" s="18" t="s">
        <v>91</v>
      </c>
      <c r="I23" s="7" t="s">
        <v>90</v>
      </c>
    </row>
    <row r="24" spans="1:15" ht="18" customHeight="1" x14ac:dyDescent="0.25">
      <c r="A24" s="14">
        <f t="shared" si="1"/>
        <v>16</v>
      </c>
      <c r="B24" s="8">
        <v>45806</v>
      </c>
      <c r="C24" s="15" t="s">
        <v>335</v>
      </c>
      <c r="D24" s="10" t="s">
        <v>12</v>
      </c>
      <c r="E24" s="32"/>
      <c r="F24" s="27">
        <v>1140</v>
      </c>
      <c r="G24" s="18">
        <f t="shared" si="0"/>
        <v>7667</v>
      </c>
      <c r="H24" s="18" t="s">
        <v>91</v>
      </c>
      <c r="I24" s="7" t="s">
        <v>90</v>
      </c>
    </row>
    <row r="25" spans="1:15" ht="18" customHeight="1" x14ac:dyDescent="0.25">
      <c r="A25" s="14">
        <f t="shared" si="1"/>
        <v>17</v>
      </c>
      <c r="B25" s="8">
        <v>45807</v>
      </c>
      <c r="C25" s="15" t="s">
        <v>335</v>
      </c>
      <c r="D25" s="10" t="s">
        <v>12</v>
      </c>
      <c r="E25" s="32"/>
      <c r="F25" s="27">
        <v>1560</v>
      </c>
      <c r="G25" s="18">
        <f t="shared" si="0"/>
        <v>6107</v>
      </c>
      <c r="H25" s="18" t="s">
        <v>91</v>
      </c>
      <c r="I25" s="7" t="s">
        <v>90</v>
      </c>
    </row>
    <row r="26" spans="1:15" ht="18" customHeight="1" x14ac:dyDescent="0.25">
      <c r="A26" s="14">
        <f t="shared" si="1"/>
        <v>18</v>
      </c>
      <c r="B26" s="8">
        <v>45809</v>
      </c>
      <c r="C26" s="15" t="s">
        <v>335</v>
      </c>
      <c r="D26" s="10" t="s">
        <v>12</v>
      </c>
      <c r="E26" s="32"/>
      <c r="F26" s="27">
        <v>300</v>
      </c>
      <c r="G26" s="18">
        <f t="shared" si="0"/>
        <v>5807</v>
      </c>
      <c r="H26" s="18" t="s">
        <v>91</v>
      </c>
      <c r="I26" s="7" t="s">
        <v>90</v>
      </c>
      <c r="J26" s="26"/>
    </row>
    <row r="27" spans="1:15" ht="18" customHeight="1" x14ac:dyDescent="0.25">
      <c r="A27" s="14">
        <f t="shared" si="1"/>
        <v>19</v>
      </c>
      <c r="B27" s="8"/>
      <c r="C27" s="15" t="s">
        <v>335</v>
      </c>
      <c r="D27" s="10" t="s">
        <v>12</v>
      </c>
      <c r="E27" s="32"/>
      <c r="F27" s="27"/>
      <c r="G27" s="18">
        <f t="shared" si="0"/>
        <v>5807</v>
      </c>
      <c r="H27" s="18" t="s">
        <v>91</v>
      </c>
      <c r="I27" s="7" t="s">
        <v>90</v>
      </c>
    </row>
    <row r="28" spans="1:15" ht="18" customHeight="1" x14ac:dyDescent="0.25">
      <c r="A28" s="14">
        <f t="shared" si="1"/>
        <v>20</v>
      </c>
      <c r="B28" s="8"/>
      <c r="C28" s="15" t="s">
        <v>335</v>
      </c>
      <c r="D28" s="10" t="s">
        <v>12</v>
      </c>
      <c r="E28" s="32"/>
      <c r="F28" s="27"/>
      <c r="G28" s="18">
        <f t="shared" si="0"/>
        <v>5807</v>
      </c>
      <c r="H28" s="18" t="s">
        <v>91</v>
      </c>
      <c r="I28" s="7" t="s">
        <v>90</v>
      </c>
    </row>
    <row r="29" spans="1:15" ht="18" customHeight="1" x14ac:dyDescent="0.25">
      <c r="A29" s="14">
        <f t="shared" si="1"/>
        <v>21</v>
      </c>
      <c r="B29" s="8"/>
      <c r="C29" s="15" t="s">
        <v>335</v>
      </c>
      <c r="D29" s="10" t="s">
        <v>12</v>
      </c>
      <c r="E29" s="32"/>
      <c r="F29" s="27"/>
      <c r="G29" s="18">
        <f t="shared" si="0"/>
        <v>5807</v>
      </c>
      <c r="H29" s="18" t="s">
        <v>91</v>
      </c>
      <c r="I29" s="7" t="s">
        <v>90</v>
      </c>
    </row>
    <row r="30" spans="1:15" ht="18" customHeight="1" x14ac:dyDescent="0.25">
      <c r="A30" s="14">
        <f t="shared" si="1"/>
        <v>22</v>
      </c>
      <c r="B30" s="174"/>
      <c r="C30" s="15" t="s">
        <v>335</v>
      </c>
      <c r="D30" s="375" t="s">
        <v>12</v>
      </c>
      <c r="E30" s="175"/>
      <c r="F30" s="31"/>
      <c r="G30" s="18">
        <f t="shared" si="0"/>
        <v>5807</v>
      </c>
      <c r="H30" s="18" t="s">
        <v>91</v>
      </c>
      <c r="I30" s="7" t="s">
        <v>90</v>
      </c>
    </row>
    <row r="31" spans="1:15" ht="18" customHeight="1" x14ac:dyDescent="0.25">
      <c r="A31" s="14">
        <f t="shared" si="1"/>
        <v>23</v>
      </c>
      <c r="B31" s="8"/>
      <c r="C31" s="15" t="s">
        <v>335</v>
      </c>
      <c r="D31" s="10" t="s">
        <v>12</v>
      </c>
      <c r="E31" s="32"/>
      <c r="F31" s="27"/>
      <c r="G31" s="18">
        <f t="shared" si="0"/>
        <v>5807</v>
      </c>
      <c r="H31" s="18" t="s">
        <v>91</v>
      </c>
      <c r="I31" s="7" t="s">
        <v>90</v>
      </c>
      <c r="O31">
        <f>1478-660</f>
        <v>818</v>
      </c>
    </row>
    <row r="32" spans="1:15" ht="18" customHeight="1" x14ac:dyDescent="0.25">
      <c r="A32" s="14">
        <f t="shared" si="1"/>
        <v>24</v>
      </c>
      <c r="B32" s="8"/>
      <c r="C32" s="15" t="s">
        <v>335</v>
      </c>
      <c r="D32" s="10" t="s">
        <v>12</v>
      </c>
      <c r="E32" s="32"/>
      <c r="F32" s="27"/>
      <c r="G32" s="18">
        <f t="shared" si="0"/>
        <v>5807</v>
      </c>
      <c r="H32" s="18" t="s">
        <v>91</v>
      </c>
      <c r="I32" s="7" t="s">
        <v>90</v>
      </c>
    </row>
    <row r="33" spans="1:9" ht="18" customHeight="1" x14ac:dyDescent="0.25">
      <c r="A33" s="14">
        <f t="shared" si="1"/>
        <v>25</v>
      </c>
      <c r="B33" s="8"/>
      <c r="C33" s="15" t="s">
        <v>335</v>
      </c>
      <c r="D33" s="10" t="s">
        <v>12</v>
      </c>
      <c r="E33" s="32"/>
      <c r="F33" s="27"/>
      <c r="G33" s="18">
        <f t="shared" si="0"/>
        <v>5807</v>
      </c>
      <c r="H33" s="18" t="s">
        <v>91</v>
      </c>
      <c r="I33" s="7" t="s">
        <v>90</v>
      </c>
    </row>
    <row r="34" spans="1:9" ht="18" customHeight="1" x14ac:dyDescent="0.25">
      <c r="A34" s="14">
        <f t="shared" si="1"/>
        <v>26</v>
      </c>
      <c r="B34" s="8"/>
      <c r="C34" s="15" t="s">
        <v>335</v>
      </c>
      <c r="D34" s="10" t="s">
        <v>12</v>
      </c>
      <c r="E34" s="32"/>
      <c r="F34" s="27"/>
      <c r="G34" s="18">
        <f t="shared" si="0"/>
        <v>5807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 t="s">
        <v>335</v>
      </c>
      <c r="D35" s="10" t="s">
        <v>12</v>
      </c>
      <c r="E35" s="32"/>
      <c r="F35" s="27"/>
      <c r="G35" s="18">
        <f t="shared" si="0"/>
        <v>5807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 t="s">
        <v>335</v>
      </c>
      <c r="D36" s="10" t="s">
        <v>12</v>
      </c>
      <c r="E36" s="32"/>
      <c r="F36" s="27"/>
      <c r="G36" s="18">
        <f t="shared" si="0"/>
        <v>5807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 t="s">
        <v>335</v>
      </c>
      <c r="D37" s="10" t="s">
        <v>12</v>
      </c>
      <c r="E37" s="32"/>
      <c r="F37" s="27"/>
      <c r="G37" s="18">
        <f t="shared" si="0"/>
        <v>5807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27"/>
      <c r="G38" s="18">
        <f t="shared" si="0"/>
        <v>5807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5807</v>
      </c>
      <c r="H39" s="28"/>
      <c r="I39" s="7"/>
    </row>
    <row r="40" spans="1:9" ht="18" customHeight="1" x14ac:dyDescent="0.25">
      <c r="A40" s="14">
        <f t="shared" si="1"/>
        <v>32</v>
      </c>
      <c r="B40" s="8"/>
      <c r="C40" s="15"/>
      <c r="D40" s="10" t="s">
        <v>12</v>
      </c>
      <c r="E40" s="32"/>
      <c r="F40" s="27"/>
      <c r="G40" s="18">
        <f t="shared" si="0"/>
        <v>5807</v>
      </c>
      <c r="H40" s="28"/>
      <c r="I40" s="7"/>
    </row>
    <row r="41" spans="1:9" ht="18" customHeight="1" x14ac:dyDescent="0.25">
      <c r="A41" s="14">
        <f t="shared" si="1"/>
        <v>33</v>
      </c>
      <c r="B41" s="8"/>
      <c r="C41" s="15"/>
      <c r="D41" s="10" t="s">
        <v>12</v>
      </c>
      <c r="E41" s="32"/>
      <c r="F41" s="27"/>
      <c r="G41" s="18">
        <f t="shared" si="0"/>
        <v>5807</v>
      </c>
      <c r="H41" s="28"/>
      <c r="I41" s="7"/>
    </row>
    <row r="42" spans="1:9" ht="18" customHeight="1" x14ac:dyDescent="0.25">
      <c r="A42" s="14">
        <f t="shared" si="1"/>
        <v>34</v>
      </c>
      <c r="B42" s="8"/>
      <c r="C42" s="15"/>
      <c r="D42" s="10" t="s">
        <v>12</v>
      </c>
      <c r="E42" s="32"/>
      <c r="F42" s="27"/>
      <c r="G42" s="18">
        <f t="shared" si="0"/>
        <v>5807</v>
      </c>
      <c r="H42" s="28"/>
      <c r="I42" s="7"/>
    </row>
    <row r="43" spans="1:9" ht="18" customHeight="1" x14ac:dyDescent="0.25">
      <c r="A43" s="14">
        <f t="shared" si="1"/>
        <v>35</v>
      </c>
      <c r="B43" s="8"/>
      <c r="C43" s="15"/>
      <c r="D43" s="10" t="s">
        <v>12</v>
      </c>
      <c r="E43" s="32"/>
      <c r="F43" s="27"/>
      <c r="G43" s="18">
        <f t="shared" si="0"/>
        <v>5807</v>
      </c>
      <c r="H43" s="28"/>
      <c r="I43" s="7"/>
    </row>
    <row r="44" spans="1:9" ht="18" customHeight="1" x14ac:dyDescent="0.25">
      <c r="A44" s="14">
        <f t="shared" si="1"/>
        <v>36</v>
      </c>
      <c r="B44" s="8"/>
      <c r="C44" s="15"/>
      <c r="D44" s="10" t="s">
        <v>12</v>
      </c>
      <c r="E44" s="32"/>
      <c r="F44" s="27"/>
      <c r="G44" s="18">
        <f t="shared" si="0"/>
        <v>5807</v>
      </c>
      <c r="H44" s="28"/>
      <c r="I44" s="7"/>
    </row>
    <row r="45" spans="1:9" ht="18" customHeight="1" x14ac:dyDescent="0.25">
      <c r="A45" s="14">
        <f t="shared" si="1"/>
        <v>37</v>
      </c>
      <c r="B45" s="8"/>
      <c r="C45" s="15"/>
      <c r="D45" s="10" t="s">
        <v>12</v>
      </c>
      <c r="E45" s="32"/>
      <c r="F45" s="27"/>
      <c r="G45" s="18">
        <f t="shared" si="0"/>
        <v>5807</v>
      </c>
      <c r="H45" s="28"/>
      <c r="I45" s="7"/>
    </row>
    <row r="46" spans="1:9" ht="18" customHeight="1" x14ac:dyDescent="0.25">
      <c r="A46" s="14">
        <f t="shared" si="1"/>
        <v>38</v>
      </c>
      <c r="B46" s="8"/>
      <c r="C46" s="15"/>
      <c r="D46" s="10" t="s">
        <v>12</v>
      </c>
      <c r="E46" s="32"/>
      <c r="F46" s="27"/>
      <c r="G46" s="18">
        <f t="shared" si="0"/>
        <v>5807</v>
      </c>
      <c r="H46" s="28"/>
      <c r="I46" s="7"/>
    </row>
    <row r="47" spans="1:9" ht="18" customHeight="1" x14ac:dyDescent="0.25">
      <c r="A47" s="14">
        <f t="shared" si="1"/>
        <v>39</v>
      </c>
      <c r="B47" s="8"/>
      <c r="C47" s="15"/>
      <c r="D47" s="10" t="s">
        <v>12</v>
      </c>
      <c r="E47" s="32"/>
      <c r="F47" s="27"/>
      <c r="G47" s="18">
        <f t="shared" si="0"/>
        <v>5807</v>
      </c>
      <c r="H47" s="28"/>
      <c r="I47" s="7"/>
    </row>
    <row r="48" spans="1:9" ht="18" customHeight="1" x14ac:dyDescent="0.25">
      <c r="A48" s="14">
        <f t="shared" si="1"/>
        <v>40</v>
      </c>
      <c r="B48" s="8"/>
      <c r="C48" s="15"/>
      <c r="D48" s="10" t="s">
        <v>12</v>
      </c>
      <c r="E48" s="32"/>
      <c r="F48" s="27"/>
      <c r="G48" s="18">
        <f t="shared" si="0"/>
        <v>5807</v>
      </c>
      <c r="H48" s="28"/>
      <c r="I48" s="7"/>
    </row>
    <row r="49" spans="1:9" ht="18" customHeight="1" x14ac:dyDescent="0.25">
      <c r="A49" s="14">
        <f t="shared" si="1"/>
        <v>41</v>
      </c>
      <c r="B49" s="8"/>
      <c r="C49" s="15"/>
      <c r="D49" s="10" t="s">
        <v>12</v>
      </c>
      <c r="E49" s="32"/>
      <c r="F49" s="27"/>
      <c r="G49" s="18">
        <f t="shared" si="0"/>
        <v>5807</v>
      </c>
      <c r="H49" s="28"/>
      <c r="I49" s="7"/>
    </row>
    <row r="50" spans="1:9" ht="18" customHeight="1" x14ac:dyDescent="0.25">
      <c r="A50" s="14">
        <f t="shared" si="1"/>
        <v>42</v>
      </c>
      <c r="B50" s="8"/>
      <c r="C50" s="15"/>
      <c r="D50" s="10" t="s">
        <v>12</v>
      </c>
      <c r="E50" s="32"/>
      <c r="F50" s="27"/>
      <c r="G50" s="18">
        <f t="shared" si="0"/>
        <v>5807</v>
      </c>
      <c r="H50" s="28"/>
      <c r="I50" s="7"/>
    </row>
    <row r="51" spans="1:9" ht="18" customHeight="1" x14ac:dyDescent="0.25">
      <c r="A51" s="14">
        <f t="shared" si="1"/>
        <v>43</v>
      </c>
      <c r="B51" s="8"/>
      <c r="C51" s="15"/>
      <c r="D51" s="10" t="s">
        <v>12</v>
      </c>
      <c r="E51" s="32"/>
      <c r="F51" s="27"/>
      <c r="G51" s="18">
        <f t="shared" si="0"/>
        <v>5807</v>
      </c>
      <c r="H51" s="28"/>
      <c r="I51" s="29"/>
    </row>
    <row r="52" spans="1:9" ht="18" customHeight="1" x14ac:dyDescent="0.25">
      <c r="A52" s="14">
        <f t="shared" si="1"/>
        <v>44</v>
      </c>
      <c r="B52" s="8"/>
      <c r="C52" s="15"/>
      <c r="D52" s="10" t="s">
        <v>12</v>
      </c>
      <c r="E52" s="32"/>
      <c r="F52" s="27"/>
      <c r="G52" s="18">
        <f t="shared" si="0"/>
        <v>5807</v>
      </c>
      <c r="H52" s="28"/>
      <c r="I52" s="29"/>
    </row>
    <row r="53" spans="1:9" ht="18" customHeight="1" x14ac:dyDescent="0.25">
      <c r="A53" s="14">
        <f t="shared" si="1"/>
        <v>45</v>
      </c>
      <c r="B53" s="8"/>
      <c r="C53" s="15"/>
      <c r="D53" s="10" t="s">
        <v>12</v>
      </c>
      <c r="E53" s="32"/>
      <c r="F53" s="27"/>
      <c r="G53" s="18">
        <f t="shared" si="0"/>
        <v>5807</v>
      </c>
      <c r="H53" s="28"/>
      <c r="I53" s="29"/>
    </row>
    <row r="54" spans="1:9" ht="18" customHeight="1" x14ac:dyDescent="0.25">
      <c r="A54" s="14">
        <f t="shared" si="1"/>
        <v>46</v>
      </c>
      <c r="B54" s="8"/>
      <c r="C54" s="15"/>
      <c r="D54" s="10" t="s">
        <v>12</v>
      </c>
      <c r="E54" s="32"/>
      <c r="F54" s="27"/>
      <c r="G54" s="18">
        <f t="shared" si="0"/>
        <v>5807</v>
      </c>
      <c r="H54" s="28"/>
      <c r="I54" s="29"/>
    </row>
    <row r="55" spans="1:9" ht="18" customHeight="1" x14ac:dyDescent="0.25">
      <c r="A55" s="14">
        <f t="shared" si="1"/>
        <v>47</v>
      </c>
      <c r="B55" s="8"/>
      <c r="C55" s="15"/>
      <c r="D55" s="10" t="s">
        <v>12</v>
      </c>
      <c r="E55" s="32"/>
      <c r="F55" s="27"/>
      <c r="G55" s="18">
        <f t="shared" si="0"/>
        <v>5807</v>
      </c>
      <c r="H55" s="28"/>
      <c r="I55" s="29"/>
    </row>
    <row r="56" spans="1:9" ht="15" customHeight="1" x14ac:dyDescent="0.25">
      <c r="A56" s="7"/>
      <c r="B56" s="33"/>
      <c r="C56" s="34" t="s">
        <v>13</v>
      </c>
      <c r="D56" s="7"/>
      <c r="E56" s="35">
        <f>SUM(E9:E55)</f>
        <v>20980</v>
      </c>
      <c r="F56" s="35">
        <f>SUM(F9:F55)</f>
        <v>15173</v>
      </c>
      <c r="G56" s="35">
        <f>+E56-F56+G8</f>
        <v>5807</v>
      </c>
      <c r="H56" s="35"/>
      <c r="I56" s="36"/>
    </row>
    <row r="57" spans="1:9" ht="15" customHeight="1" x14ac:dyDescent="0.25">
      <c r="E57" s="26"/>
      <c r="F57" s="26"/>
    </row>
    <row r="58" spans="1:9" ht="15" customHeight="1" x14ac:dyDescent="0.25"/>
    <row r="59" spans="1:9" ht="15" customHeight="1" x14ac:dyDescent="0.25"/>
    <row r="60" spans="1:9" ht="15" customHeight="1" x14ac:dyDescent="0.25"/>
    <row r="61" spans="1:9" ht="15" customHeight="1" x14ac:dyDescent="0.25"/>
    <row r="62" spans="1:9" ht="15" customHeight="1" x14ac:dyDescent="0.25"/>
    <row r="63" spans="1:9" ht="15" customHeight="1" x14ac:dyDescent="0.25"/>
    <row r="64" spans="1:9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</sheetData>
  <mergeCells count="1">
    <mergeCell ref="A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E743-E905-4247-86CD-05EF29720006}">
  <sheetPr codeName="Sheet3"/>
  <dimension ref="A1:M97"/>
  <sheetViews>
    <sheetView workbookViewId="0">
      <selection activeCell="K16" sqref="K16"/>
    </sheetView>
  </sheetViews>
  <sheetFormatPr defaultRowHeight="15" x14ac:dyDescent="0.25"/>
  <cols>
    <col min="1" max="1" width="6" customWidth="1"/>
    <col min="2" max="2" width="11.5703125" style="1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3.28515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s="457" t="s">
        <v>2</v>
      </c>
      <c r="B3" s="457"/>
      <c r="C3" s="457"/>
      <c r="D3" s="457"/>
      <c r="E3" s="457"/>
      <c r="F3" s="457"/>
      <c r="G3" s="457"/>
      <c r="H3" s="457"/>
      <c r="I3" s="457"/>
    </row>
    <row r="4" spans="1:11" x14ac:dyDescent="0.25">
      <c r="A4" s="457"/>
      <c r="B4" s="457"/>
      <c r="C4" s="457"/>
      <c r="D4" s="457"/>
      <c r="E4" s="457"/>
      <c r="F4" s="457"/>
      <c r="G4" s="457"/>
      <c r="H4" s="457"/>
      <c r="I4" s="457"/>
    </row>
    <row r="5" spans="1:11" x14ac:dyDescent="0.25">
      <c r="A5" s="2"/>
      <c r="B5" s="3"/>
      <c r="C5" s="2"/>
      <c r="D5" s="2"/>
      <c r="E5" s="2"/>
      <c r="F5" s="2"/>
      <c r="G5" s="2"/>
      <c r="H5" s="2"/>
      <c r="I5" s="2"/>
    </row>
    <row r="7" spans="1:11" ht="27.75" customHeight="1" x14ac:dyDescent="0.25">
      <c r="A7" s="4" t="s">
        <v>3</v>
      </c>
      <c r="B7" s="5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1" ht="18" customHeight="1" x14ac:dyDescent="0.25">
      <c r="A8" s="7"/>
      <c r="B8" s="8">
        <v>45658</v>
      </c>
      <c r="C8" s="9" t="s">
        <v>11</v>
      </c>
      <c r="D8" s="10"/>
      <c r="E8" s="11"/>
      <c r="F8" s="12"/>
      <c r="G8" s="343">
        <v>4</v>
      </c>
      <c r="H8" s="7"/>
      <c r="I8" s="7"/>
    </row>
    <row r="9" spans="1:11" ht="18" customHeight="1" x14ac:dyDescent="0.25">
      <c r="A9" s="14">
        <v>1</v>
      </c>
      <c r="B9" s="8"/>
      <c r="C9" s="15" t="s">
        <v>103</v>
      </c>
      <c r="D9" s="10" t="s">
        <v>12</v>
      </c>
      <c r="E9" s="16"/>
      <c r="F9" s="17"/>
      <c r="G9" s="18">
        <f t="shared" ref="G9:G55" si="0">+G8+E9-F9</f>
        <v>4</v>
      </c>
      <c r="H9" s="18" t="s">
        <v>91</v>
      </c>
      <c r="I9" s="7" t="s">
        <v>90</v>
      </c>
    </row>
    <row r="10" spans="1:11" ht="18" customHeight="1" x14ac:dyDescent="0.25">
      <c r="A10" s="14">
        <f t="shared" ref="A10:A55" si="1">+A9+1</f>
        <v>2</v>
      </c>
      <c r="B10" s="8"/>
      <c r="C10" s="15" t="s">
        <v>103</v>
      </c>
      <c r="D10" s="10" t="s">
        <v>12</v>
      </c>
      <c r="E10" s="16"/>
      <c r="F10" s="17"/>
      <c r="G10" s="18">
        <f t="shared" si="0"/>
        <v>4</v>
      </c>
      <c r="H10" s="18" t="s">
        <v>91</v>
      </c>
      <c r="I10" s="7" t="s">
        <v>90</v>
      </c>
    </row>
    <row r="11" spans="1:11" s="25" customFormat="1" ht="18" customHeight="1" x14ac:dyDescent="0.25">
      <c r="A11" s="19">
        <f t="shared" si="1"/>
        <v>3</v>
      </c>
      <c r="B11" s="20"/>
      <c r="C11" s="15" t="s">
        <v>103</v>
      </c>
      <c r="D11" s="21" t="s">
        <v>12</v>
      </c>
      <c r="E11" s="22"/>
      <c r="F11" s="23"/>
      <c r="G11" s="24">
        <f t="shared" si="0"/>
        <v>4</v>
      </c>
      <c r="H11" s="18" t="s">
        <v>91</v>
      </c>
      <c r="I11" s="7" t="s">
        <v>90</v>
      </c>
    </row>
    <row r="12" spans="1:11" ht="18" customHeight="1" x14ac:dyDescent="0.25">
      <c r="A12" s="14">
        <f t="shared" si="1"/>
        <v>4</v>
      </c>
      <c r="B12" s="8"/>
      <c r="C12" s="15" t="s">
        <v>103</v>
      </c>
      <c r="D12" s="10" t="s">
        <v>12</v>
      </c>
      <c r="E12" s="16"/>
      <c r="F12" s="17"/>
      <c r="G12" s="18">
        <f t="shared" si="0"/>
        <v>4</v>
      </c>
      <c r="H12" s="18" t="s">
        <v>91</v>
      </c>
      <c r="I12" s="7" t="s">
        <v>90</v>
      </c>
      <c r="K12" s="26"/>
    </row>
    <row r="13" spans="1:11" ht="18" customHeight="1" x14ac:dyDescent="0.25">
      <c r="A13" s="14">
        <f t="shared" si="1"/>
        <v>5</v>
      </c>
      <c r="B13" s="8"/>
      <c r="C13" s="15" t="s">
        <v>103</v>
      </c>
      <c r="D13" s="10" t="s">
        <v>12</v>
      </c>
      <c r="E13" s="16"/>
      <c r="F13" s="17"/>
      <c r="G13" s="18">
        <f t="shared" si="0"/>
        <v>4</v>
      </c>
      <c r="H13" s="18" t="s">
        <v>91</v>
      </c>
      <c r="I13" s="7" t="s">
        <v>90</v>
      </c>
    </row>
    <row r="14" spans="1:11" ht="18" customHeight="1" x14ac:dyDescent="0.25">
      <c r="A14" s="14">
        <f t="shared" si="1"/>
        <v>6</v>
      </c>
      <c r="B14" s="8"/>
      <c r="C14" s="15" t="s">
        <v>103</v>
      </c>
      <c r="D14" s="10" t="s">
        <v>12</v>
      </c>
      <c r="E14" s="16"/>
      <c r="F14" s="27"/>
      <c r="G14" s="18">
        <f t="shared" si="0"/>
        <v>4</v>
      </c>
      <c r="H14" s="18" t="s">
        <v>91</v>
      </c>
      <c r="I14" s="7" t="s">
        <v>90</v>
      </c>
    </row>
    <row r="15" spans="1:11" ht="18" customHeight="1" x14ac:dyDescent="0.25">
      <c r="A15" s="14">
        <f t="shared" si="1"/>
        <v>7</v>
      </c>
      <c r="B15" s="8"/>
      <c r="C15" s="15" t="s">
        <v>103</v>
      </c>
      <c r="D15" s="10" t="s">
        <v>12</v>
      </c>
      <c r="E15" s="16"/>
      <c r="F15" s="27"/>
      <c r="G15" s="18">
        <f t="shared" si="0"/>
        <v>4</v>
      </c>
      <c r="H15" s="18" t="s">
        <v>91</v>
      </c>
      <c r="I15" s="7" t="s">
        <v>90</v>
      </c>
    </row>
    <row r="16" spans="1:11" ht="18" customHeight="1" x14ac:dyDescent="0.25">
      <c r="A16" s="14">
        <f t="shared" si="1"/>
        <v>8</v>
      </c>
      <c r="B16" s="8"/>
      <c r="C16" s="15" t="s">
        <v>103</v>
      </c>
      <c r="D16" s="10" t="s">
        <v>12</v>
      </c>
      <c r="E16" s="16"/>
      <c r="F16" s="27"/>
      <c r="G16" s="18">
        <f t="shared" si="0"/>
        <v>4</v>
      </c>
      <c r="H16" s="18" t="s">
        <v>91</v>
      </c>
      <c r="I16" s="7" t="s">
        <v>90</v>
      </c>
    </row>
    <row r="17" spans="1:13" ht="18" customHeight="1" x14ac:dyDescent="0.25">
      <c r="A17" s="14">
        <f t="shared" si="1"/>
        <v>9</v>
      </c>
      <c r="B17" s="8"/>
      <c r="C17" s="15" t="s">
        <v>103</v>
      </c>
      <c r="D17" s="10" t="s">
        <v>12</v>
      </c>
      <c r="E17" s="16"/>
      <c r="F17" s="16"/>
      <c r="G17" s="18">
        <f t="shared" si="0"/>
        <v>4</v>
      </c>
      <c r="H17" s="18"/>
      <c r="I17" s="7"/>
    </row>
    <row r="18" spans="1:13" ht="18" customHeight="1" x14ac:dyDescent="0.25">
      <c r="A18" s="14">
        <f t="shared" si="1"/>
        <v>10</v>
      </c>
      <c r="B18" s="8"/>
      <c r="C18" s="15" t="s">
        <v>103</v>
      </c>
      <c r="D18" s="10" t="s">
        <v>12</v>
      </c>
      <c r="E18" s="16"/>
      <c r="F18" s="16"/>
      <c r="G18" s="18">
        <f t="shared" si="0"/>
        <v>4</v>
      </c>
      <c r="H18" s="18" t="s">
        <v>91</v>
      </c>
      <c r="I18" s="7" t="s">
        <v>90</v>
      </c>
    </row>
    <row r="19" spans="1:13" ht="18" customHeight="1" x14ac:dyDescent="0.25">
      <c r="A19" s="14">
        <f t="shared" si="1"/>
        <v>11</v>
      </c>
      <c r="B19" s="8"/>
      <c r="C19" s="15" t="s">
        <v>103</v>
      </c>
      <c r="D19" s="10" t="s">
        <v>12</v>
      </c>
      <c r="E19" s="30"/>
      <c r="F19" s="30"/>
      <c r="G19" s="18">
        <f t="shared" si="0"/>
        <v>4</v>
      </c>
      <c r="H19" s="18" t="s">
        <v>91</v>
      </c>
      <c r="I19" s="7" t="s">
        <v>90</v>
      </c>
    </row>
    <row r="20" spans="1:13" ht="18" customHeight="1" x14ac:dyDescent="0.25">
      <c r="A20" s="14">
        <f t="shared" si="1"/>
        <v>12</v>
      </c>
      <c r="B20" s="8"/>
      <c r="C20" s="15" t="s">
        <v>103</v>
      </c>
      <c r="D20" s="10" t="s">
        <v>12</v>
      </c>
      <c r="E20" s="16"/>
      <c r="F20" s="16"/>
      <c r="G20" s="18">
        <f t="shared" si="0"/>
        <v>4</v>
      </c>
      <c r="H20" s="18" t="s">
        <v>91</v>
      </c>
      <c r="I20" s="7" t="s">
        <v>90</v>
      </c>
      <c r="M20" s="26"/>
    </row>
    <row r="21" spans="1:13" ht="18" customHeight="1" x14ac:dyDescent="0.25">
      <c r="A21" s="14">
        <f t="shared" si="1"/>
        <v>13</v>
      </c>
      <c r="B21" s="8"/>
      <c r="C21" s="15" t="s">
        <v>103</v>
      </c>
      <c r="D21" s="10" t="s">
        <v>12</v>
      </c>
      <c r="E21" s="16"/>
      <c r="F21" s="27"/>
      <c r="G21" s="18">
        <f t="shared" si="0"/>
        <v>4</v>
      </c>
      <c r="H21" s="18" t="s">
        <v>91</v>
      </c>
      <c r="I21" s="7" t="s">
        <v>90</v>
      </c>
    </row>
    <row r="22" spans="1:13" ht="18" customHeight="1" x14ac:dyDescent="0.25">
      <c r="A22" s="14">
        <f t="shared" si="1"/>
        <v>14</v>
      </c>
      <c r="B22" s="8"/>
      <c r="C22" s="15" t="s">
        <v>103</v>
      </c>
      <c r="D22" s="10" t="s">
        <v>12</v>
      </c>
      <c r="E22" s="16"/>
      <c r="F22" s="27"/>
      <c r="G22" s="18">
        <f t="shared" si="0"/>
        <v>4</v>
      </c>
      <c r="H22" s="18" t="s">
        <v>91</v>
      </c>
      <c r="I22" s="7" t="s">
        <v>90</v>
      </c>
    </row>
    <row r="23" spans="1:13" ht="18" customHeight="1" x14ac:dyDescent="0.25">
      <c r="A23" s="14">
        <f t="shared" si="1"/>
        <v>15</v>
      </c>
      <c r="B23" s="8"/>
      <c r="C23" s="15" t="s">
        <v>103</v>
      </c>
      <c r="D23" s="10" t="s">
        <v>12</v>
      </c>
      <c r="E23" s="32"/>
      <c r="F23" s="27"/>
      <c r="G23" s="18">
        <f t="shared" si="0"/>
        <v>4</v>
      </c>
      <c r="H23" s="18"/>
      <c r="I23" s="7"/>
    </row>
    <row r="24" spans="1:13" ht="18" customHeight="1" x14ac:dyDescent="0.25">
      <c r="A24" s="14">
        <f t="shared" si="1"/>
        <v>16</v>
      </c>
      <c r="B24" s="8"/>
      <c r="C24" s="15" t="s">
        <v>103</v>
      </c>
      <c r="D24" s="10" t="s">
        <v>12</v>
      </c>
      <c r="E24" s="32"/>
      <c r="F24" s="27"/>
      <c r="G24" s="18">
        <f t="shared" si="0"/>
        <v>4</v>
      </c>
      <c r="H24" s="18"/>
      <c r="I24" s="7"/>
    </row>
    <row r="25" spans="1:13" ht="18" customHeight="1" x14ac:dyDescent="0.25">
      <c r="A25" s="14">
        <f t="shared" si="1"/>
        <v>17</v>
      </c>
      <c r="B25" s="8"/>
      <c r="C25" s="15" t="s">
        <v>103</v>
      </c>
      <c r="D25" s="10" t="s">
        <v>12</v>
      </c>
      <c r="E25" s="32"/>
      <c r="F25" s="27"/>
      <c r="G25" s="18">
        <f t="shared" si="0"/>
        <v>4</v>
      </c>
      <c r="H25" s="18"/>
      <c r="I25" s="7"/>
      <c r="J25" s="26"/>
    </row>
    <row r="26" spans="1:13" ht="18" customHeight="1" x14ac:dyDescent="0.25">
      <c r="A26" s="14">
        <f t="shared" si="1"/>
        <v>18</v>
      </c>
      <c r="B26" s="8"/>
      <c r="C26" s="15" t="s">
        <v>103</v>
      </c>
      <c r="D26" s="10" t="s">
        <v>12</v>
      </c>
      <c r="E26" s="32"/>
      <c r="F26" s="27"/>
      <c r="G26" s="18">
        <f t="shared" si="0"/>
        <v>4</v>
      </c>
      <c r="H26" s="18"/>
      <c r="I26" s="7"/>
    </row>
    <row r="27" spans="1:13" ht="18" customHeight="1" x14ac:dyDescent="0.25">
      <c r="A27" s="14">
        <f t="shared" si="1"/>
        <v>19</v>
      </c>
      <c r="B27" s="8"/>
      <c r="C27" s="15" t="s">
        <v>103</v>
      </c>
      <c r="D27" s="10" t="s">
        <v>12</v>
      </c>
      <c r="E27" s="32"/>
      <c r="F27" s="27"/>
      <c r="G27" s="18">
        <f t="shared" si="0"/>
        <v>4</v>
      </c>
      <c r="H27" s="18"/>
      <c r="I27" s="7"/>
    </row>
    <row r="28" spans="1:13" ht="18" customHeight="1" x14ac:dyDescent="0.25">
      <c r="A28" s="14">
        <f t="shared" si="1"/>
        <v>20</v>
      </c>
      <c r="B28" s="8"/>
      <c r="C28" s="15" t="s">
        <v>103</v>
      </c>
      <c r="D28" s="10" t="s">
        <v>12</v>
      </c>
      <c r="E28" s="32"/>
      <c r="F28" s="27"/>
      <c r="G28" s="18">
        <f t="shared" si="0"/>
        <v>4</v>
      </c>
      <c r="H28" s="18"/>
      <c r="I28" s="7"/>
    </row>
    <row r="29" spans="1:13" ht="18" customHeight="1" x14ac:dyDescent="0.25">
      <c r="A29" s="14">
        <f t="shared" si="1"/>
        <v>21</v>
      </c>
      <c r="B29" s="8"/>
      <c r="C29" s="15" t="s">
        <v>103</v>
      </c>
      <c r="D29" s="10" t="s">
        <v>12</v>
      </c>
      <c r="E29" s="32"/>
      <c r="F29" s="27"/>
      <c r="G29" s="18">
        <f>+G28+E29-F29</f>
        <v>4</v>
      </c>
      <c r="H29" s="18"/>
      <c r="I29" s="7"/>
    </row>
    <row r="30" spans="1:13" ht="18" customHeight="1" x14ac:dyDescent="0.25">
      <c r="A30" s="14">
        <f t="shared" si="1"/>
        <v>22</v>
      </c>
      <c r="B30" s="8"/>
      <c r="C30" s="15" t="s">
        <v>103</v>
      </c>
      <c r="D30" s="10" t="s">
        <v>12</v>
      </c>
      <c r="E30" s="32"/>
      <c r="F30" s="27"/>
      <c r="G30" s="18">
        <f>+G29+E30-F30</f>
        <v>4</v>
      </c>
      <c r="H30" s="18"/>
      <c r="I30" s="7"/>
    </row>
    <row r="31" spans="1:13" ht="18" customHeight="1" x14ac:dyDescent="0.25">
      <c r="A31" s="14">
        <f t="shared" si="1"/>
        <v>23</v>
      </c>
      <c r="B31" s="8"/>
      <c r="C31" s="15" t="s">
        <v>103</v>
      </c>
      <c r="D31" s="10" t="s">
        <v>12</v>
      </c>
      <c r="E31" s="32"/>
      <c r="F31" s="27"/>
      <c r="G31" s="18">
        <f>+G30+E31-F31</f>
        <v>4</v>
      </c>
      <c r="H31" s="18"/>
      <c r="I31" s="7"/>
    </row>
    <row r="32" spans="1:13" ht="18" customHeight="1" x14ac:dyDescent="0.25">
      <c r="A32" s="14">
        <f t="shared" si="1"/>
        <v>24</v>
      </c>
      <c r="B32" s="8"/>
      <c r="C32" s="15" t="s">
        <v>103</v>
      </c>
      <c r="D32" s="10" t="s">
        <v>12</v>
      </c>
      <c r="E32" s="32"/>
      <c r="F32" s="27"/>
      <c r="G32" s="18">
        <f>+G31+E32-F32</f>
        <v>4</v>
      </c>
      <c r="H32" s="18"/>
      <c r="I32" s="7"/>
    </row>
    <row r="33" spans="1:9" ht="18" customHeight="1" x14ac:dyDescent="0.25">
      <c r="A33" s="14">
        <f t="shared" si="1"/>
        <v>25</v>
      </c>
      <c r="B33" s="8"/>
      <c r="C33" s="15" t="s">
        <v>103</v>
      </c>
      <c r="D33" s="10" t="s">
        <v>12</v>
      </c>
      <c r="E33" s="32"/>
      <c r="F33" s="27"/>
      <c r="G33" s="18">
        <f t="shared" ref="G33:G54" si="2">+G32+E33-F33</f>
        <v>4</v>
      </c>
      <c r="H33" s="18"/>
      <c r="I33" s="7"/>
    </row>
    <row r="34" spans="1:9" ht="18" customHeight="1" x14ac:dyDescent="0.25">
      <c r="A34" s="14">
        <f t="shared" si="1"/>
        <v>26</v>
      </c>
      <c r="B34" s="8"/>
      <c r="C34" s="15" t="s">
        <v>103</v>
      </c>
      <c r="D34" s="10" t="s">
        <v>12</v>
      </c>
      <c r="E34" s="32"/>
      <c r="F34" s="27"/>
      <c r="G34" s="18">
        <f t="shared" si="2"/>
        <v>4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 t="s">
        <v>103</v>
      </c>
      <c r="D35" s="10" t="s">
        <v>12</v>
      </c>
      <c r="E35" s="32"/>
      <c r="F35" s="27"/>
      <c r="G35" s="18">
        <f t="shared" si="2"/>
        <v>4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 t="s">
        <v>103</v>
      </c>
      <c r="D36" s="10" t="s">
        <v>12</v>
      </c>
      <c r="E36" s="32"/>
      <c r="F36" s="27"/>
      <c r="G36" s="18">
        <f t="shared" si="2"/>
        <v>4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 t="s">
        <v>103</v>
      </c>
      <c r="D37" s="10" t="s">
        <v>12</v>
      </c>
      <c r="E37" s="32"/>
      <c r="F37" s="27"/>
      <c r="G37" s="18">
        <f t="shared" si="2"/>
        <v>4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27"/>
      <c r="G38" s="18">
        <f t="shared" si="2"/>
        <v>4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2"/>
        <v>4</v>
      </c>
      <c r="H39" s="28"/>
      <c r="I39" s="7"/>
    </row>
    <row r="40" spans="1:9" ht="18" customHeight="1" x14ac:dyDescent="0.25">
      <c r="A40" s="14">
        <f t="shared" si="1"/>
        <v>32</v>
      </c>
      <c r="B40" s="8"/>
      <c r="C40" s="15"/>
      <c r="D40" s="10" t="s">
        <v>12</v>
      </c>
      <c r="E40" s="32"/>
      <c r="F40" s="27"/>
      <c r="G40" s="18">
        <f t="shared" si="2"/>
        <v>4</v>
      </c>
      <c r="H40" s="28"/>
      <c r="I40" s="7"/>
    </row>
    <row r="41" spans="1:9" ht="18" customHeight="1" x14ac:dyDescent="0.25">
      <c r="A41" s="14">
        <f t="shared" si="1"/>
        <v>33</v>
      </c>
      <c r="B41" s="8"/>
      <c r="C41" s="15"/>
      <c r="D41" s="10" t="s">
        <v>12</v>
      </c>
      <c r="E41" s="32"/>
      <c r="F41" s="27"/>
      <c r="G41" s="18">
        <f t="shared" si="2"/>
        <v>4</v>
      </c>
      <c r="H41" s="28"/>
      <c r="I41" s="7"/>
    </row>
    <row r="42" spans="1:9" ht="18" customHeight="1" x14ac:dyDescent="0.25">
      <c r="A42" s="14">
        <f t="shared" si="1"/>
        <v>34</v>
      </c>
      <c r="B42" s="8"/>
      <c r="C42" s="15"/>
      <c r="D42" s="10" t="s">
        <v>12</v>
      </c>
      <c r="E42" s="32"/>
      <c r="F42" s="27"/>
      <c r="G42" s="18">
        <f t="shared" si="2"/>
        <v>4</v>
      </c>
      <c r="H42" s="28"/>
      <c r="I42" s="7"/>
    </row>
    <row r="43" spans="1:9" ht="18" customHeight="1" x14ac:dyDescent="0.25">
      <c r="A43" s="14">
        <f t="shared" si="1"/>
        <v>35</v>
      </c>
      <c r="B43" s="8"/>
      <c r="C43" s="15"/>
      <c r="D43" s="10" t="s">
        <v>12</v>
      </c>
      <c r="E43" s="32"/>
      <c r="F43" s="27"/>
      <c r="G43" s="18">
        <f t="shared" si="2"/>
        <v>4</v>
      </c>
      <c r="H43" s="28"/>
      <c r="I43" s="7"/>
    </row>
    <row r="44" spans="1:9" ht="18" customHeight="1" x14ac:dyDescent="0.25">
      <c r="A44" s="14">
        <f t="shared" si="1"/>
        <v>36</v>
      </c>
      <c r="B44" s="8"/>
      <c r="C44" s="15"/>
      <c r="D44" s="10" t="s">
        <v>12</v>
      </c>
      <c r="E44" s="32"/>
      <c r="F44" s="27"/>
      <c r="G44" s="18">
        <f t="shared" si="2"/>
        <v>4</v>
      </c>
      <c r="H44" s="28"/>
      <c r="I44" s="7"/>
    </row>
    <row r="45" spans="1:9" ht="18" customHeight="1" x14ac:dyDescent="0.25">
      <c r="A45" s="14">
        <f t="shared" si="1"/>
        <v>37</v>
      </c>
      <c r="B45" s="8"/>
      <c r="C45" s="15"/>
      <c r="D45" s="10" t="s">
        <v>12</v>
      </c>
      <c r="E45" s="32"/>
      <c r="F45" s="27"/>
      <c r="G45" s="18">
        <f t="shared" si="2"/>
        <v>4</v>
      </c>
      <c r="H45" s="28"/>
      <c r="I45" s="7"/>
    </row>
    <row r="46" spans="1:9" ht="18" customHeight="1" x14ac:dyDescent="0.25">
      <c r="A46" s="14">
        <f t="shared" si="1"/>
        <v>38</v>
      </c>
      <c r="B46" s="8"/>
      <c r="C46" s="15"/>
      <c r="D46" s="10" t="s">
        <v>12</v>
      </c>
      <c r="E46" s="32"/>
      <c r="F46" s="27"/>
      <c r="G46" s="18">
        <f t="shared" si="2"/>
        <v>4</v>
      </c>
      <c r="H46" s="28"/>
      <c r="I46" s="7"/>
    </row>
    <row r="47" spans="1:9" ht="18" customHeight="1" x14ac:dyDescent="0.25">
      <c r="A47" s="14">
        <f t="shared" si="1"/>
        <v>39</v>
      </c>
      <c r="B47" s="8"/>
      <c r="C47" s="15"/>
      <c r="D47" s="10" t="s">
        <v>12</v>
      </c>
      <c r="E47" s="32"/>
      <c r="F47" s="27"/>
      <c r="G47" s="18">
        <f t="shared" si="2"/>
        <v>4</v>
      </c>
      <c r="H47" s="28"/>
      <c r="I47" s="7"/>
    </row>
    <row r="48" spans="1:9" ht="18" customHeight="1" x14ac:dyDescent="0.25">
      <c r="A48" s="14">
        <f t="shared" si="1"/>
        <v>40</v>
      </c>
      <c r="B48" s="8"/>
      <c r="C48" s="15"/>
      <c r="D48" s="10" t="s">
        <v>12</v>
      </c>
      <c r="E48" s="32"/>
      <c r="F48" s="27"/>
      <c r="G48" s="18">
        <f t="shared" si="2"/>
        <v>4</v>
      </c>
      <c r="H48" s="28"/>
      <c r="I48" s="7"/>
    </row>
    <row r="49" spans="1:9" ht="18" customHeight="1" x14ac:dyDescent="0.25">
      <c r="A49" s="14">
        <f t="shared" si="1"/>
        <v>41</v>
      </c>
      <c r="B49" s="8"/>
      <c r="C49" s="15"/>
      <c r="D49" s="10" t="s">
        <v>12</v>
      </c>
      <c r="E49" s="32"/>
      <c r="F49" s="27"/>
      <c r="G49" s="18">
        <f t="shared" si="2"/>
        <v>4</v>
      </c>
      <c r="H49" s="28"/>
      <c r="I49" s="7"/>
    </row>
    <row r="50" spans="1:9" ht="18" customHeight="1" x14ac:dyDescent="0.25">
      <c r="A50" s="14">
        <f t="shared" si="1"/>
        <v>42</v>
      </c>
      <c r="B50" s="8"/>
      <c r="C50" s="15"/>
      <c r="D50" s="10" t="s">
        <v>12</v>
      </c>
      <c r="E50" s="32"/>
      <c r="F50" s="27"/>
      <c r="G50" s="18">
        <f t="shared" si="2"/>
        <v>4</v>
      </c>
      <c r="H50" s="28"/>
      <c r="I50" s="7"/>
    </row>
    <row r="51" spans="1:9" ht="18" customHeight="1" x14ac:dyDescent="0.25">
      <c r="A51" s="14">
        <f t="shared" si="1"/>
        <v>43</v>
      </c>
      <c r="B51" s="8"/>
      <c r="C51" s="15"/>
      <c r="D51" s="10" t="s">
        <v>12</v>
      </c>
      <c r="E51" s="32"/>
      <c r="F51" s="27"/>
      <c r="G51" s="18">
        <f t="shared" si="2"/>
        <v>4</v>
      </c>
      <c r="H51" s="28"/>
      <c r="I51" s="29"/>
    </row>
    <row r="52" spans="1:9" ht="18" customHeight="1" x14ac:dyDescent="0.25">
      <c r="A52" s="14">
        <f t="shared" si="1"/>
        <v>44</v>
      </c>
      <c r="B52" s="8"/>
      <c r="C52" s="15"/>
      <c r="D52" s="10" t="s">
        <v>12</v>
      </c>
      <c r="E52" s="32"/>
      <c r="F52" s="27"/>
      <c r="G52" s="18">
        <f t="shared" si="2"/>
        <v>4</v>
      </c>
      <c r="H52" s="28"/>
      <c r="I52" s="29"/>
    </row>
    <row r="53" spans="1:9" ht="18" customHeight="1" x14ac:dyDescent="0.25">
      <c r="A53" s="14">
        <f t="shared" si="1"/>
        <v>45</v>
      </c>
      <c r="B53" s="8"/>
      <c r="C53" s="15"/>
      <c r="D53" s="10" t="s">
        <v>12</v>
      </c>
      <c r="E53" s="32"/>
      <c r="F53" s="27"/>
      <c r="G53" s="18">
        <f t="shared" si="2"/>
        <v>4</v>
      </c>
      <c r="H53" s="28"/>
      <c r="I53" s="29"/>
    </row>
    <row r="54" spans="1:9" ht="18" customHeight="1" x14ac:dyDescent="0.25">
      <c r="A54" s="14">
        <f t="shared" si="1"/>
        <v>46</v>
      </c>
      <c r="B54" s="8"/>
      <c r="C54" s="15"/>
      <c r="D54" s="10" t="s">
        <v>12</v>
      </c>
      <c r="E54" s="32"/>
      <c r="F54" s="27"/>
      <c r="G54" s="18">
        <f t="shared" si="2"/>
        <v>4</v>
      </c>
      <c r="H54" s="28"/>
      <c r="I54" s="29"/>
    </row>
    <row r="55" spans="1:9" ht="18" customHeight="1" x14ac:dyDescent="0.25">
      <c r="A55" s="14">
        <f t="shared" si="1"/>
        <v>47</v>
      </c>
      <c r="B55" s="8"/>
      <c r="C55" s="15"/>
      <c r="D55" s="10" t="s">
        <v>12</v>
      </c>
      <c r="E55" s="32"/>
      <c r="F55" s="27"/>
      <c r="G55" s="18">
        <f t="shared" si="0"/>
        <v>4</v>
      </c>
      <c r="H55" s="28"/>
      <c r="I55" s="29"/>
    </row>
    <row r="56" spans="1:9" ht="15" customHeight="1" x14ac:dyDescent="0.25">
      <c r="A56" s="7"/>
      <c r="B56" s="33"/>
      <c r="C56" s="34" t="s">
        <v>13</v>
      </c>
      <c r="D56" s="7"/>
      <c r="E56" s="35">
        <f>SUM(E9:E55)</f>
        <v>0</v>
      </c>
      <c r="F56" s="35">
        <f>SUM(F9:F55)</f>
        <v>0</v>
      </c>
      <c r="G56" s="35">
        <f>+E56-F56+G8</f>
        <v>4</v>
      </c>
      <c r="H56" s="35"/>
      <c r="I56" s="36"/>
    </row>
    <row r="57" spans="1:9" ht="15" customHeight="1" x14ac:dyDescent="0.25">
      <c r="E57" s="26"/>
      <c r="F57" s="26"/>
    </row>
    <row r="58" spans="1:9" ht="15" customHeight="1" x14ac:dyDescent="0.25"/>
    <row r="59" spans="1:9" ht="15" customHeight="1" x14ac:dyDescent="0.25"/>
    <row r="60" spans="1:9" ht="15" customHeight="1" x14ac:dyDescent="0.25"/>
    <row r="61" spans="1:9" ht="15" customHeight="1" x14ac:dyDescent="0.25"/>
    <row r="62" spans="1:9" ht="15" customHeight="1" x14ac:dyDescent="0.25"/>
    <row r="63" spans="1:9" ht="15" customHeight="1" x14ac:dyDescent="0.25"/>
    <row r="64" spans="1:9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</sheetData>
  <mergeCells count="1">
    <mergeCell ref="A3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J124"/>
  <sheetViews>
    <sheetView topLeftCell="A7" workbookViewId="0">
      <selection activeCell="F23" sqref="F23"/>
    </sheetView>
  </sheetViews>
  <sheetFormatPr defaultRowHeight="15" x14ac:dyDescent="0.25"/>
  <cols>
    <col min="1" max="1" width="6" customWidth="1"/>
    <col min="2" max="2" width="10.85546875" customWidth="1"/>
    <col min="3" max="3" width="43.855468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140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 t="s">
        <v>11</v>
      </c>
      <c r="D9" s="10"/>
      <c r="E9" s="11"/>
      <c r="F9" s="12"/>
      <c r="G9" s="343">
        <v>691</v>
      </c>
      <c r="H9" s="7"/>
      <c r="I9" s="7"/>
    </row>
    <row r="10" spans="1:10" ht="18" customHeight="1" x14ac:dyDescent="0.25">
      <c r="A10" s="7">
        <v>1</v>
      </c>
      <c r="B10" s="8"/>
      <c r="C10" s="15" t="s">
        <v>105</v>
      </c>
      <c r="D10" s="10" t="s">
        <v>33</v>
      </c>
      <c r="E10" s="30"/>
      <c r="F10" s="12">
        <v>660</v>
      </c>
      <c r="G10" s="13">
        <f>+G9+E10-F10</f>
        <v>31</v>
      </c>
      <c r="H10" s="7" t="s">
        <v>91</v>
      </c>
      <c r="I10" s="7" t="s">
        <v>90</v>
      </c>
    </row>
    <row r="11" spans="1:10" ht="18" customHeight="1" x14ac:dyDescent="0.25">
      <c r="A11" s="14">
        <v>2</v>
      </c>
      <c r="B11" s="8">
        <v>45681</v>
      </c>
      <c r="C11" s="15" t="s">
        <v>104</v>
      </c>
      <c r="D11" s="10" t="s">
        <v>33</v>
      </c>
      <c r="E11" s="16">
        <v>10730</v>
      </c>
      <c r="F11" s="27"/>
      <c r="G11" s="13">
        <f t="shared" ref="G11:G82" si="0">+G10+E11-F11</f>
        <v>10761</v>
      </c>
      <c r="H11" s="7" t="s">
        <v>91</v>
      </c>
      <c r="I11" s="7" t="s">
        <v>90</v>
      </c>
    </row>
    <row r="12" spans="1:10" ht="18" customHeight="1" x14ac:dyDescent="0.25">
      <c r="A12" s="14">
        <f t="shared" ref="A12:A82" si="1">+A11+1</f>
        <v>3</v>
      </c>
      <c r="B12" s="8">
        <v>45695</v>
      </c>
      <c r="C12" s="15" t="s">
        <v>104</v>
      </c>
      <c r="D12" s="10" t="s">
        <v>33</v>
      </c>
      <c r="E12" s="16"/>
      <c r="F12" s="27">
        <v>720</v>
      </c>
      <c r="G12" s="13">
        <f t="shared" si="0"/>
        <v>10041</v>
      </c>
      <c r="H12" s="7" t="s">
        <v>91</v>
      </c>
      <c r="I12" s="7" t="s">
        <v>90</v>
      </c>
      <c r="J12" s="26"/>
    </row>
    <row r="13" spans="1:10" ht="18" customHeight="1" x14ac:dyDescent="0.25">
      <c r="A13" s="14">
        <f t="shared" si="1"/>
        <v>4</v>
      </c>
      <c r="B13" s="8">
        <v>45696</v>
      </c>
      <c r="C13" s="15" t="s">
        <v>104</v>
      </c>
      <c r="D13" s="10" t="s">
        <v>33</v>
      </c>
      <c r="E13" s="16"/>
      <c r="F13" s="17">
        <v>1204</v>
      </c>
      <c r="G13" s="13">
        <f t="shared" si="0"/>
        <v>8837</v>
      </c>
      <c r="H13" s="7" t="s">
        <v>91</v>
      </c>
      <c r="I13" s="7" t="s">
        <v>90</v>
      </c>
    </row>
    <row r="14" spans="1:10" ht="18" customHeight="1" x14ac:dyDescent="0.25">
      <c r="A14" s="14">
        <f t="shared" si="1"/>
        <v>5</v>
      </c>
      <c r="B14" s="8">
        <v>45698</v>
      </c>
      <c r="C14" s="15" t="s">
        <v>104</v>
      </c>
      <c r="D14" s="10" t="s">
        <v>33</v>
      </c>
      <c r="E14" s="16"/>
      <c r="F14" s="17">
        <v>1674</v>
      </c>
      <c r="G14" s="13">
        <f t="shared" si="0"/>
        <v>7163</v>
      </c>
      <c r="H14" s="7" t="s">
        <v>91</v>
      </c>
      <c r="I14" s="7" t="s">
        <v>90</v>
      </c>
    </row>
    <row r="15" spans="1:10" ht="18" customHeight="1" x14ac:dyDescent="0.25">
      <c r="A15" s="14">
        <f t="shared" si="1"/>
        <v>6</v>
      </c>
      <c r="B15" s="8">
        <v>45699</v>
      </c>
      <c r="C15" s="15" t="s">
        <v>104</v>
      </c>
      <c r="D15" s="10" t="s">
        <v>33</v>
      </c>
      <c r="E15" s="16"/>
      <c r="F15" s="17">
        <v>1501</v>
      </c>
      <c r="G15" s="13">
        <f t="shared" si="0"/>
        <v>5662</v>
      </c>
      <c r="H15" s="7" t="s">
        <v>91</v>
      </c>
      <c r="I15" s="7" t="s">
        <v>90</v>
      </c>
    </row>
    <row r="16" spans="1:10" ht="18" customHeight="1" x14ac:dyDescent="0.25">
      <c r="A16" s="14">
        <f t="shared" si="1"/>
        <v>7</v>
      </c>
      <c r="B16" s="8">
        <v>45700</v>
      </c>
      <c r="C16" s="15" t="s">
        <v>104</v>
      </c>
      <c r="D16" s="10" t="s">
        <v>33</v>
      </c>
      <c r="E16" s="16"/>
      <c r="F16" s="17">
        <v>1540</v>
      </c>
      <c r="G16" s="13">
        <f t="shared" si="0"/>
        <v>4122</v>
      </c>
      <c r="H16" s="7"/>
      <c r="I16" s="7"/>
    </row>
    <row r="17" spans="1:10" ht="18" customHeight="1" x14ac:dyDescent="0.25">
      <c r="A17" s="14">
        <f t="shared" si="1"/>
        <v>8</v>
      </c>
      <c r="B17" s="8">
        <v>45757</v>
      </c>
      <c r="C17" s="15" t="s">
        <v>104</v>
      </c>
      <c r="D17" s="10" t="s">
        <v>33</v>
      </c>
      <c r="E17" s="16"/>
      <c r="F17" s="27">
        <v>1388</v>
      </c>
      <c r="G17" s="13">
        <f t="shared" si="0"/>
        <v>2734</v>
      </c>
      <c r="H17" s="7" t="s">
        <v>91</v>
      </c>
      <c r="I17" s="7" t="s">
        <v>90</v>
      </c>
      <c r="J17" s="26"/>
    </row>
    <row r="18" spans="1:10" ht="18" customHeight="1" x14ac:dyDescent="0.25">
      <c r="A18" s="14">
        <f t="shared" si="1"/>
        <v>9</v>
      </c>
      <c r="B18" s="8">
        <v>45758</v>
      </c>
      <c r="C18" s="15" t="s">
        <v>104</v>
      </c>
      <c r="D18" s="10" t="s">
        <v>33</v>
      </c>
      <c r="E18" s="16"/>
      <c r="F18" s="17">
        <v>1560</v>
      </c>
      <c r="G18" s="13">
        <f t="shared" si="0"/>
        <v>1174</v>
      </c>
      <c r="H18" s="7" t="s">
        <v>91</v>
      </c>
      <c r="I18" s="7" t="s">
        <v>90</v>
      </c>
      <c r="J18" t="s">
        <v>85</v>
      </c>
    </row>
    <row r="19" spans="1:10" ht="18" customHeight="1" x14ac:dyDescent="0.25">
      <c r="A19" s="14">
        <f t="shared" si="1"/>
        <v>10</v>
      </c>
      <c r="B19" s="8">
        <v>45759</v>
      </c>
      <c r="C19" s="15" t="s">
        <v>104</v>
      </c>
      <c r="D19" s="10" t="s">
        <v>33</v>
      </c>
      <c r="E19" s="16"/>
      <c r="F19" s="27">
        <v>1200</v>
      </c>
      <c r="G19" s="13">
        <f t="shared" si="0"/>
        <v>-26</v>
      </c>
      <c r="H19" s="7" t="s">
        <v>91</v>
      </c>
      <c r="I19" s="7" t="s">
        <v>90</v>
      </c>
    </row>
    <row r="20" spans="1:10" ht="18" customHeight="1" x14ac:dyDescent="0.25">
      <c r="A20" s="14">
        <f t="shared" si="1"/>
        <v>11</v>
      </c>
      <c r="B20" s="8">
        <v>45789</v>
      </c>
      <c r="C20" s="15" t="s">
        <v>104</v>
      </c>
      <c r="D20" s="10" t="s">
        <v>33</v>
      </c>
      <c r="E20" s="16">
        <v>10400</v>
      </c>
      <c r="F20" s="17"/>
      <c r="G20" s="13">
        <f t="shared" si="0"/>
        <v>10374</v>
      </c>
      <c r="H20" s="7" t="s">
        <v>91</v>
      </c>
      <c r="I20" s="7" t="s">
        <v>90</v>
      </c>
    </row>
    <row r="21" spans="1:10" ht="18" customHeight="1" x14ac:dyDescent="0.25">
      <c r="A21" s="14">
        <f t="shared" si="1"/>
        <v>12</v>
      </c>
      <c r="B21" s="8">
        <v>45809</v>
      </c>
      <c r="C21" s="15" t="s">
        <v>104</v>
      </c>
      <c r="D21" s="10" t="s">
        <v>33</v>
      </c>
      <c r="E21" s="30"/>
      <c r="F21" s="31">
        <v>2174</v>
      </c>
      <c r="G21" s="13">
        <f t="shared" si="0"/>
        <v>8200</v>
      </c>
      <c r="H21" s="7" t="s">
        <v>91</v>
      </c>
      <c r="I21" s="7" t="s">
        <v>90</v>
      </c>
      <c r="J21" t="s">
        <v>148</v>
      </c>
    </row>
    <row r="22" spans="1:10" ht="18" customHeight="1" x14ac:dyDescent="0.25">
      <c r="A22" s="14">
        <f t="shared" si="1"/>
        <v>13</v>
      </c>
      <c r="B22" s="8">
        <v>45939</v>
      </c>
      <c r="C22" s="15" t="s">
        <v>104</v>
      </c>
      <c r="D22" s="10" t="s">
        <v>33</v>
      </c>
      <c r="E22" s="16"/>
      <c r="F22" s="27">
        <v>1414</v>
      </c>
      <c r="G22" s="13">
        <f t="shared" si="0"/>
        <v>6786</v>
      </c>
      <c r="H22" s="7" t="s">
        <v>91</v>
      </c>
      <c r="I22" s="7" t="s">
        <v>90</v>
      </c>
    </row>
    <row r="23" spans="1:10" ht="18" customHeight="1" x14ac:dyDescent="0.25">
      <c r="A23" s="14">
        <f t="shared" si="1"/>
        <v>14</v>
      </c>
      <c r="B23" s="8">
        <v>45940</v>
      </c>
      <c r="C23" s="15" t="s">
        <v>104</v>
      </c>
      <c r="D23" s="10" t="s">
        <v>33</v>
      </c>
      <c r="E23" s="16"/>
      <c r="F23" s="27">
        <v>2702</v>
      </c>
      <c r="G23" s="13">
        <f t="shared" si="0"/>
        <v>4084</v>
      </c>
      <c r="H23" s="7" t="s">
        <v>91</v>
      </c>
      <c r="I23" s="7" t="s">
        <v>90</v>
      </c>
    </row>
    <row r="24" spans="1:10" ht="18" customHeight="1" x14ac:dyDescent="0.25">
      <c r="A24" s="14">
        <f t="shared" si="1"/>
        <v>15</v>
      </c>
      <c r="B24" s="8"/>
      <c r="C24" s="15" t="s">
        <v>104</v>
      </c>
      <c r="D24" s="10" t="s">
        <v>33</v>
      </c>
      <c r="E24" s="16"/>
      <c r="F24" s="27"/>
      <c r="G24" s="13">
        <f t="shared" si="0"/>
        <v>4084</v>
      </c>
      <c r="H24" s="7" t="s">
        <v>91</v>
      </c>
      <c r="I24" s="7" t="s">
        <v>90</v>
      </c>
    </row>
    <row r="25" spans="1:10" ht="18" customHeight="1" x14ac:dyDescent="0.25">
      <c r="A25" s="14">
        <f t="shared" si="1"/>
        <v>16</v>
      </c>
      <c r="B25" s="8"/>
      <c r="C25" s="15" t="s">
        <v>104</v>
      </c>
      <c r="D25" s="10" t="s">
        <v>33</v>
      </c>
      <c r="E25" s="32"/>
      <c r="F25" s="27"/>
      <c r="G25" s="13">
        <f t="shared" si="0"/>
        <v>4084</v>
      </c>
      <c r="H25" s="7" t="s">
        <v>91</v>
      </c>
      <c r="I25" s="7" t="s">
        <v>90</v>
      </c>
    </row>
    <row r="26" spans="1:10" ht="18" customHeight="1" x14ac:dyDescent="0.25">
      <c r="A26" s="14">
        <f t="shared" si="1"/>
        <v>17</v>
      </c>
      <c r="B26" s="8"/>
      <c r="C26" s="15" t="s">
        <v>104</v>
      </c>
      <c r="D26" s="10" t="s">
        <v>33</v>
      </c>
      <c r="E26" s="32"/>
      <c r="F26" s="27"/>
      <c r="G26" s="13">
        <f t="shared" si="0"/>
        <v>4084</v>
      </c>
      <c r="H26" s="7" t="s">
        <v>91</v>
      </c>
      <c r="I26" s="7" t="s">
        <v>90</v>
      </c>
      <c r="J26" t="s">
        <v>155</v>
      </c>
    </row>
    <row r="27" spans="1:10" ht="18" customHeight="1" x14ac:dyDescent="0.25">
      <c r="A27" s="14">
        <f t="shared" si="1"/>
        <v>18</v>
      </c>
      <c r="B27" s="8"/>
      <c r="C27" s="15" t="s">
        <v>104</v>
      </c>
      <c r="D27" s="10" t="s">
        <v>33</v>
      </c>
      <c r="E27" s="32"/>
      <c r="F27" s="27"/>
      <c r="G27" s="13">
        <f t="shared" si="0"/>
        <v>4084</v>
      </c>
      <c r="H27" s="7" t="s">
        <v>91</v>
      </c>
      <c r="I27" s="7" t="s">
        <v>90</v>
      </c>
      <c r="J27" t="s">
        <v>156</v>
      </c>
    </row>
    <row r="28" spans="1:10" ht="18" customHeight="1" x14ac:dyDescent="0.25">
      <c r="A28" s="14">
        <f t="shared" si="1"/>
        <v>19</v>
      </c>
      <c r="B28" s="8"/>
      <c r="C28" s="15" t="s">
        <v>104</v>
      </c>
      <c r="D28" s="10" t="s">
        <v>33</v>
      </c>
      <c r="E28" s="32"/>
      <c r="F28" s="27"/>
      <c r="G28" s="13">
        <f t="shared" si="0"/>
        <v>4084</v>
      </c>
      <c r="H28" s="7" t="s">
        <v>91</v>
      </c>
      <c r="I28" s="7" t="s">
        <v>90</v>
      </c>
    </row>
    <row r="29" spans="1:10" ht="18" customHeight="1" x14ac:dyDescent="0.25">
      <c r="A29" s="14">
        <f t="shared" si="1"/>
        <v>20</v>
      </c>
      <c r="B29" s="8"/>
      <c r="C29" s="15" t="s">
        <v>104</v>
      </c>
      <c r="D29" s="10" t="s">
        <v>33</v>
      </c>
      <c r="E29" s="32"/>
      <c r="F29" s="27"/>
      <c r="G29" s="13">
        <f t="shared" si="0"/>
        <v>4084</v>
      </c>
      <c r="H29" s="7" t="s">
        <v>129</v>
      </c>
      <c r="I29" s="7" t="s">
        <v>211</v>
      </c>
    </row>
    <row r="30" spans="1:10" ht="18" customHeight="1" x14ac:dyDescent="0.25">
      <c r="A30" s="14">
        <f t="shared" si="1"/>
        <v>21</v>
      </c>
      <c r="B30" s="8"/>
      <c r="C30" s="15" t="s">
        <v>104</v>
      </c>
      <c r="D30" s="10" t="s">
        <v>33</v>
      </c>
      <c r="E30" s="32"/>
      <c r="F30" s="27"/>
      <c r="G30" s="13">
        <f t="shared" si="0"/>
        <v>4084</v>
      </c>
      <c r="H30" s="7" t="s">
        <v>129</v>
      </c>
      <c r="I30" s="7" t="s">
        <v>90</v>
      </c>
      <c r="J30" t="s">
        <v>212</v>
      </c>
    </row>
    <row r="31" spans="1:10" ht="18" customHeight="1" x14ac:dyDescent="0.25">
      <c r="A31" s="14">
        <f t="shared" si="1"/>
        <v>22</v>
      </c>
      <c r="B31" s="8"/>
      <c r="C31" s="15" t="s">
        <v>104</v>
      </c>
      <c r="D31" s="10" t="s">
        <v>33</v>
      </c>
      <c r="E31" s="32"/>
      <c r="F31" s="27"/>
      <c r="G31" s="13">
        <f t="shared" si="0"/>
        <v>4084</v>
      </c>
      <c r="H31" s="7" t="s">
        <v>129</v>
      </c>
      <c r="I31" s="7" t="s">
        <v>90</v>
      </c>
    </row>
    <row r="32" spans="1:10" ht="18" customHeight="1" x14ac:dyDescent="0.25">
      <c r="A32" s="14">
        <f t="shared" si="1"/>
        <v>23</v>
      </c>
      <c r="B32" s="8"/>
      <c r="C32" s="15" t="s">
        <v>104</v>
      </c>
      <c r="D32" s="10" t="s">
        <v>12</v>
      </c>
      <c r="E32" s="32"/>
      <c r="F32" s="27"/>
      <c r="G32" s="13">
        <f t="shared" si="0"/>
        <v>4084</v>
      </c>
      <c r="H32" s="7" t="s">
        <v>140</v>
      </c>
      <c r="I32" s="7" t="s">
        <v>90</v>
      </c>
    </row>
    <row r="33" spans="1:9" ht="18" customHeight="1" x14ac:dyDescent="0.25">
      <c r="A33" s="14">
        <f t="shared" si="1"/>
        <v>24</v>
      </c>
      <c r="B33" s="8"/>
      <c r="C33" s="15" t="s">
        <v>104</v>
      </c>
      <c r="D33" s="10" t="s">
        <v>12</v>
      </c>
      <c r="E33" s="32"/>
      <c r="F33" s="27"/>
      <c r="G33" s="13">
        <f t="shared" si="0"/>
        <v>4084</v>
      </c>
      <c r="H33" s="7"/>
      <c r="I33" s="7"/>
    </row>
    <row r="34" spans="1:9" ht="18" customHeight="1" x14ac:dyDescent="0.25">
      <c r="A34" s="14">
        <f t="shared" si="1"/>
        <v>25</v>
      </c>
      <c r="B34" s="8"/>
      <c r="C34" s="15" t="s">
        <v>104</v>
      </c>
      <c r="D34" s="10" t="s">
        <v>12</v>
      </c>
      <c r="E34" s="32"/>
      <c r="F34" s="27"/>
      <c r="G34" s="13">
        <f t="shared" si="0"/>
        <v>4084</v>
      </c>
      <c r="H34" s="7" t="s">
        <v>91</v>
      </c>
      <c r="I34" s="7" t="s">
        <v>90</v>
      </c>
    </row>
    <row r="35" spans="1:9" ht="18" customHeight="1" x14ac:dyDescent="0.25">
      <c r="A35" s="14">
        <f t="shared" si="1"/>
        <v>26</v>
      </c>
      <c r="B35" s="8"/>
      <c r="C35" s="15" t="s">
        <v>104</v>
      </c>
      <c r="D35" s="10" t="s">
        <v>12</v>
      </c>
      <c r="E35" s="32"/>
      <c r="F35" s="27"/>
      <c r="G35" s="13">
        <f t="shared" si="0"/>
        <v>4084</v>
      </c>
      <c r="H35" s="7" t="s">
        <v>91</v>
      </c>
      <c r="I35" s="7" t="s">
        <v>90</v>
      </c>
    </row>
    <row r="36" spans="1:9" ht="18" customHeight="1" x14ac:dyDescent="0.25">
      <c r="A36" s="14"/>
      <c r="B36" s="8"/>
      <c r="C36" s="15" t="s">
        <v>104</v>
      </c>
      <c r="D36" s="10" t="s">
        <v>12</v>
      </c>
      <c r="E36" s="32"/>
      <c r="F36" s="27"/>
      <c r="G36" s="13">
        <f t="shared" si="0"/>
        <v>4084</v>
      </c>
      <c r="H36" s="7" t="s">
        <v>91</v>
      </c>
      <c r="I36" s="7" t="s">
        <v>90</v>
      </c>
    </row>
    <row r="37" spans="1:9" ht="18" customHeight="1" x14ac:dyDescent="0.25">
      <c r="A37" s="14">
        <f>+A35+1</f>
        <v>27</v>
      </c>
      <c r="B37" s="8"/>
      <c r="C37" s="15" t="s">
        <v>104</v>
      </c>
      <c r="D37" s="10" t="s">
        <v>12</v>
      </c>
      <c r="E37" s="32"/>
      <c r="F37" s="27"/>
      <c r="G37" s="13">
        <f t="shared" si="0"/>
        <v>4084</v>
      </c>
      <c r="H37" s="7" t="s">
        <v>91</v>
      </c>
      <c r="I37" s="7" t="s">
        <v>90</v>
      </c>
    </row>
    <row r="38" spans="1:9" ht="18" customHeight="1" x14ac:dyDescent="0.25">
      <c r="A38" s="14">
        <f t="shared" si="1"/>
        <v>28</v>
      </c>
      <c r="B38" s="8"/>
      <c r="C38" s="15" t="s">
        <v>104</v>
      </c>
      <c r="D38" s="10" t="s">
        <v>12</v>
      </c>
      <c r="E38" s="32"/>
      <c r="F38" s="27"/>
      <c r="G38" s="13">
        <f t="shared" si="0"/>
        <v>4084</v>
      </c>
      <c r="H38" s="7" t="s">
        <v>91</v>
      </c>
      <c r="I38" s="7" t="s">
        <v>90</v>
      </c>
    </row>
    <row r="39" spans="1:9" ht="18" customHeight="1" x14ac:dyDescent="0.25">
      <c r="A39" s="14">
        <f t="shared" si="1"/>
        <v>29</v>
      </c>
      <c r="B39" s="8"/>
      <c r="C39" s="15" t="s">
        <v>104</v>
      </c>
      <c r="D39" s="10" t="s">
        <v>12</v>
      </c>
      <c r="E39" s="32"/>
      <c r="F39" s="27"/>
      <c r="G39" s="13">
        <f t="shared" si="0"/>
        <v>4084</v>
      </c>
      <c r="H39" s="7" t="s">
        <v>91</v>
      </c>
      <c r="I39" s="7" t="s">
        <v>90</v>
      </c>
    </row>
    <row r="40" spans="1:9" ht="18" customHeight="1" x14ac:dyDescent="0.25">
      <c r="A40" s="14"/>
      <c r="B40" s="174"/>
      <c r="C40" s="15" t="s">
        <v>104</v>
      </c>
      <c r="D40" s="10" t="s">
        <v>12</v>
      </c>
      <c r="E40" s="32"/>
      <c r="F40" s="31"/>
      <c r="G40" s="13">
        <f t="shared" si="0"/>
        <v>4084</v>
      </c>
      <c r="H40" s="7" t="s">
        <v>91</v>
      </c>
      <c r="I40" s="7" t="s">
        <v>90</v>
      </c>
    </row>
    <row r="41" spans="1:9" ht="18" customHeight="1" x14ac:dyDescent="0.25">
      <c r="A41" s="14"/>
      <c r="B41" s="174"/>
      <c r="C41" s="15" t="s">
        <v>104</v>
      </c>
      <c r="D41" s="10" t="s">
        <v>12</v>
      </c>
      <c r="E41" s="32"/>
      <c r="F41" s="31"/>
      <c r="G41" s="13">
        <f t="shared" si="0"/>
        <v>4084</v>
      </c>
      <c r="H41" s="7" t="s">
        <v>91</v>
      </c>
      <c r="I41" s="7" t="s">
        <v>90</v>
      </c>
    </row>
    <row r="42" spans="1:9" ht="18" customHeight="1" x14ac:dyDescent="0.25">
      <c r="A42" s="14"/>
      <c r="B42" s="374"/>
      <c r="C42" s="15" t="s">
        <v>104</v>
      </c>
      <c r="D42" s="10" t="s">
        <v>12</v>
      </c>
      <c r="E42" s="32"/>
      <c r="F42" s="31"/>
      <c r="G42" s="13">
        <f t="shared" si="0"/>
        <v>4084</v>
      </c>
      <c r="H42" s="7"/>
      <c r="I42" s="7"/>
    </row>
    <row r="43" spans="1:9" ht="18" customHeight="1" x14ac:dyDescent="0.25">
      <c r="A43" s="14"/>
      <c r="B43" s="374"/>
      <c r="C43" s="15" t="s">
        <v>104</v>
      </c>
      <c r="D43" s="10" t="s">
        <v>12</v>
      </c>
      <c r="E43" s="32"/>
      <c r="F43" s="31"/>
      <c r="G43" s="365">
        <f t="shared" si="0"/>
        <v>4084</v>
      </c>
      <c r="H43" s="7"/>
      <c r="I43" s="7"/>
    </row>
    <row r="44" spans="1:9" ht="18" customHeight="1" x14ac:dyDescent="0.25">
      <c r="A44" s="14"/>
      <c r="B44" s="174"/>
      <c r="C44" s="15" t="s">
        <v>104</v>
      </c>
      <c r="D44" s="10" t="s">
        <v>12</v>
      </c>
      <c r="E44" s="32"/>
      <c r="F44" s="31"/>
      <c r="G44" s="13">
        <f t="shared" si="0"/>
        <v>4084</v>
      </c>
      <c r="H44" s="7"/>
      <c r="I44" s="7"/>
    </row>
    <row r="45" spans="1:9" ht="18" customHeight="1" x14ac:dyDescent="0.25">
      <c r="A45" s="14">
        <f>+A39+1</f>
        <v>30</v>
      </c>
      <c r="B45" s="8"/>
      <c r="C45" s="15" t="s">
        <v>104</v>
      </c>
      <c r="D45" s="10" t="s">
        <v>12</v>
      </c>
      <c r="E45" s="32"/>
      <c r="F45" s="27"/>
      <c r="G45" s="13">
        <f t="shared" si="0"/>
        <v>4084</v>
      </c>
      <c r="H45" s="7" t="s">
        <v>91</v>
      </c>
      <c r="I45" s="7" t="s">
        <v>90</v>
      </c>
    </row>
    <row r="46" spans="1:9" ht="18" customHeight="1" x14ac:dyDescent="0.25">
      <c r="A46" s="14">
        <f t="shared" si="1"/>
        <v>31</v>
      </c>
      <c r="B46" s="8"/>
      <c r="C46" s="15" t="s">
        <v>104</v>
      </c>
      <c r="D46" s="10" t="s">
        <v>12</v>
      </c>
      <c r="E46" s="32"/>
      <c r="F46" s="27"/>
      <c r="G46" s="13">
        <f t="shared" si="0"/>
        <v>4084</v>
      </c>
      <c r="H46" s="7" t="s">
        <v>91</v>
      </c>
      <c r="I46" s="7" t="s">
        <v>90</v>
      </c>
    </row>
    <row r="47" spans="1:9" ht="18" customHeight="1" x14ac:dyDescent="0.25">
      <c r="A47" s="14">
        <f t="shared" si="1"/>
        <v>32</v>
      </c>
      <c r="B47" s="8"/>
      <c r="C47" s="15" t="s">
        <v>104</v>
      </c>
      <c r="D47" s="10" t="s">
        <v>12</v>
      </c>
      <c r="E47" s="32"/>
      <c r="F47" s="27"/>
      <c r="G47" s="13">
        <f t="shared" si="0"/>
        <v>4084</v>
      </c>
      <c r="H47" s="7" t="s">
        <v>91</v>
      </c>
      <c r="I47" s="7" t="s">
        <v>90</v>
      </c>
    </row>
    <row r="48" spans="1:9" ht="18" customHeight="1" x14ac:dyDescent="0.25">
      <c r="A48" s="14">
        <f t="shared" si="1"/>
        <v>33</v>
      </c>
      <c r="B48" s="8"/>
      <c r="C48" s="15" t="s">
        <v>104</v>
      </c>
      <c r="D48" s="10" t="s">
        <v>12</v>
      </c>
      <c r="E48" s="32"/>
      <c r="F48" s="27"/>
      <c r="G48" s="13">
        <f t="shared" si="0"/>
        <v>4084</v>
      </c>
      <c r="H48" s="7" t="s">
        <v>91</v>
      </c>
      <c r="I48" s="7" t="s">
        <v>90</v>
      </c>
    </row>
    <row r="49" spans="1:10" ht="18" customHeight="1" x14ac:dyDescent="0.25">
      <c r="A49" s="14">
        <f t="shared" si="1"/>
        <v>34</v>
      </c>
      <c r="B49" s="8"/>
      <c r="C49" s="15" t="s">
        <v>104</v>
      </c>
      <c r="D49" s="10" t="s">
        <v>12</v>
      </c>
      <c r="E49" s="32"/>
      <c r="F49" s="27"/>
      <c r="G49" s="13">
        <f t="shared" si="0"/>
        <v>4084</v>
      </c>
      <c r="H49" s="7" t="s">
        <v>91</v>
      </c>
      <c r="I49" s="7" t="s">
        <v>90</v>
      </c>
    </row>
    <row r="50" spans="1:10" ht="18" customHeight="1" x14ac:dyDescent="0.25">
      <c r="A50" s="14">
        <f t="shared" si="1"/>
        <v>35</v>
      </c>
      <c r="B50" s="8"/>
      <c r="C50" s="15" t="s">
        <v>104</v>
      </c>
      <c r="D50" s="10" t="s">
        <v>12</v>
      </c>
      <c r="E50" s="32"/>
      <c r="F50" s="27"/>
      <c r="G50" s="13">
        <f t="shared" si="0"/>
        <v>4084</v>
      </c>
      <c r="H50" s="7" t="s">
        <v>91</v>
      </c>
      <c r="I50" s="7" t="s">
        <v>90</v>
      </c>
      <c r="J50" t="s">
        <v>87</v>
      </c>
    </row>
    <row r="51" spans="1:10" ht="18" customHeight="1" x14ac:dyDescent="0.25">
      <c r="A51" s="14">
        <f t="shared" si="1"/>
        <v>36</v>
      </c>
      <c r="B51" s="8"/>
      <c r="C51" s="15" t="s">
        <v>104</v>
      </c>
      <c r="D51" s="10" t="s">
        <v>12</v>
      </c>
      <c r="E51" s="32"/>
      <c r="F51" s="27"/>
      <c r="G51" s="13">
        <f t="shared" si="0"/>
        <v>4084</v>
      </c>
      <c r="H51" s="7" t="s">
        <v>91</v>
      </c>
      <c r="I51" s="7" t="s">
        <v>90</v>
      </c>
    </row>
    <row r="52" spans="1:10" ht="18" customHeight="1" x14ac:dyDescent="0.25">
      <c r="A52" s="14">
        <f t="shared" si="1"/>
        <v>37</v>
      </c>
      <c r="B52" s="8"/>
      <c r="C52" s="15" t="s">
        <v>104</v>
      </c>
      <c r="D52" s="10" t="s">
        <v>12</v>
      </c>
      <c r="E52" s="32"/>
      <c r="F52" s="27"/>
      <c r="G52" s="13">
        <f t="shared" si="0"/>
        <v>4084</v>
      </c>
      <c r="H52" s="7" t="s">
        <v>91</v>
      </c>
      <c r="I52" s="7" t="s">
        <v>90</v>
      </c>
      <c r="J52" t="s">
        <v>88</v>
      </c>
    </row>
    <row r="53" spans="1:10" ht="18" customHeight="1" x14ac:dyDescent="0.25">
      <c r="A53" s="14">
        <f t="shared" si="1"/>
        <v>38</v>
      </c>
      <c r="B53" s="8"/>
      <c r="C53" s="15" t="s">
        <v>104</v>
      </c>
      <c r="D53" s="10" t="s">
        <v>12</v>
      </c>
      <c r="E53" s="32"/>
      <c r="F53" s="27"/>
      <c r="G53" s="13">
        <f t="shared" si="0"/>
        <v>4084</v>
      </c>
      <c r="H53" s="7" t="s">
        <v>91</v>
      </c>
      <c r="I53" s="7" t="s">
        <v>90</v>
      </c>
    </row>
    <row r="54" spans="1:10" ht="18" customHeight="1" x14ac:dyDescent="0.25">
      <c r="A54" s="14">
        <f t="shared" si="1"/>
        <v>39</v>
      </c>
      <c r="B54" s="8"/>
      <c r="C54" s="15" t="s">
        <v>104</v>
      </c>
      <c r="D54" s="10" t="s">
        <v>12</v>
      </c>
      <c r="E54" s="32"/>
      <c r="F54" s="27"/>
      <c r="G54" s="13">
        <f t="shared" si="0"/>
        <v>4084</v>
      </c>
      <c r="H54" s="7" t="s">
        <v>91</v>
      </c>
      <c r="I54" s="7" t="s">
        <v>90</v>
      </c>
    </row>
    <row r="55" spans="1:10" ht="18" customHeight="1" x14ac:dyDescent="0.25">
      <c r="A55" s="14"/>
      <c r="B55" s="8"/>
      <c r="C55" s="15" t="s">
        <v>104</v>
      </c>
      <c r="D55" s="10" t="s">
        <v>12</v>
      </c>
      <c r="E55" s="32"/>
      <c r="F55" s="27"/>
      <c r="G55" s="13">
        <f t="shared" si="0"/>
        <v>4084</v>
      </c>
      <c r="H55" s="7" t="s">
        <v>91</v>
      </c>
      <c r="I55" s="7" t="s">
        <v>90</v>
      </c>
    </row>
    <row r="56" spans="1:10" ht="18" customHeight="1" x14ac:dyDescent="0.25">
      <c r="A56" s="14"/>
      <c r="B56" s="8"/>
      <c r="C56" s="15" t="s">
        <v>104</v>
      </c>
      <c r="D56" s="10" t="s">
        <v>12</v>
      </c>
      <c r="E56" s="32"/>
      <c r="F56" s="27"/>
      <c r="G56" s="13">
        <f t="shared" si="0"/>
        <v>4084</v>
      </c>
      <c r="H56" s="7" t="s">
        <v>91</v>
      </c>
      <c r="I56" s="7" t="s">
        <v>90</v>
      </c>
    </row>
    <row r="57" spans="1:10" ht="18" customHeight="1" x14ac:dyDescent="0.25">
      <c r="A57" s="14"/>
      <c r="B57" s="8"/>
      <c r="C57" s="15" t="s">
        <v>104</v>
      </c>
      <c r="D57" s="10" t="s">
        <v>12</v>
      </c>
      <c r="E57" s="32"/>
      <c r="F57" s="27"/>
      <c r="G57" s="13">
        <f t="shared" si="0"/>
        <v>4084</v>
      </c>
      <c r="H57" s="7"/>
      <c r="I57" s="7"/>
    </row>
    <row r="58" spans="1:10" ht="18" customHeight="1" x14ac:dyDescent="0.25">
      <c r="A58" s="14"/>
      <c r="B58" s="8"/>
      <c r="C58" s="15" t="s">
        <v>104</v>
      </c>
      <c r="D58" s="10" t="s">
        <v>12</v>
      </c>
      <c r="E58" s="32"/>
      <c r="F58" s="27"/>
      <c r="G58" s="13">
        <f t="shared" si="0"/>
        <v>4084</v>
      </c>
      <c r="H58" s="7"/>
      <c r="I58" s="7"/>
    </row>
    <row r="59" spans="1:10" ht="18" customHeight="1" x14ac:dyDescent="0.25">
      <c r="A59" s="14"/>
      <c r="B59" s="8"/>
      <c r="C59" s="15" t="s">
        <v>104</v>
      </c>
      <c r="D59" s="10" t="s">
        <v>12</v>
      </c>
      <c r="E59" s="32"/>
      <c r="F59" s="27"/>
      <c r="G59" s="13">
        <f t="shared" si="0"/>
        <v>4084</v>
      </c>
      <c r="H59" s="7"/>
      <c r="I59" s="7"/>
    </row>
    <row r="60" spans="1:10" ht="18" customHeight="1" x14ac:dyDescent="0.25">
      <c r="A60" s="14"/>
      <c r="B60" s="8"/>
      <c r="C60" s="15" t="s">
        <v>104</v>
      </c>
      <c r="D60" s="10" t="s">
        <v>12</v>
      </c>
      <c r="E60" s="32"/>
      <c r="F60" s="27"/>
      <c r="G60" s="13">
        <f t="shared" si="0"/>
        <v>4084</v>
      </c>
      <c r="H60" s="7"/>
      <c r="I60" s="7"/>
    </row>
    <row r="61" spans="1:10" ht="18" customHeight="1" x14ac:dyDescent="0.25">
      <c r="A61" s="14"/>
      <c r="B61" s="8"/>
      <c r="C61" s="15" t="s">
        <v>104</v>
      </c>
      <c r="D61" s="10" t="s">
        <v>12</v>
      </c>
      <c r="E61" s="32"/>
      <c r="F61" s="27"/>
      <c r="G61" s="13">
        <f t="shared" si="0"/>
        <v>4084</v>
      </c>
      <c r="H61" s="7"/>
      <c r="I61" s="7"/>
    </row>
    <row r="62" spans="1:10" ht="18" customHeight="1" x14ac:dyDescent="0.25">
      <c r="A62" s="14"/>
      <c r="B62" s="8"/>
      <c r="C62" s="15" t="s">
        <v>104</v>
      </c>
      <c r="D62" s="10" t="s">
        <v>12</v>
      </c>
      <c r="E62" s="32"/>
      <c r="F62" s="27"/>
      <c r="G62" s="13">
        <f t="shared" si="0"/>
        <v>4084</v>
      </c>
      <c r="H62" s="7"/>
      <c r="I62" s="7"/>
    </row>
    <row r="63" spans="1:10" ht="18" customHeight="1" x14ac:dyDescent="0.25">
      <c r="A63" s="14"/>
      <c r="B63" s="8"/>
      <c r="C63" s="15" t="s">
        <v>104</v>
      </c>
      <c r="D63" s="10" t="s">
        <v>12</v>
      </c>
      <c r="E63" s="32"/>
      <c r="F63" s="27"/>
      <c r="G63" s="13">
        <f t="shared" si="0"/>
        <v>4084</v>
      </c>
      <c r="H63" s="7"/>
      <c r="I63" s="7"/>
    </row>
    <row r="64" spans="1:10" ht="18" customHeight="1" x14ac:dyDescent="0.25">
      <c r="A64" s="14"/>
      <c r="B64" s="8"/>
      <c r="C64" s="15" t="s">
        <v>104</v>
      </c>
      <c r="D64" s="10" t="s">
        <v>12</v>
      </c>
      <c r="E64" s="32"/>
      <c r="F64" s="27"/>
      <c r="G64" s="13">
        <f t="shared" si="0"/>
        <v>4084</v>
      </c>
      <c r="H64" s="7"/>
      <c r="I64" s="7"/>
    </row>
    <row r="65" spans="1:9" ht="18" customHeight="1" x14ac:dyDescent="0.25">
      <c r="A65" s="14"/>
      <c r="B65" s="8"/>
      <c r="C65" s="15" t="s">
        <v>104</v>
      </c>
      <c r="D65" s="10" t="s">
        <v>12</v>
      </c>
      <c r="E65" s="32"/>
      <c r="F65" s="27"/>
      <c r="G65" s="13">
        <f t="shared" si="0"/>
        <v>4084</v>
      </c>
      <c r="H65" s="7"/>
      <c r="I65" s="7"/>
    </row>
    <row r="66" spans="1:9" ht="18" customHeight="1" x14ac:dyDescent="0.25">
      <c r="A66" s="14"/>
      <c r="B66" s="8"/>
      <c r="C66" s="15" t="s">
        <v>104</v>
      </c>
      <c r="D66" s="10" t="s">
        <v>12</v>
      </c>
      <c r="E66" s="32"/>
      <c r="F66" s="27"/>
      <c r="G66" s="13">
        <f t="shared" si="0"/>
        <v>4084</v>
      </c>
      <c r="H66" s="7"/>
      <c r="I66" s="7"/>
    </row>
    <row r="67" spans="1:9" ht="18" customHeight="1" x14ac:dyDescent="0.25">
      <c r="A67" s="14"/>
      <c r="B67" s="8"/>
      <c r="C67" s="15" t="s">
        <v>104</v>
      </c>
      <c r="D67" s="10" t="s">
        <v>12</v>
      </c>
      <c r="E67" s="32"/>
      <c r="F67" s="27"/>
      <c r="G67" s="13">
        <f t="shared" si="0"/>
        <v>4084</v>
      </c>
      <c r="H67" s="7"/>
      <c r="I67" s="7"/>
    </row>
    <row r="68" spans="1:9" ht="18" customHeight="1" x14ac:dyDescent="0.25">
      <c r="A68" s="14"/>
      <c r="B68" s="8"/>
      <c r="C68" s="15" t="s">
        <v>104</v>
      </c>
      <c r="D68" s="10" t="s">
        <v>12</v>
      </c>
      <c r="E68" s="32"/>
      <c r="F68" s="27"/>
      <c r="G68" s="13">
        <f t="shared" si="0"/>
        <v>4084</v>
      </c>
      <c r="H68" s="7"/>
      <c r="I68" s="7"/>
    </row>
    <row r="69" spans="1:9" ht="18" customHeight="1" x14ac:dyDescent="0.25">
      <c r="A69" s="14"/>
      <c r="B69" s="8"/>
      <c r="C69" s="15" t="s">
        <v>104</v>
      </c>
      <c r="D69" s="10" t="s">
        <v>12</v>
      </c>
      <c r="E69" s="32"/>
      <c r="F69" s="27"/>
      <c r="G69" s="13">
        <f t="shared" si="0"/>
        <v>4084</v>
      </c>
      <c r="H69" s="7"/>
      <c r="I69" s="7"/>
    </row>
    <row r="70" spans="1:9" ht="18" customHeight="1" x14ac:dyDescent="0.25">
      <c r="A70" s="14"/>
      <c r="B70" s="8"/>
      <c r="C70" s="15" t="s">
        <v>104</v>
      </c>
      <c r="D70" s="10" t="s">
        <v>12</v>
      </c>
      <c r="E70" s="32"/>
      <c r="F70" s="27"/>
      <c r="G70" s="13">
        <f t="shared" si="0"/>
        <v>4084</v>
      </c>
      <c r="H70" s="7"/>
      <c r="I70" s="7"/>
    </row>
    <row r="71" spans="1:9" ht="18" customHeight="1" x14ac:dyDescent="0.25">
      <c r="A71" s="14"/>
      <c r="B71" s="8"/>
      <c r="C71" s="15" t="s">
        <v>104</v>
      </c>
      <c r="D71" s="10" t="s">
        <v>12</v>
      </c>
      <c r="E71" s="32"/>
      <c r="F71" s="27"/>
      <c r="G71" s="13">
        <f t="shared" si="0"/>
        <v>4084</v>
      </c>
      <c r="H71" s="7"/>
      <c r="I71" s="7"/>
    </row>
    <row r="72" spans="1:9" ht="18" customHeight="1" x14ac:dyDescent="0.25">
      <c r="A72" s="14"/>
      <c r="B72" s="8"/>
      <c r="C72" s="15" t="s">
        <v>104</v>
      </c>
      <c r="D72" s="10" t="s">
        <v>12</v>
      </c>
      <c r="E72" s="32"/>
      <c r="F72" s="27"/>
      <c r="G72" s="13">
        <f t="shared" si="0"/>
        <v>4084</v>
      </c>
      <c r="H72" s="7"/>
      <c r="I72" s="7"/>
    </row>
    <row r="73" spans="1:9" ht="18" customHeight="1" x14ac:dyDescent="0.25">
      <c r="A73" s="14"/>
      <c r="B73" s="8"/>
      <c r="C73" s="15" t="s">
        <v>104</v>
      </c>
      <c r="D73" s="10" t="s">
        <v>12</v>
      </c>
      <c r="E73" s="32"/>
      <c r="F73" s="27"/>
      <c r="G73" s="13">
        <f t="shared" si="0"/>
        <v>4084</v>
      </c>
      <c r="H73" s="7"/>
      <c r="I73" s="7"/>
    </row>
    <row r="74" spans="1:9" ht="18" customHeight="1" x14ac:dyDescent="0.25">
      <c r="A74" s="14">
        <f>+A54+1</f>
        <v>40</v>
      </c>
      <c r="B74" s="8"/>
      <c r="C74" s="15" t="s">
        <v>104</v>
      </c>
      <c r="D74" s="10" t="s">
        <v>12</v>
      </c>
      <c r="E74" s="32"/>
      <c r="F74" s="27"/>
      <c r="G74" s="13">
        <f t="shared" si="0"/>
        <v>4084</v>
      </c>
      <c r="H74" s="7"/>
      <c r="I74" s="7"/>
    </row>
    <row r="75" spans="1:9" ht="18" customHeight="1" x14ac:dyDescent="0.25">
      <c r="A75" s="14"/>
      <c r="B75" s="8"/>
      <c r="C75" s="15" t="s">
        <v>104</v>
      </c>
      <c r="D75" s="10" t="s">
        <v>12</v>
      </c>
      <c r="E75" s="32"/>
      <c r="F75" s="27"/>
      <c r="G75" s="13">
        <f t="shared" si="0"/>
        <v>4084</v>
      </c>
      <c r="H75" s="7"/>
      <c r="I75" s="7"/>
    </row>
    <row r="76" spans="1:9" ht="18" customHeight="1" x14ac:dyDescent="0.25">
      <c r="A76" s="14"/>
      <c r="B76" s="8"/>
      <c r="C76" s="15" t="s">
        <v>104</v>
      </c>
      <c r="D76" s="10" t="s">
        <v>12</v>
      </c>
      <c r="E76" s="32"/>
      <c r="F76" s="27"/>
      <c r="G76" s="13">
        <f t="shared" si="0"/>
        <v>4084</v>
      </c>
      <c r="H76" s="7"/>
      <c r="I76" s="7"/>
    </row>
    <row r="77" spans="1:9" ht="18" customHeight="1" x14ac:dyDescent="0.25">
      <c r="A77" s="14"/>
      <c r="B77" s="8"/>
      <c r="C77" s="15" t="s">
        <v>104</v>
      </c>
      <c r="D77" s="10" t="s">
        <v>12</v>
      </c>
      <c r="E77" s="32"/>
      <c r="F77" s="27"/>
      <c r="G77" s="13">
        <f t="shared" si="0"/>
        <v>4084</v>
      </c>
      <c r="H77" s="7"/>
      <c r="I77" s="7"/>
    </row>
    <row r="78" spans="1:9" ht="18" customHeight="1" x14ac:dyDescent="0.25">
      <c r="A78" s="14"/>
      <c r="B78" s="8"/>
      <c r="C78" s="15" t="s">
        <v>104</v>
      </c>
      <c r="D78" s="10" t="s">
        <v>12</v>
      </c>
      <c r="E78" s="32"/>
      <c r="F78" s="27"/>
      <c r="G78" s="13">
        <f t="shared" si="0"/>
        <v>4084</v>
      </c>
      <c r="H78" s="7"/>
      <c r="I78" s="7"/>
    </row>
    <row r="79" spans="1:9" ht="18" customHeight="1" x14ac:dyDescent="0.25">
      <c r="A79" s="14"/>
      <c r="B79" s="8"/>
      <c r="C79" s="15" t="s">
        <v>104</v>
      </c>
      <c r="D79" s="10" t="s">
        <v>12</v>
      </c>
      <c r="E79" s="32"/>
      <c r="F79" s="27"/>
      <c r="G79" s="13">
        <f t="shared" si="0"/>
        <v>4084</v>
      </c>
      <c r="H79" s="7"/>
      <c r="I79" s="7"/>
    </row>
    <row r="80" spans="1:9" ht="18" customHeight="1" x14ac:dyDescent="0.25">
      <c r="A80" s="14"/>
      <c r="B80" s="8"/>
      <c r="C80" s="15"/>
      <c r="D80" s="10"/>
      <c r="E80" s="32"/>
      <c r="F80" s="27"/>
      <c r="G80" s="13">
        <f t="shared" si="0"/>
        <v>4084</v>
      </c>
      <c r="H80" s="7"/>
      <c r="I80" s="7"/>
    </row>
    <row r="81" spans="1:9" ht="18" customHeight="1" x14ac:dyDescent="0.25">
      <c r="A81" s="14">
        <f>+A74+1</f>
        <v>41</v>
      </c>
      <c r="B81" s="8"/>
      <c r="C81" s="15"/>
      <c r="D81" s="10"/>
      <c r="E81" s="32"/>
      <c r="F81" s="27"/>
      <c r="G81" s="13">
        <f t="shared" si="0"/>
        <v>4084</v>
      </c>
      <c r="H81" s="28"/>
      <c r="I81" s="29"/>
    </row>
    <row r="82" spans="1:9" ht="18" customHeight="1" x14ac:dyDescent="0.25">
      <c r="A82" s="14">
        <f t="shared" si="1"/>
        <v>42</v>
      </c>
      <c r="B82" s="8"/>
      <c r="C82" s="15"/>
      <c r="D82" s="10"/>
      <c r="E82" s="32"/>
      <c r="F82" s="27"/>
      <c r="G82" s="13">
        <f t="shared" si="0"/>
        <v>4084</v>
      </c>
      <c r="H82" s="28"/>
      <c r="I82" s="29"/>
    </row>
    <row r="83" spans="1:9" ht="15" customHeight="1" x14ac:dyDescent="0.25">
      <c r="A83" s="7"/>
      <c r="B83" s="7"/>
      <c r="C83" s="34" t="s">
        <v>13</v>
      </c>
      <c r="D83" s="7"/>
      <c r="E83" s="35">
        <f>SUM(E11:E82)</f>
        <v>21130</v>
      </c>
      <c r="F83" s="35">
        <f>+SUM(F10:F82)</f>
        <v>17737</v>
      </c>
      <c r="G83" s="35">
        <f>+G9-F83+E83</f>
        <v>4084</v>
      </c>
      <c r="H83" s="35"/>
      <c r="I83" s="36"/>
    </row>
    <row r="84" spans="1:9" ht="15" customHeight="1" x14ac:dyDescent="0.25">
      <c r="E84" s="26"/>
      <c r="F84" s="26">
        <f>+F83+G83</f>
        <v>21821</v>
      </c>
    </row>
    <row r="85" spans="1:9" ht="15" customHeight="1" x14ac:dyDescent="0.25">
      <c r="F85" s="26">
        <f>+F84-3893</f>
        <v>17928</v>
      </c>
    </row>
    <row r="86" spans="1:9" ht="15" customHeight="1" x14ac:dyDescent="0.25">
      <c r="H86">
        <f>7194+1000</f>
        <v>8194</v>
      </c>
    </row>
    <row r="87" spans="1:9" ht="15" customHeight="1" x14ac:dyDescent="0.25"/>
    <row r="88" spans="1:9" ht="15" customHeight="1" x14ac:dyDescent="0.25"/>
    <row r="89" spans="1:9" ht="15" customHeight="1" x14ac:dyDescent="0.25"/>
    <row r="90" spans="1:9" ht="15" customHeight="1" x14ac:dyDescent="0.25"/>
    <row r="91" spans="1:9" ht="15" customHeight="1" x14ac:dyDescent="0.25"/>
    <row r="92" spans="1:9" ht="15" customHeight="1" x14ac:dyDescent="0.25"/>
    <row r="93" spans="1:9" ht="15" customHeight="1" x14ac:dyDescent="0.25"/>
    <row r="94" spans="1:9" ht="15" customHeight="1" x14ac:dyDescent="0.25"/>
    <row r="95" spans="1:9" ht="15" customHeight="1" x14ac:dyDescent="0.25"/>
    <row r="96" spans="1:9" ht="15" customHeight="1" x14ac:dyDescent="0.25"/>
    <row r="97" spans="6:6" ht="15" customHeight="1" x14ac:dyDescent="0.25"/>
    <row r="98" spans="6:6" ht="15" customHeight="1" x14ac:dyDescent="0.25"/>
    <row r="99" spans="6:6" ht="15" customHeight="1" x14ac:dyDescent="0.25"/>
    <row r="100" spans="6:6" ht="15" customHeight="1" x14ac:dyDescent="0.25"/>
    <row r="101" spans="6:6" ht="15" customHeight="1" x14ac:dyDescent="0.25"/>
    <row r="102" spans="6:6" ht="15" customHeight="1" x14ac:dyDescent="0.25"/>
    <row r="103" spans="6:6" ht="15" customHeight="1" x14ac:dyDescent="0.25"/>
    <row r="104" spans="6:6" ht="15" customHeight="1" x14ac:dyDescent="0.25"/>
    <row r="105" spans="6:6" ht="15" customHeight="1" x14ac:dyDescent="0.25">
      <c r="F105">
        <f>33+300+300+150</f>
        <v>783</v>
      </c>
    </row>
    <row r="106" spans="6:6" ht="15" customHeight="1" x14ac:dyDescent="0.25">
      <c r="F106">
        <f>+F105-576</f>
        <v>207</v>
      </c>
    </row>
    <row r="107" spans="6:6" ht="15" customHeight="1" x14ac:dyDescent="0.25"/>
    <row r="108" spans="6:6" ht="15" customHeight="1" x14ac:dyDescent="0.25"/>
    <row r="109" spans="6:6" ht="15" customHeight="1" x14ac:dyDescent="0.25"/>
    <row r="110" spans="6:6" ht="15" customHeight="1" x14ac:dyDescent="0.25"/>
    <row r="111" spans="6:6" ht="15" customHeight="1" x14ac:dyDescent="0.25"/>
    <row r="112" spans="6:6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J83"/>
  <sheetViews>
    <sheetView topLeftCell="A2" workbookViewId="0">
      <selection activeCell="B9" sqref="B8:B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6.140625" customWidth="1"/>
    <col min="9" max="9" width="12.28515625" customWidth="1"/>
    <col min="12" max="12" width="11.28515625" bestFit="1" customWidth="1"/>
    <col min="17" max="17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 t="s">
        <v>11</v>
      </c>
      <c r="D9" s="10"/>
      <c r="E9" s="11"/>
      <c r="F9" s="12"/>
      <c r="G9" s="13">
        <v>6237</v>
      </c>
      <c r="H9" s="7"/>
      <c r="I9" s="7"/>
    </row>
    <row r="10" spans="1:10" ht="18" customHeight="1" x14ac:dyDescent="0.25">
      <c r="A10" s="14">
        <v>1</v>
      </c>
      <c r="B10" s="37"/>
      <c r="C10" s="15" t="s">
        <v>123</v>
      </c>
      <c r="D10" s="10" t="s">
        <v>12</v>
      </c>
      <c r="E10" s="16"/>
      <c r="F10" s="27"/>
      <c r="G10" s="18">
        <f t="shared" ref="G10:G41" si="0">+G9+E10-F10</f>
        <v>6237</v>
      </c>
      <c r="H10" s="18"/>
      <c r="I10" s="7"/>
    </row>
    <row r="11" spans="1:10" ht="18" customHeight="1" x14ac:dyDescent="0.25">
      <c r="A11" s="14">
        <f t="shared" ref="A11:A41" si="1">+A10+1</f>
        <v>2</v>
      </c>
      <c r="B11" s="37"/>
      <c r="C11" s="15" t="s">
        <v>123</v>
      </c>
      <c r="D11" s="10" t="s">
        <v>12</v>
      </c>
      <c r="E11" s="16"/>
      <c r="F11" s="27"/>
      <c r="G11" s="18">
        <f t="shared" si="0"/>
        <v>6237</v>
      </c>
      <c r="H11" s="28"/>
      <c r="I11" s="29"/>
    </row>
    <row r="12" spans="1:10" ht="18" customHeight="1" x14ac:dyDescent="0.25">
      <c r="A12" s="14">
        <f t="shared" si="1"/>
        <v>3</v>
      </c>
      <c r="B12" s="37"/>
      <c r="C12" s="15" t="s">
        <v>123</v>
      </c>
      <c r="D12" s="10" t="s">
        <v>12</v>
      </c>
      <c r="E12" s="16"/>
      <c r="F12" s="27"/>
      <c r="G12" s="18">
        <f t="shared" si="0"/>
        <v>6237</v>
      </c>
      <c r="H12" s="28"/>
      <c r="I12" s="29"/>
    </row>
    <row r="13" spans="1:10" ht="18" customHeight="1" x14ac:dyDescent="0.25">
      <c r="A13" s="14">
        <f t="shared" si="1"/>
        <v>4</v>
      </c>
      <c r="B13" s="37"/>
      <c r="C13" s="15" t="s">
        <v>123</v>
      </c>
      <c r="D13" s="10" t="s">
        <v>12</v>
      </c>
      <c r="E13" s="16"/>
      <c r="F13" s="27"/>
      <c r="G13" s="18">
        <f t="shared" si="0"/>
        <v>6237</v>
      </c>
      <c r="H13" s="28"/>
      <c r="I13" s="29"/>
    </row>
    <row r="14" spans="1:10" ht="18" customHeight="1" x14ac:dyDescent="0.25">
      <c r="A14" s="14">
        <f t="shared" si="1"/>
        <v>5</v>
      </c>
      <c r="B14" s="37"/>
      <c r="C14" s="15" t="s">
        <v>123</v>
      </c>
      <c r="D14" s="10" t="s">
        <v>12</v>
      </c>
      <c r="E14" s="16"/>
      <c r="F14" s="27"/>
      <c r="G14" s="18">
        <f t="shared" si="0"/>
        <v>6237</v>
      </c>
      <c r="H14" s="28"/>
      <c r="I14" s="29"/>
    </row>
    <row r="15" spans="1:10" ht="18" customHeight="1" x14ac:dyDescent="0.25">
      <c r="A15" s="14">
        <f t="shared" si="1"/>
        <v>6</v>
      </c>
      <c r="B15" s="37"/>
      <c r="C15" s="15" t="s">
        <v>123</v>
      </c>
      <c r="D15" s="10" t="s">
        <v>12</v>
      </c>
      <c r="E15" s="16"/>
      <c r="F15" s="27"/>
      <c r="G15" s="18">
        <f t="shared" si="0"/>
        <v>6237</v>
      </c>
      <c r="H15" s="28"/>
      <c r="I15" s="29"/>
    </row>
    <row r="16" spans="1:10" ht="18" customHeight="1" x14ac:dyDescent="0.25">
      <c r="A16" s="14">
        <f t="shared" si="1"/>
        <v>7</v>
      </c>
      <c r="B16" s="37"/>
      <c r="C16" s="15" t="s">
        <v>123</v>
      </c>
      <c r="D16" s="10" t="s">
        <v>12</v>
      </c>
      <c r="E16" s="16"/>
      <c r="F16" s="27"/>
      <c r="G16" s="18">
        <f t="shared" si="0"/>
        <v>6237</v>
      </c>
      <c r="H16" s="28"/>
      <c r="I16" s="29"/>
      <c r="J16" s="26"/>
    </row>
    <row r="17" spans="1:9" ht="18" customHeight="1" x14ac:dyDescent="0.25">
      <c r="A17" s="14">
        <f t="shared" si="1"/>
        <v>8</v>
      </c>
      <c r="B17" s="37"/>
      <c r="C17" s="15" t="s">
        <v>123</v>
      </c>
      <c r="D17" s="10" t="s">
        <v>12</v>
      </c>
      <c r="E17" s="16"/>
      <c r="F17" s="27"/>
      <c r="G17" s="18">
        <f t="shared" si="0"/>
        <v>6237</v>
      </c>
      <c r="H17" s="28"/>
      <c r="I17" s="38"/>
    </row>
    <row r="18" spans="1:9" ht="18" customHeight="1" x14ac:dyDescent="0.25">
      <c r="A18" s="14">
        <f t="shared" si="1"/>
        <v>9</v>
      </c>
      <c r="B18" s="37"/>
      <c r="C18" s="15" t="s">
        <v>123</v>
      </c>
      <c r="D18" s="10" t="s">
        <v>12</v>
      </c>
      <c r="E18" s="16"/>
      <c r="F18" s="27"/>
      <c r="G18" s="18">
        <f t="shared" si="0"/>
        <v>6237</v>
      </c>
      <c r="H18" s="28"/>
      <c r="I18" s="29"/>
    </row>
    <row r="19" spans="1:9" ht="18" customHeight="1" x14ac:dyDescent="0.25">
      <c r="A19" s="14">
        <f t="shared" si="1"/>
        <v>10</v>
      </c>
      <c r="B19" s="37"/>
      <c r="C19" s="15" t="s">
        <v>123</v>
      </c>
      <c r="D19" s="10" t="s">
        <v>12</v>
      </c>
      <c r="E19" s="16"/>
      <c r="F19" s="27"/>
      <c r="G19" s="18">
        <f t="shared" si="0"/>
        <v>6237</v>
      </c>
      <c r="H19" s="28"/>
      <c r="I19" s="29"/>
    </row>
    <row r="20" spans="1:9" ht="18" customHeight="1" x14ac:dyDescent="0.25">
      <c r="A20" s="14">
        <f t="shared" si="1"/>
        <v>11</v>
      </c>
      <c r="B20" s="8"/>
      <c r="C20" s="15" t="s">
        <v>123</v>
      </c>
      <c r="D20" s="10" t="s">
        <v>12</v>
      </c>
      <c r="E20" s="30"/>
      <c r="F20" s="27"/>
      <c r="G20" s="18">
        <f t="shared" si="0"/>
        <v>6237</v>
      </c>
      <c r="H20" s="28"/>
      <c r="I20" s="29"/>
    </row>
    <row r="21" spans="1:9" ht="18" customHeight="1" x14ac:dyDescent="0.25">
      <c r="A21" s="14">
        <f t="shared" si="1"/>
        <v>12</v>
      </c>
      <c r="B21" s="37"/>
      <c r="C21" s="15" t="s">
        <v>123</v>
      </c>
      <c r="D21" s="10" t="s">
        <v>12</v>
      </c>
      <c r="E21" s="16"/>
      <c r="F21" s="27"/>
      <c r="G21" s="18">
        <f t="shared" si="0"/>
        <v>6237</v>
      </c>
      <c r="H21" s="28"/>
      <c r="I21" s="29"/>
    </row>
    <row r="22" spans="1:9" ht="18" customHeight="1" x14ac:dyDescent="0.25">
      <c r="A22" s="14">
        <f t="shared" si="1"/>
        <v>13</v>
      </c>
      <c r="B22" s="37"/>
      <c r="C22" s="15" t="s">
        <v>123</v>
      </c>
      <c r="D22" s="10" t="s">
        <v>12</v>
      </c>
      <c r="E22" s="16"/>
      <c r="F22" s="27"/>
      <c r="G22" s="18">
        <f t="shared" si="0"/>
        <v>6237</v>
      </c>
      <c r="H22" s="28"/>
      <c r="I22" s="29"/>
    </row>
    <row r="23" spans="1:9" ht="18" customHeight="1" x14ac:dyDescent="0.25">
      <c r="A23" s="14">
        <f t="shared" si="1"/>
        <v>14</v>
      </c>
      <c r="B23" s="37"/>
      <c r="C23" s="15" t="s">
        <v>123</v>
      </c>
      <c r="D23" s="10" t="s">
        <v>12</v>
      </c>
      <c r="E23" s="16"/>
      <c r="F23" s="27"/>
      <c r="G23" s="18">
        <f t="shared" si="0"/>
        <v>6237</v>
      </c>
      <c r="H23" s="28"/>
      <c r="I23" s="29"/>
    </row>
    <row r="24" spans="1:9" ht="18" customHeight="1" x14ac:dyDescent="0.25">
      <c r="A24" s="14">
        <f t="shared" si="1"/>
        <v>15</v>
      </c>
      <c r="B24" s="37"/>
      <c r="C24" s="15" t="s">
        <v>123</v>
      </c>
      <c r="D24" s="10" t="s">
        <v>12</v>
      </c>
      <c r="E24" s="32"/>
      <c r="F24" s="27"/>
      <c r="G24" s="18">
        <f t="shared" si="0"/>
        <v>6237</v>
      </c>
      <c r="H24" s="28"/>
      <c r="I24" s="29"/>
    </row>
    <row r="25" spans="1:9" ht="18" customHeight="1" x14ac:dyDescent="0.25">
      <c r="A25" s="14">
        <f t="shared" si="1"/>
        <v>16</v>
      </c>
      <c r="B25" s="37"/>
      <c r="C25" s="15" t="s">
        <v>123</v>
      </c>
      <c r="D25" s="10" t="s">
        <v>12</v>
      </c>
      <c r="E25" s="32"/>
      <c r="F25" s="27"/>
      <c r="G25" s="18">
        <f t="shared" si="0"/>
        <v>6237</v>
      </c>
      <c r="H25" s="28"/>
      <c r="I25" s="29"/>
    </row>
    <row r="26" spans="1:9" ht="18" customHeight="1" x14ac:dyDescent="0.25">
      <c r="A26" s="14">
        <f t="shared" si="1"/>
        <v>17</v>
      </c>
      <c r="B26" s="37"/>
      <c r="C26" s="15" t="s">
        <v>123</v>
      </c>
      <c r="D26" s="10" t="s">
        <v>12</v>
      </c>
      <c r="E26" s="32"/>
      <c r="F26" s="27"/>
      <c r="G26" s="18">
        <f t="shared" si="0"/>
        <v>6237</v>
      </c>
      <c r="H26" s="28"/>
      <c r="I26" s="29"/>
    </row>
    <row r="27" spans="1:9" ht="18" customHeight="1" x14ac:dyDescent="0.25">
      <c r="A27" s="14">
        <f t="shared" si="1"/>
        <v>18</v>
      </c>
      <c r="B27" s="37"/>
      <c r="C27" s="15" t="s">
        <v>123</v>
      </c>
      <c r="D27" s="10" t="s">
        <v>12</v>
      </c>
      <c r="E27" s="32"/>
      <c r="F27" s="27"/>
      <c r="G27" s="18">
        <f t="shared" si="0"/>
        <v>6237</v>
      </c>
      <c r="H27" s="28"/>
      <c r="I27" s="29"/>
    </row>
    <row r="28" spans="1:9" ht="18" customHeight="1" x14ac:dyDescent="0.25">
      <c r="A28" s="14">
        <f t="shared" si="1"/>
        <v>19</v>
      </c>
      <c r="B28" s="37"/>
      <c r="C28" s="15" t="s">
        <v>123</v>
      </c>
      <c r="D28" s="10" t="s">
        <v>12</v>
      </c>
      <c r="E28" s="32"/>
      <c r="F28" s="27"/>
      <c r="G28" s="18">
        <f t="shared" si="0"/>
        <v>6237</v>
      </c>
      <c r="H28" s="28"/>
      <c r="I28" s="29"/>
    </row>
    <row r="29" spans="1:9" ht="18" customHeight="1" x14ac:dyDescent="0.25">
      <c r="A29" s="14">
        <f t="shared" si="1"/>
        <v>20</v>
      </c>
      <c r="B29" s="37"/>
      <c r="C29" s="15" t="s">
        <v>123</v>
      </c>
      <c r="D29" s="10" t="s">
        <v>12</v>
      </c>
      <c r="E29" s="32"/>
      <c r="F29" s="27"/>
      <c r="G29" s="18">
        <f t="shared" si="0"/>
        <v>6237</v>
      </c>
      <c r="H29" s="28"/>
      <c r="I29" s="29"/>
    </row>
    <row r="30" spans="1:9" ht="18" customHeight="1" x14ac:dyDescent="0.25">
      <c r="A30" s="14">
        <f t="shared" si="1"/>
        <v>21</v>
      </c>
      <c r="B30" s="37"/>
      <c r="C30" s="15" t="s">
        <v>123</v>
      </c>
      <c r="D30" s="10" t="s">
        <v>12</v>
      </c>
      <c r="E30" s="32"/>
      <c r="F30" s="27"/>
      <c r="G30" s="18">
        <f>+G29+E30-F30</f>
        <v>6237</v>
      </c>
      <c r="H30" s="28"/>
      <c r="I30" s="29"/>
    </row>
    <row r="31" spans="1:9" ht="18" customHeight="1" x14ac:dyDescent="0.25">
      <c r="A31" s="14">
        <f t="shared" si="1"/>
        <v>22</v>
      </c>
      <c r="B31" s="37"/>
      <c r="C31" s="15" t="s">
        <v>123</v>
      </c>
      <c r="D31" s="10" t="s">
        <v>12</v>
      </c>
      <c r="E31" s="32"/>
      <c r="F31" s="27"/>
      <c r="G31" s="18">
        <f>+G30+E31-F31</f>
        <v>6237</v>
      </c>
      <c r="H31" s="28"/>
      <c r="I31" s="29"/>
    </row>
    <row r="32" spans="1:9" ht="18" customHeight="1" x14ac:dyDescent="0.25">
      <c r="A32" s="14">
        <f t="shared" si="1"/>
        <v>23</v>
      </c>
      <c r="B32" s="37"/>
      <c r="C32" s="15" t="s">
        <v>123</v>
      </c>
      <c r="D32" s="10" t="s">
        <v>12</v>
      </c>
      <c r="E32" s="32"/>
      <c r="F32" s="27"/>
      <c r="G32" s="18">
        <f>+G31+E32-F32</f>
        <v>6237</v>
      </c>
      <c r="H32" s="28"/>
      <c r="I32" s="29"/>
    </row>
    <row r="33" spans="1:9" ht="18" customHeight="1" x14ac:dyDescent="0.25">
      <c r="A33" s="14">
        <f t="shared" si="1"/>
        <v>24</v>
      </c>
      <c r="B33" s="37"/>
      <c r="C33" s="15" t="s">
        <v>123</v>
      </c>
      <c r="D33" s="10" t="s">
        <v>12</v>
      </c>
      <c r="E33" s="32"/>
      <c r="F33" s="27"/>
      <c r="G33" s="18">
        <f>+G32+E33-F33</f>
        <v>6237</v>
      </c>
      <c r="H33" s="28"/>
      <c r="I33" s="29"/>
    </row>
    <row r="34" spans="1:9" ht="18" customHeight="1" x14ac:dyDescent="0.25">
      <c r="A34" s="14">
        <f t="shared" si="1"/>
        <v>25</v>
      </c>
      <c r="B34" s="37"/>
      <c r="C34" s="15" t="s">
        <v>123</v>
      </c>
      <c r="D34" s="10" t="s">
        <v>12</v>
      </c>
      <c r="E34" s="32"/>
      <c r="F34" s="27"/>
      <c r="G34" s="18">
        <f t="shared" ref="G34:G40" si="2">+G33+E34-F34</f>
        <v>6237</v>
      </c>
      <c r="H34" s="28"/>
      <c r="I34" s="29"/>
    </row>
    <row r="35" spans="1:9" ht="18" customHeight="1" x14ac:dyDescent="0.25">
      <c r="A35" s="14">
        <f t="shared" si="1"/>
        <v>26</v>
      </c>
      <c r="B35" s="37"/>
      <c r="C35" s="15" t="s">
        <v>123</v>
      </c>
      <c r="D35" s="10" t="s">
        <v>12</v>
      </c>
      <c r="E35" s="32"/>
      <c r="F35" s="27"/>
      <c r="G35" s="18">
        <f t="shared" si="2"/>
        <v>6237</v>
      </c>
      <c r="H35" s="28"/>
      <c r="I35" s="29"/>
    </row>
    <row r="36" spans="1:9" ht="18" customHeight="1" x14ac:dyDescent="0.25">
      <c r="A36" s="14">
        <f t="shared" si="1"/>
        <v>27</v>
      </c>
      <c r="B36" s="37"/>
      <c r="C36" s="15" t="s">
        <v>123</v>
      </c>
      <c r="D36" s="10" t="s">
        <v>12</v>
      </c>
      <c r="E36" s="32"/>
      <c r="F36" s="27"/>
      <c r="G36" s="18">
        <f t="shared" si="2"/>
        <v>6237</v>
      </c>
      <c r="H36" s="28"/>
      <c r="I36" s="29"/>
    </row>
    <row r="37" spans="1:9" ht="18" customHeight="1" x14ac:dyDescent="0.25">
      <c r="A37" s="14">
        <f t="shared" si="1"/>
        <v>28</v>
      </c>
      <c r="B37" s="37"/>
      <c r="C37" s="15" t="s">
        <v>123</v>
      </c>
      <c r="D37" s="10" t="s">
        <v>12</v>
      </c>
      <c r="E37" s="32"/>
      <c r="F37" s="27"/>
      <c r="G37" s="18">
        <f t="shared" si="2"/>
        <v>6237</v>
      </c>
      <c r="H37" s="28"/>
      <c r="I37" s="29"/>
    </row>
    <row r="38" spans="1:9" ht="18" customHeight="1" x14ac:dyDescent="0.25">
      <c r="A38" s="14">
        <f t="shared" si="1"/>
        <v>29</v>
      </c>
      <c r="B38" s="37"/>
      <c r="C38" s="15" t="s">
        <v>123</v>
      </c>
      <c r="D38" s="10" t="s">
        <v>12</v>
      </c>
      <c r="E38" s="32"/>
      <c r="F38" s="27"/>
      <c r="G38" s="18">
        <f t="shared" si="2"/>
        <v>6237</v>
      </c>
      <c r="H38" s="28"/>
      <c r="I38" s="29"/>
    </row>
    <row r="39" spans="1:9" ht="18" customHeight="1" x14ac:dyDescent="0.25">
      <c r="A39" s="14">
        <f t="shared" si="1"/>
        <v>30</v>
      </c>
      <c r="B39" s="37"/>
      <c r="C39" s="15" t="s">
        <v>123</v>
      </c>
      <c r="D39" s="10" t="s">
        <v>12</v>
      </c>
      <c r="E39" s="32"/>
      <c r="F39" s="27"/>
      <c r="G39" s="18">
        <f t="shared" si="2"/>
        <v>6237</v>
      </c>
      <c r="H39" s="28"/>
      <c r="I39" s="29"/>
    </row>
    <row r="40" spans="1:9" ht="18" customHeight="1" x14ac:dyDescent="0.25">
      <c r="A40" s="14">
        <f t="shared" si="1"/>
        <v>31</v>
      </c>
      <c r="B40" s="37"/>
      <c r="C40" s="15" t="s">
        <v>123</v>
      </c>
      <c r="D40" s="10" t="s">
        <v>12</v>
      </c>
      <c r="E40" s="32"/>
      <c r="F40" s="27"/>
      <c r="G40" s="18">
        <f t="shared" si="2"/>
        <v>6237</v>
      </c>
      <c r="H40" s="28"/>
      <c r="I40" s="29"/>
    </row>
    <row r="41" spans="1:9" ht="18" customHeight="1" x14ac:dyDescent="0.25">
      <c r="A41" s="14">
        <f t="shared" si="1"/>
        <v>32</v>
      </c>
      <c r="B41" s="37"/>
      <c r="C41" s="15" t="s">
        <v>123</v>
      </c>
      <c r="D41" s="10" t="s">
        <v>12</v>
      </c>
      <c r="E41" s="32"/>
      <c r="F41" s="27"/>
      <c r="G41" s="18">
        <f t="shared" si="0"/>
        <v>6237</v>
      </c>
      <c r="H41" s="28"/>
      <c r="I41" s="29"/>
    </row>
    <row r="42" spans="1:9" ht="15" customHeight="1" x14ac:dyDescent="0.25">
      <c r="A42" s="7"/>
      <c r="B42" s="7"/>
      <c r="C42" s="34" t="s">
        <v>13</v>
      </c>
      <c r="D42" s="7"/>
      <c r="E42" s="35">
        <f>SUM(E10:E41)</f>
        <v>0</v>
      </c>
      <c r="F42" s="35">
        <f>SUM(F10:F41)</f>
        <v>0</v>
      </c>
      <c r="G42" s="35">
        <f>+E42-F42+G9</f>
        <v>6237</v>
      </c>
      <c r="H42" s="35"/>
      <c r="I42" s="36"/>
    </row>
    <row r="43" spans="1:9" ht="15" customHeight="1" x14ac:dyDescent="0.25">
      <c r="E43" s="26"/>
      <c r="F43" s="26"/>
    </row>
    <row r="44" spans="1:9" ht="15" customHeight="1" x14ac:dyDescent="0.25"/>
    <row r="45" spans="1:9" ht="15" customHeight="1" x14ac:dyDescent="0.25"/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K67"/>
  <sheetViews>
    <sheetView workbookViewId="0">
      <selection activeCell="F15" sqref="F15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7.57031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7.57031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7.57031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7.57031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7.57031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7.57031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7.57031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7.57031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7.57031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7.57031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7.57031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7.57031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7.57031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7.57031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7.57031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7.57031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7.57031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7.57031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7.57031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7.57031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7.57031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7.57031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7.57031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7.57031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7.57031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7.57031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7.57031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7.57031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7.57031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7.57031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7.57031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7.57031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7.57031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7.57031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7.57031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7.57031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7.57031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7.57031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7.57031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7.57031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7.57031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7.57031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7.57031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7.57031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7.57031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7.57031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7.57031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7.57031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7.57031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7.57031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7.57031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7.57031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7.57031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7.57031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7.57031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7.57031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7.57031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7.57031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7.57031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7.57031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7.57031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7.57031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7.57031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457" t="str">
        <f>+'[1]Hộp CB'!A4:I5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1" x14ac:dyDescent="0.25">
      <c r="A5" s="457"/>
      <c r="B5" s="457"/>
      <c r="C5" s="457"/>
      <c r="D5" s="457"/>
      <c r="E5" s="457"/>
      <c r="F5" s="457"/>
      <c r="G5" s="457"/>
      <c r="H5" s="457"/>
      <c r="I5" s="457"/>
      <c r="J5">
        <f>5+10+5+2+10+10+3+7+8</f>
        <v>60</v>
      </c>
    </row>
    <row r="7" spans="1:11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>
        <f>600+60</f>
        <v>660</v>
      </c>
    </row>
    <row r="8" spans="1:11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343">
        <v>5672</v>
      </c>
      <c r="H8" s="7"/>
      <c r="I8" s="7"/>
    </row>
    <row r="9" spans="1:11" ht="18" customHeight="1" x14ac:dyDescent="0.25">
      <c r="A9" s="14">
        <v>1</v>
      </c>
      <c r="B9" s="39">
        <v>45674</v>
      </c>
      <c r="C9" s="15" t="s">
        <v>124</v>
      </c>
      <c r="D9" s="10" t="s">
        <v>33</v>
      </c>
      <c r="E9" s="16"/>
      <c r="F9" s="27">
        <v>100</v>
      </c>
      <c r="G9" s="18">
        <f t="shared" ref="G9:G60" si="0">+G8+E9-F9</f>
        <v>5572</v>
      </c>
      <c r="H9" s="18" t="s">
        <v>91</v>
      </c>
      <c r="I9" s="7" t="s">
        <v>133</v>
      </c>
    </row>
    <row r="10" spans="1:11" ht="18" customHeight="1" x14ac:dyDescent="0.25">
      <c r="A10" s="14">
        <f t="shared" ref="A10:A60" si="1">+A9+1</f>
        <v>2</v>
      </c>
      <c r="B10" s="39">
        <v>45675</v>
      </c>
      <c r="C10" s="15" t="s">
        <v>124</v>
      </c>
      <c r="D10" s="10" t="s">
        <v>33</v>
      </c>
      <c r="E10" s="16"/>
      <c r="F10" s="40">
        <v>350</v>
      </c>
      <c r="G10" s="18">
        <f t="shared" si="0"/>
        <v>5222</v>
      </c>
      <c r="H10" s="18" t="s">
        <v>91</v>
      </c>
      <c r="I10" s="7" t="s">
        <v>133</v>
      </c>
    </row>
    <row r="11" spans="1:11" ht="18" customHeight="1" x14ac:dyDescent="0.25">
      <c r="A11" s="14">
        <f t="shared" si="1"/>
        <v>3</v>
      </c>
      <c r="B11" s="39">
        <v>45776</v>
      </c>
      <c r="C11" s="15" t="s">
        <v>124</v>
      </c>
      <c r="D11" s="10" t="s">
        <v>33</v>
      </c>
      <c r="E11" s="16"/>
      <c r="F11" s="40">
        <v>1426</v>
      </c>
      <c r="G11" s="18">
        <f t="shared" si="0"/>
        <v>3796</v>
      </c>
      <c r="H11" s="18" t="s">
        <v>91</v>
      </c>
      <c r="I11" s="7" t="s">
        <v>133</v>
      </c>
    </row>
    <row r="12" spans="1:11" ht="18" customHeight="1" x14ac:dyDescent="0.25">
      <c r="A12" s="14">
        <f t="shared" si="1"/>
        <v>4</v>
      </c>
      <c r="B12" s="39">
        <v>45869</v>
      </c>
      <c r="C12" s="15" t="s">
        <v>124</v>
      </c>
      <c r="D12" s="10" t="s">
        <v>33</v>
      </c>
      <c r="E12" s="16"/>
      <c r="F12" s="40">
        <v>23</v>
      </c>
      <c r="G12" s="18">
        <f t="shared" si="0"/>
        <v>3773</v>
      </c>
      <c r="H12" s="18" t="s">
        <v>91</v>
      </c>
      <c r="I12" s="7" t="s">
        <v>133</v>
      </c>
      <c r="J12" t="s">
        <v>85</v>
      </c>
    </row>
    <row r="13" spans="1:11" ht="18" customHeight="1" x14ac:dyDescent="0.25">
      <c r="A13" s="14">
        <f t="shared" si="1"/>
        <v>5</v>
      </c>
      <c r="B13" s="39">
        <v>45898</v>
      </c>
      <c r="C13" s="15" t="s">
        <v>124</v>
      </c>
      <c r="D13" s="10" t="s">
        <v>33</v>
      </c>
      <c r="E13" s="16"/>
      <c r="F13" s="40">
        <v>420</v>
      </c>
      <c r="G13" s="18">
        <f t="shared" si="0"/>
        <v>3353</v>
      </c>
      <c r="H13" s="18"/>
      <c r="I13" s="7"/>
    </row>
    <row r="14" spans="1:11" ht="18" customHeight="1" x14ac:dyDescent="0.25">
      <c r="A14" s="14">
        <f t="shared" si="1"/>
        <v>6</v>
      </c>
      <c r="B14" s="41">
        <v>45899</v>
      </c>
      <c r="C14" s="15" t="s">
        <v>124</v>
      </c>
      <c r="D14" s="10" t="s">
        <v>33</v>
      </c>
      <c r="E14" s="16"/>
      <c r="F14" s="27">
        <v>1380</v>
      </c>
      <c r="G14" s="18">
        <f t="shared" si="0"/>
        <v>1973</v>
      </c>
      <c r="H14" s="18" t="s">
        <v>91</v>
      </c>
      <c r="I14" s="7" t="s">
        <v>133</v>
      </c>
      <c r="J14" s="26"/>
      <c r="K14">
        <f>9*400+202</f>
        <v>3802</v>
      </c>
    </row>
    <row r="15" spans="1:11" ht="18" customHeight="1" x14ac:dyDescent="0.25">
      <c r="A15" s="14">
        <f t="shared" si="1"/>
        <v>7</v>
      </c>
      <c r="B15" s="190">
        <v>45912</v>
      </c>
      <c r="C15" s="15" t="s">
        <v>124</v>
      </c>
      <c r="D15" s="10" t="s">
        <v>33</v>
      </c>
      <c r="E15" s="16"/>
      <c r="F15" s="27">
        <v>10</v>
      </c>
      <c r="G15" s="18">
        <f t="shared" si="0"/>
        <v>1963</v>
      </c>
      <c r="H15" s="18" t="s">
        <v>91</v>
      </c>
      <c r="I15" s="7" t="s">
        <v>133</v>
      </c>
      <c r="J15" s="26">
        <f>360+585</f>
        <v>945</v>
      </c>
    </row>
    <row r="16" spans="1:11" ht="18" customHeight="1" x14ac:dyDescent="0.25">
      <c r="A16" s="14">
        <f t="shared" si="1"/>
        <v>8</v>
      </c>
      <c r="B16" s="190"/>
      <c r="C16" s="15" t="s">
        <v>124</v>
      </c>
      <c r="D16" s="10" t="s">
        <v>33</v>
      </c>
      <c r="E16" s="16"/>
      <c r="F16" s="27"/>
      <c r="G16" s="18">
        <f t="shared" si="0"/>
        <v>1963</v>
      </c>
      <c r="H16" s="18" t="s">
        <v>91</v>
      </c>
      <c r="I16" s="7" t="s">
        <v>133</v>
      </c>
      <c r="J16" s="26">
        <f>360+585</f>
        <v>945</v>
      </c>
    </row>
    <row r="17" spans="1:11" ht="18" customHeight="1" x14ac:dyDescent="0.25">
      <c r="A17" s="14">
        <f t="shared" si="1"/>
        <v>9</v>
      </c>
      <c r="B17" s="43"/>
      <c r="C17" s="15" t="s">
        <v>124</v>
      </c>
      <c r="D17" s="10" t="s">
        <v>33</v>
      </c>
      <c r="E17" s="16"/>
      <c r="F17" s="17"/>
      <c r="G17" s="18">
        <f t="shared" si="0"/>
        <v>1963</v>
      </c>
      <c r="H17" s="18" t="s">
        <v>91</v>
      </c>
      <c r="I17" s="7" t="s">
        <v>133</v>
      </c>
    </row>
    <row r="18" spans="1:11" ht="18" customHeight="1" x14ac:dyDescent="0.25">
      <c r="A18" s="14">
        <f t="shared" si="1"/>
        <v>10</v>
      </c>
      <c r="B18" s="42"/>
      <c r="C18" s="15" t="s">
        <v>124</v>
      </c>
      <c r="D18" s="10" t="s">
        <v>33</v>
      </c>
      <c r="E18" s="16"/>
      <c r="F18" s="17"/>
      <c r="G18" s="18">
        <f t="shared" si="0"/>
        <v>1963</v>
      </c>
      <c r="H18" s="18"/>
      <c r="I18" s="7"/>
    </row>
    <row r="19" spans="1:11" ht="18" customHeight="1" x14ac:dyDescent="0.25">
      <c r="A19" s="14">
        <f t="shared" si="1"/>
        <v>11</v>
      </c>
      <c r="B19" s="43"/>
      <c r="C19" s="15" t="s">
        <v>124</v>
      </c>
      <c r="D19" s="10" t="s">
        <v>33</v>
      </c>
      <c r="E19" s="16"/>
      <c r="F19" s="17"/>
      <c r="G19" s="18">
        <f t="shared" si="0"/>
        <v>1963</v>
      </c>
      <c r="H19" s="18"/>
      <c r="I19" s="7"/>
      <c r="K19">
        <f>17*450+426</f>
        <v>8076</v>
      </c>
    </row>
    <row r="20" spans="1:11" ht="18" customHeight="1" x14ac:dyDescent="0.25">
      <c r="A20" s="14">
        <f t="shared" si="1"/>
        <v>12</v>
      </c>
      <c r="B20" s="39"/>
      <c r="C20" s="15" t="s">
        <v>124</v>
      </c>
      <c r="D20" s="10" t="s">
        <v>33</v>
      </c>
      <c r="E20" s="16"/>
      <c r="F20" s="17"/>
      <c r="G20" s="18">
        <f t="shared" si="0"/>
        <v>1963</v>
      </c>
      <c r="H20" s="18"/>
      <c r="I20" s="7"/>
    </row>
    <row r="21" spans="1:11" ht="18" customHeight="1" x14ac:dyDescent="0.25">
      <c r="A21" s="14">
        <f t="shared" si="1"/>
        <v>13</v>
      </c>
      <c r="B21" s="39"/>
      <c r="C21" s="15" t="s">
        <v>124</v>
      </c>
      <c r="D21" s="10" t="s">
        <v>33</v>
      </c>
      <c r="E21" s="16"/>
      <c r="F21" s="27"/>
      <c r="G21" s="18">
        <f t="shared" si="0"/>
        <v>1963</v>
      </c>
      <c r="H21" s="18"/>
      <c r="I21" s="7"/>
    </row>
    <row r="22" spans="1:11" ht="18" customHeight="1" x14ac:dyDescent="0.25">
      <c r="A22" s="14">
        <f t="shared" si="1"/>
        <v>14</v>
      </c>
      <c r="B22" s="39"/>
      <c r="C22" s="15" t="s">
        <v>124</v>
      </c>
      <c r="D22" s="10" t="s">
        <v>33</v>
      </c>
      <c r="E22" s="32"/>
      <c r="F22" s="17"/>
      <c r="G22" s="18">
        <f t="shared" si="0"/>
        <v>1963</v>
      </c>
      <c r="H22" s="18"/>
      <c r="I22" s="7"/>
    </row>
    <row r="23" spans="1:11" ht="18" customHeight="1" x14ac:dyDescent="0.25">
      <c r="A23" s="14">
        <f t="shared" si="1"/>
        <v>15</v>
      </c>
      <c r="B23" s="39"/>
      <c r="C23" s="15" t="s">
        <v>124</v>
      </c>
      <c r="D23" s="10" t="s">
        <v>33</v>
      </c>
      <c r="E23" s="32"/>
      <c r="F23" s="17"/>
      <c r="G23" s="18">
        <f t="shared" si="0"/>
        <v>1963</v>
      </c>
      <c r="H23" s="18"/>
      <c r="I23" s="7"/>
    </row>
    <row r="24" spans="1:11" ht="18" customHeight="1" x14ac:dyDescent="0.25">
      <c r="A24" s="14">
        <f t="shared" si="1"/>
        <v>16</v>
      </c>
      <c r="B24" s="39"/>
      <c r="C24" s="15" t="s">
        <v>124</v>
      </c>
      <c r="D24" s="10" t="s">
        <v>33</v>
      </c>
      <c r="E24" s="32"/>
      <c r="F24" s="17"/>
      <c r="G24" s="18">
        <f t="shared" si="0"/>
        <v>1963</v>
      </c>
      <c r="H24" s="18"/>
      <c r="I24" s="7"/>
    </row>
    <row r="25" spans="1:11" ht="18" customHeight="1" x14ac:dyDescent="0.25">
      <c r="A25" s="14">
        <f t="shared" si="1"/>
        <v>17</v>
      </c>
      <c r="B25" s="39"/>
      <c r="C25" s="15" t="s">
        <v>124</v>
      </c>
      <c r="D25" s="10" t="s">
        <v>33</v>
      </c>
      <c r="E25" s="32"/>
      <c r="F25" s="17"/>
      <c r="G25" s="18">
        <f t="shared" si="0"/>
        <v>1963</v>
      </c>
      <c r="H25" s="18"/>
      <c r="I25" s="7"/>
    </row>
    <row r="26" spans="1:11" ht="18" customHeight="1" x14ac:dyDescent="0.25">
      <c r="A26" s="14">
        <f t="shared" si="1"/>
        <v>18</v>
      </c>
      <c r="B26" s="39"/>
      <c r="C26" s="15" t="s">
        <v>124</v>
      </c>
      <c r="D26" s="10" t="s">
        <v>33</v>
      </c>
      <c r="E26" s="32"/>
      <c r="F26" s="17"/>
      <c r="G26" s="18">
        <f t="shared" si="0"/>
        <v>1963</v>
      </c>
      <c r="H26" s="18"/>
      <c r="I26" s="7"/>
    </row>
    <row r="27" spans="1:11" ht="18" customHeight="1" x14ac:dyDescent="0.25">
      <c r="A27" s="14">
        <f t="shared" si="1"/>
        <v>19</v>
      </c>
      <c r="B27" s="39"/>
      <c r="C27" s="15" t="s">
        <v>124</v>
      </c>
      <c r="D27" s="10" t="s">
        <v>33</v>
      </c>
      <c r="E27" s="32"/>
      <c r="F27" s="17"/>
      <c r="G27" s="18">
        <f t="shared" si="0"/>
        <v>1963</v>
      </c>
      <c r="H27" s="18"/>
      <c r="I27" s="7"/>
    </row>
    <row r="28" spans="1:11" ht="18" customHeight="1" x14ac:dyDescent="0.25">
      <c r="A28" s="14">
        <f t="shared" si="1"/>
        <v>20</v>
      </c>
      <c r="B28" s="43"/>
      <c r="C28" s="15" t="s">
        <v>124</v>
      </c>
      <c r="D28" s="10" t="s">
        <v>33</v>
      </c>
      <c r="E28" s="32"/>
      <c r="F28" s="17"/>
      <c r="G28" s="18">
        <f t="shared" si="0"/>
        <v>1963</v>
      </c>
      <c r="H28" s="18"/>
      <c r="I28" s="7"/>
    </row>
    <row r="29" spans="1:11" ht="18" customHeight="1" x14ac:dyDescent="0.25">
      <c r="A29" s="14">
        <f t="shared" si="1"/>
        <v>21</v>
      </c>
      <c r="B29" s="44"/>
      <c r="C29" s="15" t="s">
        <v>124</v>
      </c>
      <c r="D29" s="10" t="s">
        <v>33</v>
      </c>
      <c r="E29" s="32"/>
      <c r="F29" s="17"/>
      <c r="G29" s="18">
        <f t="shared" si="0"/>
        <v>1963</v>
      </c>
      <c r="H29" s="18"/>
      <c r="I29" s="7"/>
    </row>
    <row r="30" spans="1:11" ht="18" customHeight="1" x14ac:dyDescent="0.25">
      <c r="A30" s="14">
        <f t="shared" si="1"/>
        <v>22</v>
      </c>
      <c r="B30" s="44"/>
      <c r="C30" s="15" t="s">
        <v>124</v>
      </c>
      <c r="D30" s="10" t="s">
        <v>33</v>
      </c>
      <c r="E30" s="32"/>
      <c r="F30" s="17"/>
      <c r="G30" s="18">
        <f t="shared" si="0"/>
        <v>1963</v>
      </c>
      <c r="H30" s="18"/>
      <c r="I30" s="7"/>
    </row>
    <row r="31" spans="1:11" ht="18" customHeight="1" x14ac:dyDescent="0.25">
      <c r="A31" s="14">
        <f t="shared" si="1"/>
        <v>23</v>
      </c>
      <c r="B31" s="45"/>
      <c r="C31" s="15" t="s">
        <v>124</v>
      </c>
      <c r="D31" s="10" t="s">
        <v>33</v>
      </c>
      <c r="E31" s="32"/>
      <c r="F31" s="17"/>
      <c r="G31" s="18">
        <f t="shared" si="0"/>
        <v>1963</v>
      </c>
      <c r="H31" s="18"/>
      <c r="I31" s="7"/>
    </row>
    <row r="32" spans="1:11" ht="18" customHeight="1" x14ac:dyDescent="0.25">
      <c r="A32" s="14">
        <f t="shared" si="1"/>
        <v>24</v>
      </c>
      <c r="B32" s="45"/>
      <c r="C32" s="15" t="s">
        <v>124</v>
      </c>
      <c r="D32" s="10" t="s">
        <v>33</v>
      </c>
      <c r="E32" s="32"/>
      <c r="F32" s="27"/>
      <c r="G32" s="18">
        <f t="shared" si="0"/>
        <v>1963</v>
      </c>
      <c r="H32" s="18"/>
      <c r="I32" s="7"/>
    </row>
    <row r="33" spans="1:9" ht="18" customHeight="1" x14ac:dyDescent="0.25">
      <c r="A33" s="14">
        <f t="shared" si="1"/>
        <v>25</v>
      </c>
      <c r="B33" s="45"/>
      <c r="C33" s="15" t="s">
        <v>124</v>
      </c>
      <c r="D33" s="10" t="s">
        <v>33</v>
      </c>
      <c r="E33" s="32"/>
      <c r="F33" s="27"/>
      <c r="G33" s="18">
        <f t="shared" si="0"/>
        <v>1963</v>
      </c>
      <c r="H33" s="18"/>
      <c r="I33" s="7"/>
    </row>
    <row r="34" spans="1:9" ht="18" customHeight="1" x14ac:dyDescent="0.25">
      <c r="A34" s="14">
        <f t="shared" si="1"/>
        <v>26</v>
      </c>
      <c r="B34" s="45"/>
      <c r="C34" s="15" t="s">
        <v>124</v>
      </c>
      <c r="D34" s="10" t="s">
        <v>33</v>
      </c>
      <c r="E34" s="32"/>
      <c r="F34" s="27"/>
      <c r="G34" s="18">
        <f t="shared" si="0"/>
        <v>1963</v>
      </c>
      <c r="H34" s="18"/>
      <c r="I34" s="7"/>
    </row>
    <row r="35" spans="1:9" ht="18" customHeight="1" x14ac:dyDescent="0.25">
      <c r="A35" s="14">
        <f t="shared" si="1"/>
        <v>27</v>
      </c>
      <c r="B35" s="45"/>
      <c r="C35" s="15" t="s">
        <v>124</v>
      </c>
      <c r="D35" s="10" t="s">
        <v>33</v>
      </c>
      <c r="E35" s="32"/>
      <c r="F35" s="27"/>
      <c r="G35" s="18">
        <f t="shared" si="0"/>
        <v>1963</v>
      </c>
      <c r="H35" s="18"/>
      <c r="I35" s="7"/>
    </row>
    <row r="36" spans="1:9" ht="18" customHeight="1" x14ac:dyDescent="0.25">
      <c r="A36" s="14">
        <f t="shared" si="1"/>
        <v>28</v>
      </c>
      <c r="B36" s="45"/>
      <c r="C36" s="15" t="s">
        <v>124</v>
      </c>
      <c r="D36" s="10" t="s">
        <v>33</v>
      </c>
      <c r="E36" s="32"/>
      <c r="F36" s="27"/>
      <c r="G36" s="18">
        <f t="shared" si="0"/>
        <v>1963</v>
      </c>
      <c r="H36" s="18"/>
      <c r="I36" s="7"/>
    </row>
    <row r="37" spans="1:9" ht="18" customHeight="1" x14ac:dyDescent="0.25">
      <c r="A37" s="14">
        <f t="shared" si="1"/>
        <v>29</v>
      </c>
      <c r="B37" s="45"/>
      <c r="C37" s="15" t="s">
        <v>124</v>
      </c>
      <c r="D37" s="10" t="s">
        <v>33</v>
      </c>
      <c r="E37" s="32"/>
      <c r="F37" s="27"/>
      <c r="G37" s="18">
        <f t="shared" si="0"/>
        <v>1963</v>
      </c>
      <c r="H37" s="18"/>
      <c r="I37" s="7"/>
    </row>
    <row r="38" spans="1:9" ht="18" customHeight="1" x14ac:dyDescent="0.25">
      <c r="A38" s="14">
        <f t="shared" si="1"/>
        <v>30</v>
      </c>
      <c r="B38" s="45"/>
      <c r="C38" s="15" t="s">
        <v>124</v>
      </c>
      <c r="D38" s="10" t="s">
        <v>33</v>
      </c>
      <c r="E38" s="32"/>
      <c r="F38" s="27"/>
      <c r="G38" s="18">
        <f t="shared" si="0"/>
        <v>1963</v>
      </c>
      <c r="H38" s="18"/>
      <c r="I38" s="7"/>
    </row>
    <row r="39" spans="1:9" ht="18" customHeight="1" x14ac:dyDescent="0.25">
      <c r="A39" s="14">
        <f t="shared" si="1"/>
        <v>31</v>
      </c>
      <c r="B39" s="45"/>
      <c r="C39" s="15" t="s">
        <v>124</v>
      </c>
      <c r="D39" s="10" t="s">
        <v>33</v>
      </c>
      <c r="E39" s="32"/>
      <c r="F39" s="27"/>
      <c r="G39" s="18">
        <f t="shared" si="0"/>
        <v>1963</v>
      </c>
      <c r="H39" s="18"/>
      <c r="I39" s="7"/>
    </row>
    <row r="40" spans="1:9" ht="18" customHeight="1" x14ac:dyDescent="0.25">
      <c r="A40" s="14">
        <f t="shared" si="1"/>
        <v>32</v>
      </c>
      <c r="B40" s="45"/>
      <c r="C40" s="15" t="s">
        <v>124</v>
      </c>
      <c r="D40" s="10" t="s">
        <v>33</v>
      </c>
      <c r="E40" s="32"/>
      <c r="F40" s="27"/>
      <c r="G40" s="18">
        <f t="shared" si="0"/>
        <v>1963</v>
      </c>
      <c r="H40" s="18"/>
      <c r="I40" s="7"/>
    </row>
    <row r="41" spans="1:9" ht="18" customHeight="1" x14ac:dyDescent="0.25">
      <c r="A41" s="14">
        <f t="shared" si="1"/>
        <v>33</v>
      </c>
      <c r="B41" s="45"/>
      <c r="C41" s="15" t="s">
        <v>124</v>
      </c>
      <c r="D41" s="10" t="s">
        <v>33</v>
      </c>
      <c r="E41" s="32"/>
      <c r="F41" s="27"/>
      <c r="G41" s="18">
        <f t="shared" si="0"/>
        <v>1963</v>
      </c>
      <c r="H41" s="18"/>
      <c r="I41" s="7"/>
    </row>
    <row r="42" spans="1:9" ht="18" customHeight="1" x14ac:dyDescent="0.25">
      <c r="A42" s="14">
        <f t="shared" si="1"/>
        <v>34</v>
      </c>
      <c r="B42" s="8"/>
      <c r="C42" s="15" t="s">
        <v>124</v>
      </c>
      <c r="D42" s="10" t="s">
        <v>33</v>
      </c>
      <c r="E42" s="32"/>
      <c r="F42" s="27"/>
      <c r="G42" s="18">
        <f t="shared" si="0"/>
        <v>1963</v>
      </c>
      <c r="H42" s="18"/>
      <c r="I42" s="7"/>
    </row>
    <row r="43" spans="1:9" ht="18" customHeight="1" x14ac:dyDescent="0.25">
      <c r="A43" s="14">
        <f t="shared" si="1"/>
        <v>35</v>
      </c>
      <c r="B43" s="8"/>
      <c r="C43" s="15" t="s">
        <v>124</v>
      </c>
      <c r="D43" s="10" t="s">
        <v>33</v>
      </c>
      <c r="E43" s="32"/>
      <c r="F43" s="27"/>
      <c r="G43" s="18">
        <f t="shared" si="0"/>
        <v>1963</v>
      </c>
      <c r="H43" s="18"/>
      <c r="I43" s="7"/>
    </row>
    <row r="44" spans="1:9" ht="18" customHeight="1" x14ac:dyDescent="0.25">
      <c r="A44" s="14">
        <f t="shared" si="1"/>
        <v>36</v>
      </c>
      <c r="B44" s="8"/>
      <c r="C44" s="15" t="s">
        <v>124</v>
      </c>
      <c r="D44" s="10" t="s">
        <v>33</v>
      </c>
      <c r="E44" s="32"/>
      <c r="F44" s="27"/>
      <c r="G44" s="18">
        <f t="shared" si="0"/>
        <v>1963</v>
      </c>
      <c r="H44" s="18"/>
      <c r="I44" s="7"/>
    </row>
    <row r="45" spans="1:9" ht="18" customHeight="1" x14ac:dyDescent="0.25">
      <c r="A45" s="14">
        <f t="shared" si="1"/>
        <v>37</v>
      </c>
      <c r="B45" s="8"/>
      <c r="C45" s="15" t="s">
        <v>124</v>
      </c>
      <c r="D45" s="10" t="s">
        <v>33</v>
      </c>
      <c r="E45" s="32"/>
      <c r="F45" s="27"/>
      <c r="G45" s="18">
        <f>+G44+E45-F45</f>
        <v>1963</v>
      </c>
      <c r="H45" s="18"/>
      <c r="I45" s="7"/>
    </row>
    <row r="46" spans="1:9" ht="18" customHeight="1" x14ac:dyDescent="0.25">
      <c r="A46" s="14">
        <f t="shared" si="1"/>
        <v>38</v>
      </c>
      <c r="B46" s="8"/>
      <c r="C46" s="15" t="s">
        <v>124</v>
      </c>
      <c r="D46" s="10" t="s">
        <v>33</v>
      </c>
      <c r="E46" s="32"/>
      <c r="F46" s="27"/>
      <c r="G46" s="18">
        <f t="shared" si="0"/>
        <v>1963</v>
      </c>
      <c r="H46" s="18"/>
      <c r="I46" s="7"/>
    </row>
    <row r="47" spans="1:9" ht="18" customHeight="1" x14ac:dyDescent="0.25">
      <c r="A47" s="14">
        <f t="shared" si="1"/>
        <v>39</v>
      </c>
      <c r="B47" s="8"/>
      <c r="C47" s="15" t="s">
        <v>124</v>
      </c>
      <c r="D47" s="10" t="s">
        <v>33</v>
      </c>
      <c r="E47" s="32"/>
      <c r="F47" s="27"/>
      <c r="G47" s="18">
        <f t="shared" si="0"/>
        <v>1963</v>
      </c>
      <c r="H47" s="18"/>
      <c r="I47" s="7"/>
    </row>
    <row r="48" spans="1:9" ht="18" customHeight="1" x14ac:dyDescent="0.25">
      <c r="A48" s="14">
        <f t="shared" si="1"/>
        <v>40</v>
      </c>
      <c r="B48" s="8"/>
      <c r="C48" s="15" t="s">
        <v>124</v>
      </c>
      <c r="D48" s="10" t="s">
        <v>33</v>
      </c>
      <c r="E48" s="32"/>
      <c r="F48" s="27"/>
      <c r="G48" s="18">
        <f t="shared" si="0"/>
        <v>1963</v>
      </c>
      <c r="H48" s="18"/>
      <c r="I48" s="7"/>
    </row>
    <row r="49" spans="1:9" ht="18" customHeight="1" x14ac:dyDescent="0.25">
      <c r="A49" s="14">
        <f t="shared" si="1"/>
        <v>41</v>
      </c>
      <c r="B49" s="8"/>
      <c r="C49" s="15" t="s">
        <v>124</v>
      </c>
      <c r="D49" s="10" t="s">
        <v>33</v>
      </c>
      <c r="E49" s="32"/>
      <c r="F49" s="27"/>
      <c r="G49" s="18">
        <f t="shared" si="0"/>
        <v>1963</v>
      </c>
      <c r="H49" s="18"/>
      <c r="I49" s="7"/>
    </row>
    <row r="50" spans="1:9" ht="18" customHeight="1" x14ac:dyDescent="0.25">
      <c r="A50" s="14">
        <f t="shared" si="1"/>
        <v>42</v>
      </c>
      <c r="B50" s="8"/>
      <c r="C50" s="15" t="s">
        <v>124</v>
      </c>
      <c r="D50" s="10" t="s">
        <v>33</v>
      </c>
      <c r="E50" s="32"/>
      <c r="F50" s="27"/>
      <c r="G50" s="18">
        <f t="shared" si="0"/>
        <v>1963</v>
      </c>
      <c r="H50" s="18"/>
      <c r="I50" s="7"/>
    </row>
    <row r="51" spans="1:9" ht="18" customHeight="1" x14ac:dyDescent="0.25">
      <c r="A51" s="14">
        <f t="shared" si="1"/>
        <v>43</v>
      </c>
      <c r="B51" s="8"/>
      <c r="C51" s="15" t="s">
        <v>124</v>
      </c>
      <c r="D51" s="10" t="s">
        <v>33</v>
      </c>
      <c r="E51" s="32"/>
      <c r="F51" s="27"/>
      <c r="G51" s="18">
        <f t="shared" si="0"/>
        <v>1963</v>
      </c>
      <c r="H51" s="18"/>
      <c r="I51" s="7"/>
    </row>
    <row r="52" spans="1:9" ht="18" customHeight="1" x14ac:dyDescent="0.25">
      <c r="A52" s="14">
        <f t="shared" si="1"/>
        <v>44</v>
      </c>
      <c r="B52" s="8"/>
      <c r="C52" s="15"/>
      <c r="D52" s="10"/>
      <c r="E52" s="32"/>
      <c r="F52" s="27"/>
      <c r="G52" s="18">
        <f t="shared" si="0"/>
        <v>1963</v>
      </c>
      <c r="H52" s="18"/>
      <c r="I52" s="7"/>
    </row>
    <row r="53" spans="1:9" ht="18" customHeight="1" x14ac:dyDescent="0.25">
      <c r="A53" s="14">
        <f t="shared" si="1"/>
        <v>45</v>
      </c>
      <c r="B53" s="8"/>
      <c r="C53" s="15"/>
      <c r="D53" s="10"/>
      <c r="E53" s="32"/>
      <c r="F53" s="27"/>
      <c r="G53" s="18">
        <f t="shared" si="0"/>
        <v>1963</v>
      </c>
      <c r="H53" s="18"/>
      <c r="I53" s="7"/>
    </row>
    <row r="54" spans="1:9" ht="18" customHeight="1" x14ac:dyDescent="0.25">
      <c r="A54" s="14">
        <f t="shared" si="1"/>
        <v>46</v>
      </c>
      <c r="B54" s="8"/>
      <c r="C54" s="15"/>
      <c r="D54" s="10"/>
      <c r="E54" s="32"/>
      <c r="F54" s="27"/>
      <c r="G54" s="18">
        <f t="shared" si="0"/>
        <v>1963</v>
      </c>
      <c r="H54" s="18"/>
      <c r="I54" s="7"/>
    </row>
    <row r="55" spans="1:9" ht="18" customHeight="1" x14ac:dyDescent="0.25">
      <c r="A55" s="14">
        <f t="shared" si="1"/>
        <v>47</v>
      </c>
      <c r="B55" s="8"/>
      <c r="C55" s="15"/>
      <c r="D55" s="10"/>
      <c r="E55" s="32"/>
      <c r="F55" s="27"/>
      <c r="G55" s="18">
        <f t="shared" si="0"/>
        <v>1963</v>
      </c>
      <c r="H55" s="18"/>
      <c r="I55" s="7"/>
    </row>
    <row r="56" spans="1:9" ht="18" customHeight="1" x14ac:dyDescent="0.25">
      <c r="A56" s="14">
        <f t="shared" si="1"/>
        <v>48</v>
      </c>
      <c r="B56" s="8"/>
      <c r="C56" s="15"/>
      <c r="D56" s="10"/>
      <c r="E56" s="32"/>
      <c r="F56" s="27"/>
      <c r="G56" s="18">
        <f t="shared" si="0"/>
        <v>1963</v>
      </c>
      <c r="H56" s="18"/>
      <c r="I56" s="7"/>
    </row>
    <row r="57" spans="1:9" ht="18" customHeight="1" x14ac:dyDescent="0.25">
      <c r="A57" s="14">
        <f t="shared" si="1"/>
        <v>49</v>
      </c>
      <c r="B57" s="8"/>
      <c r="C57" s="15"/>
      <c r="D57" s="10"/>
      <c r="E57" s="32"/>
      <c r="F57" s="27"/>
      <c r="G57" s="18">
        <f t="shared" si="0"/>
        <v>1963</v>
      </c>
      <c r="H57" s="18"/>
      <c r="I57" s="7"/>
    </row>
    <row r="58" spans="1:9" ht="18" customHeight="1" x14ac:dyDescent="0.25">
      <c r="A58" s="14">
        <f t="shared" si="1"/>
        <v>50</v>
      </c>
      <c r="B58" s="37"/>
      <c r="C58" s="15"/>
      <c r="D58" s="10"/>
      <c r="E58" s="32"/>
      <c r="F58" s="27"/>
      <c r="G58" s="18">
        <f t="shared" si="0"/>
        <v>1963</v>
      </c>
      <c r="H58" s="18"/>
      <c r="I58" s="7"/>
    </row>
    <row r="59" spans="1:9" ht="18" customHeight="1" x14ac:dyDescent="0.25">
      <c r="A59" s="14">
        <f t="shared" si="1"/>
        <v>51</v>
      </c>
      <c r="B59" s="37"/>
      <c r="C59" s="15"/>
      <c r="D59" s="10"/>
      <c r="E59" s="32"/>
      <c r="F59" s="27"/>
      <c r="G59" s="18">
        <f t="shared" si="0"/>
        <v>1963</v>
      </c>
      <c r="H59" s="18"/>
      <c r="I59" s="7"/>
    </row>
    <row r="60" spans="1:9" x14ac:dyDescent="0.25">
      <c r="A60" s="14">
        <f t="shared" si="1"/>
        <v>52</v>
      </c>
      <c r="B60" s="37"/>
      <c r="C60" s="46"/>
      <c r="D60" s="10"/>
      <c r="E60" s="32"/>
      <c r="F60" s="27"/>
      <c r="G60" s="18">
        <f t="shared" si="0"/>
        <v>1963</v>
      </c>
      <c r="H60" s="47"/>
      <c r="I60" s="7"/>
    </row>
    <row r="61" spans="1:9" x14ac:dyDescent="0.25">
      <c r="A61" s="7"/>
      <c r="B61" s="7"/>
      <c r="C61" s="34" t="s">
        <v>13</v>
      </c>
      <c r="D61" s="7"/>
      <c r="E61" s="35">
        <f>SUM(E9:E60)</f>
        <v>0</v>
      </c>
      <c r="F61" s="35">
        <f>SUM(F9:F60)</f>
        <v>3709</v>
      </c>
      <c r="G61" s="35">
        <f>+G8+E61-F61</f>
        <v>1963</v>
      </c>
      <c r="H61" s="35"/>
      <c r="I61" s="36"/>
    </row>
    <row r="62" spans="1:9" x14ac:dyDescent="0.25">
      <c r="F62">
        <f>18676-18566</f>
        <v>110</v>
      </c>
    </row>
    <row r="66" spans="8:8" x14ac:dyDescent="0.25">
      <c r="H66">
        <f>25*60+6+46</f>
        <v>1552</v>
      </c>
    </row>
    <row r="67" spans="8:8" x14ac:dyDescent="0.25">
      <c r="H67">
        <f>1545-1552</f>
        <v>-7</v>
      </c>
    </row>
  </sheetData>
  <mergeCells count="1">
    <mergeCell ref="A4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60"/>
  <sheetViews>
    <sheetView workbookViewId="0">
      <selection activeCell="M21" sqref="M2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9.7109375" customWidth="1"/>
    <col min="7" max="7" width="10.5703125" customWidth="1"/>
    <col min="8" max="8" width="22.28515625" style="48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7.57031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7.57031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7.57031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7.57031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7.57031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7.57031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7.57031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7.57031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7.57031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7.57031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7.57031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7.57031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7.57031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7.57031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7.57031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7.57031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7.57031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7.57031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7.57031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7.57031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7.57031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7.57031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7.57031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7.57031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7.57031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7.57031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7.57031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7.57031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7.57031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7.57031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7.57031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7.57031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7.57031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7.57031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7.57031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7.57031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7.57031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7.57031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7.57031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7.57031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7.57031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7.57031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7.57031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7.57031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7.57031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7.57031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7.57031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7.57031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7.57031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7.57031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7.57031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7.57031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7.57031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7.57031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7.57031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7.57031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7.57031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7.57031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7.57031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7.57031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7.57031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7.57031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7.57031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+'[1]Hộp CB'!A4:I5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  <c r="J5">
        <f>5+10+5+2+10+10+3+7+8</f>
        <v>60</v>
      </c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343">
        <v>8676</v>
      </c>
      <c r="H8" s="29"/>
      <c r="I8" s="7"/>
    </row>
    <row r="9" spans="1:10" ht="18" customHeight="1" x14ac:dyDescent="0.25">
      <c r="A9" s="14">
        <v>1</v>
      </c>
      <c r="B9" s="8"/>
      <c r="C9" s="15" t="s">
        <v>125</v>
      </c>
      <c r="D9" s="10" t="s">
        <v>33</v>
      </c>
      <c r="E9" s="16"/>
      <c r="F9" s="27"/>
      <c r="G9" s="18">
        <f t="shared" ref="G9" si="0">+G8+E9-F9</f>
        <v>8676</v>
      </c>
      <c r="H9" s="28" t="s">
        <v>89</v>
      </c>
      <c r="I9" s="7" t="s">
        <v>90</v>
      </c>
    </row>
    <row r="10" spans="1:10" ht="18" customHeight="1" x14ac:dyDescent="0.25">
      <c r="A10" s="14">
        <f t="shared" ref="A10:A41" si="1">+A9+1</f>
        <v>2</v>
      </c>
      <c r="B10" s="39"/>
      <c r="C10" s="15" t="s">
        <v>125</v>
      </c>
      <c r="D10" s="10" t="s">
        <v>33</v>
      </c>
      <c r="E10" s="16"/>
      <c r="F10" s="40"/>
      <c r="G10" s="18">
        <f>+G9+E10-F10</f>
        <v>8676</v>
      </c>
      <c r="H10" s="28" t="s">
        <v>129</v>
      </c>
      <c r="I10" s="7" t="s">
        <v>90</v>
      </c>
    </row>
    <row r="11" spans="1:10" ht="18" customHeight="1" x14ac:dyDescent="0.25">
      <c r="A11" s="14">
        <f t="shared" si="1"/>
        <v>3</v>
      </c>
      <c r="B11" s="39"/>
      <c r="C11" s="15" t="s">
        <v>125</v>
      </c>
      <c r="D11" s="10"/>
      <c r="E11" s="16"/>
      <c r="F11" s="40"/>
      <c r="G11" s="18">
        <f t="shared" ref="G11:G42" si="2">+G10+E11-F11</f>
        <v>8676</v>
      </c>
      <c r="H11" s="28" t="s">
        <v>89</v>
      </c>
      <c r="I11" s="7" t="s">
        <v>90</v>
      </c>
    </row>
    <row r="12" spans="1:10" ht="18" customHeight="1" x14ac:dyDescent="0.25">
      <c r="A12" s="14">
        <f t="shared" si="1"/>
        <v>4</v>
      </c>
      <c r="B12" s="39"/>
      <c r="C12" s="15" t="s">
        <v>125</v>
      </c>
      <c r="D12" s="10"/>
      <c r="E12" s="16"/>
      <c r="F12" s="40"/>
      <c r="G12" s="18">
        <f t="shared" si="2"/>
        <v>8676</v>
      </c>
      <c r="H12" s="28" t="s">
        <v>89</v>
      </c>
      <c r="I12" s="7" t="s">
        <v>90</v>
      </c>
    </row>
    <row r="13" spans="1:10" ht="18" customHeight="1" x14ac:dyDescent="0.25">
      <c r="A13" s="14">
        <f t="shared" si="1"/>
        <v>5</v>
      </c>
      <c r="B13" s="39"/>
      <c r="C13" s="15" t="s">
        <v>125</v>
      </c>
      <c r="D13" s="10"/>
      <c r="E13" s="16"/>
      <c r="F13" s="40"/>
      <c r="G13" s="18">
        <f t="shared" si="2"/>
        <v>8676</v>
      </c>
      <c r="H13" s="28" t="s">
        <v>89</v>
      </c>
      <c r="I13" s="7" t="s">
        <v>90</v>
      </c>
    </row>
    <row r="14" spans="1:10" ht="18" customHeight="1" x14ac:dyDescent="0.25">
      <c r="A14" s="14">
        <f t="shared" si="1"/>
        <v>6</v>
      </c>
      <c r="B14" s="41"/>
      <c r="C14" s="15" t="s">
        <v>125</v>
      </c>
      <c r="D14" s="10"/>
      <c r="E14" s="16"/>
      <c r="F14" s="27"/>
      <c r="G14" s="18">
        <f t="shared" si="2"/>
        <v>8676</v>
      </c>
      <c r="H14" s="28" t="s">
        <v>89</v>
      </c>
      <c r="I14" s="7" t="s">
        <v>90</v>
      </c>
      <c r="J14" s="26"/>
    </row>
    <row r="15" spans="1:10" ht="18" customHeight="1" x14ac:dyDescent="0.25">
      <c r="A15" s="14">
        <f t="shared" si="1"/>
        <v>7</v>
      </c>
      <c r="B15" s="41"/>
      <c r="C15" s="15" t="s">
        <v>125</v>
      </c>
      <c r="D15" s="10"/>
      <c r="E15" s="16"/>
      <c r="F15" s="27"/>
      <c r="G15" s="18">
        <f t="shared" si="2"/>
        <v>8676</v>
      </c>
      <c r="H15" s="28"/>
      <c r="I15" s="7"/>
      <c r="J15" s="26"/>
    </row>
    <row r="16" spans="1:10" ht="18" customHeight="1" x14ac:dyDescent="0.25">
      <c r="A16" s="14">
        <f t="shared" si="1"/>
        <v>8</v>
      </c>
      <c r="B16" s="41"/>
      <c r="C16" s="15" t="s">
        <v>125</v>
      </c>
      <c r="D16" s="10"/>
      <c r="E16" s="16"/>
      <c r="F16" s="27"/>
      <c r="G16" s="18">
        <f t="shared" si="2"/>
        <v>8676</v>
      </c>
      <c r="H16" s="28"/>
      <c r="I16" s="7"/>
    </row>
    <row r="17" spans="1:9" ht="16.5" customHeight="1" x14ac:dyDescent="0.25">
      <c r="A17" s="14">
        <f t="shared" si="1"/>
        <v>9</v>
      </c>
      <c r="B17" s="39"/>
      <c r="C17" s="15" t="s">
        <v>125</v>
      </c>
      <c r="D17" s="10"/>
      <c r="E17" s="16"/>
      <c r="F17" s="17"/>
      <c r="G17" s="18">
        <f t="shared" si="2"/>
        <v>8676</v>
      </c>
      <c r="H17" s="28"/>
      <c r="I17" s="7"/>
    </row>
    <row r="18" spans="1:9" ht="16.5" customHeight="1" x14ac:dyDescent="0.25">
      <c r="A18" s="14">
        <f t="shared" si="1"/>
        <v>10</v>
      </c>
      <c r="B18" s="42"/>
      <c r="C18" s="15" t="s">
        <v>125</v>
      </c>
      <c r="D18" s="10"/>
      <c r="E18" s="16"/>
      <c r="F18" s="17"/>
      <c r="G18" s="18">
        <f t="shared" si="2"/>
        <v>8676</v>
      </c>
      <c r="H18" s="28"/>
      <c r="I18" s="7"/>
    </row>
    <row r="19" spans="1:9" ht="16.5" customHeight="1" x14ac:dyDescent="0.25">
      <c r="A19" s="14">
        <f t="shared" si="1"/>
        <v>11</v>
      </c>
      <c r="B19" s="39"/>
      <c r="C19" s="15" t="s">
        <v>125</v>
      </c>
      <c r="D19" s="10"/>
      <c r="E19" s="16"/>
      <c r="F19" s="17"/>
      <c r="G19" s="18">
        <f t="shared" si="2"/>
        <v>8676</v>
      </c>
      <c r="H19" s="28"/>
      <c r="I19" s="7"/>
    </row>
    <row r="20" spans="1:9" ht="16.5" customHeight="1" x14ac:dyDescent="0.25">
      <c r="A20" s="14">
        <f t="shared" si="1"/>
        <v>12</v>
      </c>
      <c r="B20" s="39"/>
      <c r="C20" s="15" t="s">
        <v>125</v>
      </c>
      <c r="D20" s="10"/>
      <c r="E20" s="16"/>
      <c r="F20" s="17"/>
      <c r="G20" s="18">
        <f t="shared" si="2"/>
        <v>8676</v>
      </c>
      <c r="H20" s="28"/>
      <c r="I20" s="7"/>
    </row>
    <row r="21" spans="1:9" ht="16.5" customHeight="1" x14ac:dyDescent="0.25">
      <c r="A21" s="14">
        <f t="shared" si="1"/>
        <v>13</v>
      </c>
      <c r="B21" s="39"/>
      <c r="C21" s="15" t="s">
        <v>125</v>
      </c>
      <c r="D21" s="10"/>
      <c r="E21" s="16"/>
      <c r="F21" s="27"/>
      <c r="G21" s="18">
        <f t="shared" si="2"/>
        <v>8676</v>
      </c>
      <c r="H21" s="28"/>
      <c r="I21" s="7"/>
    </row>
    <row r="22" spans="1:9" ht="16.5" customHeight="1" x14ac:dyDescent="0.25">
      <c r="A22" s="14">
        <f t="shared" si="1"/>
        <v>14</v>
      </c>
      <c r="B22" s="39"/>
      <c r="C22" s="15" t="s">
        <v>125</v>
      </c>
      <c r="D22" s="10"/>
      <c r="E22" s="32"/>
      <c r="F22" s="17"/>
      <c r="G22" s="18">
        <f t="shared" si="2"/>
        <v>8676</v>
      </c>
      <c r="H22" s="28"/>
      <c r="I22" s="7"/>
    </row>
    <row r="23" spans="1:9" ht="16.5" customHeight="1" x14ac:dyDescent="0.25">
      <c r="A23" s="14">
        <f t="shared" si="1"/>
        <v>15</v>
      </c>
      <c r="B23" s="39"/>
      <c r="C23" s="15" t="s">
        <v>125</v>
      </c>
      <c r="D23" s="10"/>
      <c r="E23" s="32"/>
      <c r="F23" s="17"/>
      <c r="G23" s="18">
        <f t="shared" si="2"/>
        <v>8676</v>
      </c>
      <c r="H23" s="28"/>
      <c r="I23" s="7"/>
    </row>
    <row r="24" spans="1:9" ht="16.5" customHeight="1" x14ac:dyDescent="0.25">
      <c r="A24" s="14">
        <f t="shared" si="1"/>
        <v>16</v>
      </c>
      <c r="B24" s="39"/>
      <c r="C24" s="15"/>
      <c r="D24" s="10"/>
      <c r="E24" s="32"/>
      <c r="F24" s="17"/>
      <c r="G24" s="18">
        <f t="shared" si="2"/>
        <v>8676</v>
      </c>
      <c r="H24" s="28"/>
      <c r="I24" s="7"/>
    </row>
    <row r="25" spans="1:9" ht="16.5" customHeight="1" x14ac:dyDescent="0.25">
      <c r="A25" s="14">
        <f t="shared" si="1"/>
        <v>17</v>
      </c>
      <c r="B25" s="39"/>
      <c r="C25" s="15"/>
      <c r="D25" s="10"/>
      <c r="E25" s="32"/>
      <c r="F25" s="17"/>
      <c r="G25" s="18">
        <f t="shared" si="2"/>
        <v>8676</v>
      </c>
      <c r="H25" s="28"/>
      <c r="I25" s="7"/>
    </row>
    <row r="26" spans="1:9" ht="16.5" customHeight="1" x14ac:dyDescent="0.25">
      <c r="A26" s="14">
        <f t="shared" si="1"/>
        <v>18</v>
      </c>
      <c r="B26" s="39"/>
      <c r="C26" s="15"/>
      <c r="D26" s="10"/>
      <c r="E26" s="32"/>
      <c r="F26" s="17"/>
      <c r="G26" s="18">
        <f t="shared" si="2"/>
        <v>8676</v>
      </c>
      <c r="H26" s="28"/>
      <c r="I26" s="7"/>
    </row>
    <row r="27" spans="1:9" ht="16.5" customHeight="1" x14ac:dyDescent="0.25">
      <c r="A27" s="14">
        <f t="shared" si="1"/>
        <v>19</v>
      </c>
      <c r="B27" s="39"/>
      <c r="C27" s="15"/>
      <c r="D27" s="10"/>
      <c r="E27" s="32"/>
      <c r="F27" s="17"/>
      <c r="G27" s="18">
        <f t="shared" si="2"/>
        <v>8676</v>
      </c>
      <c r="H27" s="28"/>
      <c r="I27" s="7"/>
    </row>
    <row r="28" spans="1:9" ht="16.5" customHeight="1" x14ac:dyDescent="0.25">
      <c r="A28" s="14">
        <f t="shared" si="1"/>
        <v>20</v>
      </c>
      <c r="B28" s="43"/>
      <c r="C28" s="15"/>
      <c r="D28" s="10"/>
      <c r="E28" s="32"/>
      <c r="F28" s="17"/>
      <c r="G28" s="18">
        <f t="shared" si="2"/>
        <v>8676</v>
      </c>
      <c r="H28" s="28"/>
      <c r="I28" s="7"/>
    </row>
    <row r="29" spans="1:9" ht="16.5" customHeight="1" x14ac:dyDescent="0.25">
      <c r="A29" s="14">
        <f t="shared" si="1"/>
        <v>21</v>
      </c>
      <c r="B29" s="44"/>
      <c r="C29" s="15"/>
      <c r="D29" s="10"/>
      <c r="E29" s="32"/>
      <c r="F29" s="17"/>
      <c r="G29" s="18">
        <f t="shared" si="2"/>
        <v>8676</v>
      </c>
      <c r="H29" s="28"/>
      <c r="I29" s="7"/>
    </row>
    <row r="30" spans="1:9" ht="16.5" customHeight="1" x14ac:dyDescent="0.25">
      <c r="A30" s="14">
        <f t="shared" si="1"/>
        <v>22</v>
      </c>
      <c r="B30" s="44"/>
      <c r="C30" s="15"/>
      <c r="D30" s="10"/>
      <c r="E30" s="32"/>
      <c r="F30" s="17"/>
      <c r="G30" s="18">
        <f t="shared" si="2"/>
        <v>8676</v>
      </c>
      <c r="H30" s="28"/>
      <c r="I30" s="7"/>
    </row>
    <row r="31" spans="1:9" ht="16.5" customHeight="1" x14ac:dyDescent="0.25">
      <c r="A31" s="14">
        <f t="shared" si="1"/>
        <v>23</v>
      </c>
      <c r="B31" s="45"/>
      <c r="C31" s="15"/>
      <c r="D31" s="10"/>
      <c r="E31" s="32"/>
      <c r="F31" s="17"/>
      <c r="G31" s="18">
        <f t="shared" si="2"/>
        <v>8676</v>
      </c>
      <c r="H31" s="28"/>
      <c r="I31" s="7"/>
    </row>
    <row r="32" spans="1:9" ht="16.5" customHeight="1" x14ac:dyDescent="0.25">
      <c r="A32" s="14">
        <f t="shared" si="1"/>
        <v>24</v>
      </c>
      <c r="B32" s="45"/>
      <c r="C32" s="15"/>
      <c r="D32" s="10"/>
      <c r="E32" s="32"/>
      <c r="F32" s="27"/>
      <c r="G32" s="18">
        <f t="shared" si="2"/>
        <v>8676</v>
      </c>
      <c r="H32" s="28"/>
      <c r="I32" s="7"/>
    </row>
    <row r="33" spans="1:9" ht="16.5" customHeight="1" x14ac:dyDescent="0.25">
      <c r="A33" s="14">
        <f t="shared" si="1"/>
        <v>25</v>
      </c>
      <c r="B33" s="45"/>
      <c r="C33" s="15"/>
      <c r="D33" s="10"/>
      <c r="E33" s="32"/>
      <c r="F33" s="27"/>
      <c r="G33" s="18">
        <f t="shared" si="2"/>
        <v>8676</v>
      </c>
      <c r="H33" s="28"/>
      <c r="I33" s="7"/>
    </row>
    <row r="34" spans="1:9" ht="16.5" customHeight="1" x14ac:dyDescent="0.25">
      <c r="A34" s="14">
        <f t="shared" si="1"/>
        <v>26</v>
      </c>
      <c r="B34" s="8"/>
      <c r="C34" s="15"/>
      <c r="D34" s="10"/>
      <c r="E34" s="32"/>
      <c r="F34" s="27"/>
      <c r="G34" s="18">
        <f t="shared" si="2"/>
        <v>8676</v>
      </c>
      <c r="H34" s="28"/>
      <c r="I34" s="7"/>
    </row>
    <row r="35" spans="1:9" ht="16.5" customHeight="1" x14ac:dyDescent="0.25">
      <c r="A35" s="14">
        <f t="shared" si="1"/>
        <v>27</v>
      </c>
      <c r="B35" s="8"/>
      <c r="C35" s="15"/>
      <c r="D35" s="10"/>
      <c r="E35" s="32"/>
      <c r="F35" s="27"/>
      <c r="G35" s="18">
        <f t="shared" si="2"/>
        <v>8676</v>
      </c>
      <c r="H35" s="28"/>
      <c r="I35" s="7"/>
    </row>
    <row r="36" spans="1:9" ht="16.5" customHeight="1" x14ac:dyDescent="0.25">
      <c r="A36" s="14">
        <f t="shared" si="1"/>
        <v>28</v>
      </c>
      <c r="B36" s="8"/>
      <c r="C36" s="15"/>
      <c r="D36" s="10"/>
      <c r="E36" s="32"/>
      <c r="F36" s="27"/>
      <c r="G36" s="18">
        <f t="shared" si="2"/>
        <v>8676</v>
      </c>
      <c r="H36" s="28"/>
      <c r="I36" s="7"/>
    </row>
    <row r="37" spans="1:9" ht="16.5" customHeight="1" x14ac:dyDescent="0.25">
      <c r="A37" s="14">
        <f>+A36+1</f>
        <v>29</v>
      </c>
      <c r="B37" s="8"/>
      <c r="C37" s="15"/>
      <c r="D37" s="10"/>
      <c r="E37" s="32"/>
      <c r="F37" s="27"/>
      <c r="G37" s="18">
        <f t="shared" si="2"/>
        <v>8676</v>
      </c>
      <c r="H37" s="28"/>
      <c r="I37" s="7"/>
    </row>
    <row r="38" spans="1:9" ht="16.5" customHeight="1" x14ac:dyDescent="0.25">
      <c r="A38" s="14">
        <f t="shared" si="1"/>
        <v>30</v>
      </c>
      <c r="B38" s="8"/>
      <c r="C38" s="15"/>
      <c r="D38" s="10"/>
      <c r="E38" s="32"/>
      <c r="F38" s="27"/>
      <c r="G38" s="18">
        <f t="shared" si="2"/>
        <v>8676</v>
      </c>
      <c r="H38" s="28"/>
      <c r="I38" s="7"/>
    </row>
    <row r="39" spans="1:9" ht="16.5" customHeight="1" x14ac:dyDescent="0.25">
      <c r="A39" s="14">
        <f t="shared" si="1"/>
        <v>31</v>
      </c>
      <c r="B39" s="8"/>
      <c r="C39" s="15"/>
      <c r="D39" s="10"/>
      <c r="E39" s="32"/>
      <c r="F39" s="27"/>
      <c r="G39" s="18">
        <f t="shared" si="2"/>
        <v>8676</v>
      </c>
      <c r="H39" s="28"/>
      <c r="I39" s="7"/>
    </row>
    <row r="40" spans="1:9" ht="16.5" customHeight="1" x14ac:dyDescent="0.25">
      <c r="A40" s="14">
        <f t="shared" si="1"/>
        <v>32</v>
      </c>
      <c r="B40" s="37"/>
      <c r="C40" s="15"/>
      <c r="D40" s="10"/>
      <c r="E40" s="32"/>
      <c r="F40" s="27"/>
      <c r="G40" s="18">
        <f t="shared" si="2"/>
        <v>8676</v>
      </c>
      <c r="H40" s="28"/>
      <c r="I40" s="7"/>
    </row>
    <row r="41" spans="1:9" ht="16.5" customHeight="1" x14ac:dyDescent="0.25">
      <c r="A41" s="14">
        <f t="shared" si="1"/>
        <v>33</v>
      </c>
      <c r="B41" s="37"/>
      <c r="C41" s="15"/>
      <c r="D41" s="10"/>
      <c r="E41" s="32"/>
      <c r="F41" s="27"/>
      <c r="G41" s="18">
        <f t="shared" si="2"/>
        <v>8676</v>
      </c>
      <c r="H41" s="28"/>
      <c r="I41" s="7"/>
    </row>
    <row r="42" spans="1:9" ht="16.5" customHeight="1" x14ac:dyDescent="0.25">
      <c r="A42" s="14"/>
      <c r="B42" s="37"/>
      <c r="C42" s="46"/>
      <c r="D42" s="10"/>
      <c r="E42" s="32"/>
      <c r="F42" s="27"/>
      <c r="G42" s="18">
        <f t="shared" si="2"/>
        <v>8676</v>
      </c>
      <c r="H42" s="49"/>
      <c r="I42" s="7"/>
    </row>
    <row r="43" spans="1:9" ht="16.5" customHeight="1" x14ac:dyDescent="0.25">
      <c r="A43" s="7"/>
      <c r="B43" s="7"/>
      <c r="C43" s="34" t="s">
        <v>13</v>
      </c>
      <c r="D43" s="7"/>
      <c r="E43" s="35">
        <f>SUM(E9:E42)</f>
        <v>0</v>
      </c>
      <c r="F43" s="35">
        <f>SUM(F9:F42)</f>
        <v>0</v>
      </c>
      <c r="G43" s="35">
        <f>+G8+E43-F43</f>
        <v>8676</v>
      </c>
      <c r="H43" s="50"/>
      <c r="I43" s="36"/>
    </row>
    <row r="44" spans="1:9" x14ac:dyDescent="0.25">
      <c r="F44">
        <f>18676-18566</f>
        <v>110</v>
      </c>
    </row>
    <row r="54" spans="6:7" x14ac:dyDescent="0.25">
      <c r="F54">
        <f>481-442</f>
        <v>39</v>
      </c>
    </row>
    <row r="60" spans="6:7" x14ac:dyDescent="0.25">
      <c r="G60">
        <f>442-360</f>
        <v>82</v>
      </c>
    </row>
  </sheetData>
  <mergeCells count="1">
    <mergeCell ref="A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J88"/>
  <sheetViews>
    <sheetView workbookViewId="0">
      <selection activeCell="F12" sqref="F1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6" t="s">
        <v>6</v>
      </c>
      <c r="F8" s="6" t="s">
        <v>7</v>
      </c>
      <c r="G8" s="6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 t="s">
        <v>11</v>
      </c>
      <c r="D9" s="10"/>
      <c r="E9" s="11"/>
      <c r="F9" s="12"/>
      <c r="G9" s="51">
        <v>762</v>
      </c>
      <c r="H9" s="7"/>
      <c r="I9" s="7"/>
    </row>
    <row r="10" spans="1:10" ht="18" customHeight="1" x14ac:dyDescent="0.25">
      <c r="A10" s="14">
        <v>1</v>
      </c>
      <c r="B10" s="8">
        <v>45674</v>
      </c>
      <c r="C10" s="15" t="s">
        <v>120</v>
      </c>
      <c r="D10" s="10" t="s">
        <v>79</v>
      </c>
      <c r="E10" s="16"/>
      <c r="F10" s="52">
        <v>100</v>
      </c>
      <c r="G10" s="18">
        <f t="shared" ref="G10:G46" si="0">+G9+E10-F10</f>
        <v>662</v>
      </c>
      <c r="H10" s="18" t="s">
        <v>91</v>
      </c>
      <c r="I10" s="7" t="s">
        <v>90</v>
      </c>
      <c r="J10" s="26"/>
    </row>
    <row r="11" spans="1:10" ht="18" customHeight="1" x14ac:dyDescent="0.25">
      <c r="A11" s="14">
        <f t="shared" ref="A11:A46" si="1">+A10+1</f>
        <v>2</v>
      </c>
      <c r="B11" s="8">
        <v>45675</v>
      </c>
      <c r="C11" s="15" t="s">
        <v>120</v>
      </c>
      <c r="D11" s="10" t="s">
        <v>79</v>
      </c>
      <c r="E11" s="16"/>
      <c r="F11" s="52">
        <v>320</v>
      </c>
      <c r="G11" s="18">
        <f t="shared" si="0"/>
        <v>342</v>
      </c>
      <c r="H11" s="18" t="s">
        <v>91</v>
      </c>
      <c r="I11" s="7" t="s">
        <v>90</v>
      </c>
    </row>
    <row r="12" spans="1:10" ht="18" customHeight="1" x14ac:dyDescent="0.25">
      <c r="A12" s="14">
        <f t="shared" si="1"/>
        <v>3</v>
      </c>
      <c r="B12" s="8"/>
      <c r="C12" s="15" t="s">
        <v>120</v>
      </c>
      <c r="D12" s="10" t="s">
        <v>79</v>
      </c>
      <c r="E12" s="16"/>
      <c r="F12" s="53"/>
      <c r="G12" s="18">
        <f t="shared" si="0"/>
        <v>342</v>
      </c>
      <c r="H12" s="18" t="s">
        <v>91</v>
      </c>
      <c r="I12" s="7" t="s">
        <v>90</v>
      </c>
    </row>
    <row r="13" spans="1:10" ht="18" customHeight="1" x14ac:dyDescent="0.25">
      <c r="A13" s="14">
        <f t="shared" si="1"/>
        <v>4</v>
      </c>
      <c r="B13" s="8"/>
      <c r="C13" s="15" t="s">
        <v>120</v>
      </c>
      <c r="D13" s="10" t="s">
        <v>79</v>
      </c>
      <c r="E13" s="16"/>
      <c r="F13" s="53"/>
      <c r="G13" s="18">
        <f t="shared" si="0"/>
        <v>342</v>
      </c>
      <c r="H13" s="18" t="s">
        <v>91</v>
      </c>
      <c r="I13" s="7" t="s">
        <v>90</v>
      </c>
    </row>
    <row r="14" spans="1:10" ht="18" customHeight="1" x14ac:dyDescent="0.25">
      <c r="A14" s="14">
        <f t="shared" si="1"/>
        <v>5</v>
      </c>
      <c r="B14" s="8"/>
      <c r="C14" s="15" t="s">
        <v>120</v>
      </c>
      <c r="D14" s="10" t="s">
        <v>79</v>
      </c>
      <c r="E14" s="16"/>
      <c r="F14" s="53"/>
      <c r="G14" s="18">
        <f t="shared" si="0"/>
        <v>342</v>
      </c>
      <c r="H14" s="18" t="s">
        <v>91</v>
      </c>
      <c r="I14" s="7" t="s">
        <v>90</v>
      </c>
    </row>
    <row r="15" spans="1:10" ht="18" customHeight="1" x14ac:dyDescent="0.25">
      <c r="A15" s="14">
        <f t="shared" si="1"/>
        <v>6</v>
      </c>
      <c r="B15" s="8"/>
      <c r="C15" s="15" t="s">
        <v>120</v>
      </c>
      <c r="D15" s="10" t="s">
        <v>79</v>
      </c>
      <c r="E15" s="16"/>
      <c r="F15" s="53"/>
      <c r="G15" s="18">
        <f t="shared" si="0"/>
        <v>342</v>
      </c>
      <c r="H15" s="18" t="s">
        <v>91</v>
      </c>
      <c r="I15" s="7" t="s">
        <v>90</v>
      </c>
      <c r="J15" t="s">
        <v>16</v>
      </c>
    </row>
    <row r="16" spans="1:10" ht="18" customHeight="1" x14ac:dyDescent="0.25">
      <c r="A16" s="14">
        <f t="shared" si="1"/>
        <v>7</v>
      </c>
      <c r="B16" s="8"/>
      <c r="C16" s="15"/>
      <c r="D16" s="10"/>
      <c r="E16" s="16"/>
      <c r="F16" s="53"/>
      <c r="G16" s="18">
        <f t="shared" si="0"/>
        <v>342</v>
      </c>
      <c r="H16" s="28"/>
      <c r="I16" s="29"/>
      <c r="J16" s="26"/>
    </row>
    <row r="17" spans="1:9" ht="18" customHeight="1" x14ac:dyDescent="0.25">
      <c r="A17" s="14">
        <f t="shared" si="1"/>
        <v>8</v>
      </c>
      <c r="B17" s="8"/>
      <c r="C17" s="15"/>
      <c r="D17" s="10"/>
      <c r="E17" s="16"/>
      <c r="F17" s="53"/>
      <c r="G17" s="18">
        <f t="shared" si="0"/>
        <v>342</v>
      </c>
      <c r="H17" s="28"/>
      <c r="I17" s="38"/>
    </row>
    <row r="18" spans="1:9" ht="18" customHeight="1" x14ac:dyDescent="0.25">
      <c r="A18" s="14">
        <f t="shared" si="1"/>
        <v>9</v>
      </c>
      <c r="B18" s="8"/>
      <c r="C18" s="15"/>
      <c r="D18" s="10"/>
      <c r="E18" s="16"/>
      <c r="F18" s="53"/>
      <c r="G18" s="18">
        <f t="shared" si="0"/>
        <v>342</v>
      </c>
      <c r="H18" s="28"/>
      <c r="I18" s="38"/>
    </row>
    <row r="19" spans="1:9" ht="18" customHeight="1" x14ac:dyDescent="0.25">
      <c r="A19" s="14">
        <f t="shared" si="1"/>
        <v>10</v>
      </c>
      <c r="B19" s="44"/>
      <c r="C19" s="15"/>
      <c r="D19" s="10"/>
      <c r="E19" s="16"/>
      <c r="F19" s="52"/>
      <c r="G19" s="18">
        <f t="shared" si="0"/>
        <v>342</v>
      </c>
      <c r="H19" s="28"/>
      <c r="I19" s="38"/>
    </row>
    <row r="20" spans="1:9" ht="18" customHeight="1" x14ac:dyDescent="0.25">
      <c r="A20" s="14">
        <f t="shared" si="1"/>
        <v>11</v>
      </c>
      <c r="B20" s="44"/>
      <c r="C20" s="15"/>
      <c r="D20" s="10"/>
      <c r="E20" s="30"/>
      <c r="F20" s="52"/>
      <c r="G20" s="18">
        <f t="shared" si="0"/>
        <v>342</v>
      </c>
      <c r="H20" s="28"/>
      <c r="I20" s="38"/>
    </row>
    <row r="21" spans="1:9" ht="18" customHeight="1" x14ac:dyDescent="0.25">
      <c r="A21" s="14">
        <f t="shared" si="1"/>
        <v>12</v>
      </c>
      <c r="B21" s="8"/>
      <c r="C21" s="15"/>
      <c r="D21" s="10"/>
      <c r="E21" s="16"/>
      <c r="F21" s="52"/>
      <c r="G21" s="18">
        <f t="shared" si="0"/>
        <v>342</v>
      </c>
      <c r="H21" s="28"/>
      <c r="I21" s="38"/>
    </row>
    <row r="22" spans="1:9" ht="18" customHeight="1" x14ac:dyDescent="0.25">
      <c r="A22" s="14">
        <f t="shared" si="1"/>
        <v>13</v>
      </c>
      <c r="B22" s="8"/>
      <c r="C22" s="15"/>
      <c r="D22" s="10"/>
      <c r="E22" s="16"/>
      <c r="F22" s="52"/>
      <c r="G22" s="18">
        <f t="shared" si="0"/>
        <v>342</v>
      </c>
      <c r="H22" s="28"/>
      <c r="I22" s="29"/>
    </row>
    <row r="23" spans="1:9" ht="18" customHeight="1" x14ac:dyDescent="0.25">
      <c r="A23" s="14">
        <f t="shared" si="1"/>
        <v>14</v>
      </c>
      <c r="B23" s="8"/>
      <c r="C23" s="15"/>
      <c r="D23" s="10"/>
      <c r="E23" s="16"/>
      <c r="F23" s="52"/>
      <c r="G23" s="18">
        <f t="shared" si="0"/>
        <v>342</v>
      </c>
      <c r="H23" s="28"/>
      <c r="I23" s="29"/>
    </row>
    <row r="24" spans="1:9" ht="18" customHeight="1" x14ac:dyDescent="0.25">
      <c r="A24" s="14">
        <f t="shared" si="1"/>
        <v>15</v>
      </c>
      <c r="B24" s="8"/>
      <c r="C24" s="15"/>
      <c r="D24" s="10"/>
      <c r="E24" s="32"/>
      <c r="F24" s="52"/>
      <c r="G24" s="18">
        <f t="shared" si="0"/>
        <v>342</v>
      </c>
      <c r="H24" s="28"/>
      <c r="I24" s="29"/>
    </row>
    <row r="25" spans="1:9" ht="18" customHeight="1" x14ac:dyDescent="0.25">
      <c r="A25" s="14">
        <f t="shared" si="1"/>
        <v>16</v>
      </c>
      <c r="B25" s="8"/>
      <c r="C25" s="15"/>
      <c r="D25" s="10"/>
      <c r="E25" s="32"/>
      <c r="F25" s="52"/>
      <c r="G25" s="18">
        <f t="shared" si="0"/>
        <v>342</v>
      </c>
      <c r="H25" s="28"/>
      <c r="I25" s="29"/>
    </row>
    <row r="26" spans="1:9" ht="18" customHeight="1" x14ac:dyDescent="0.25">
      <c r="A26" s="14">
        <f t="shared" si="1"/>
        <v>17</v>
      </c>
      <c r="B26" s="8"/>
      <c r="C26" s="15"/>
      <c r="D26" s="10"/>
      <c r="E26" s="32"/>
      <c r="F26" s="52"/>
      <c r="G26" s="18">
        <f t="shared" si="0"/>
        <v>342</v>
      </c>
      <c r="H26" s="28"/>
      <c r="I26" s="29"/>
    </row>
    <row r="27" spans="1:9" ht="18" customHeight="1" x14ac:dyDescent="0.25">
      <c r="A27" s="14">
        <f t="shared" si="1"/>
        <v>18</v>
      </c>
      <c r="B27" s="8"/>
      <c r="C27" s="15"/>
      <c r="D27" s="10"/>
      <c r="E27" s="32"/>
      <c r="F27" s="27"/>
      <c r="G27" s="18">
        <f t="shared" si="0"/>
        <v>342</v>
      </c>
      <c r="H27" s="28"/>
      <c r="I27" s="29"/>
    </row>
    <row r="28" spans="1:9" ht="18" customHeight="1" x14ac:dyDescent="0.25">
      <c r="A28" s="14">
        <f t="shared" si="1"/>
        <v>19</v>
      </c>
      <c r="B28" s="8"/>
      <c r="C28" s="15"/>
      <c r="D28" s="10"/>
      <c r="E28" s="32"/>
      <c r="F28" s="27"/>
      <c r="G28" s="18">
        <f t="shared" si="0"/>
        <v>342</v>
      </c>
      <c r="H28" s="28"/>
      <c r="I28" s="29"/>
    </row>
    <row r="29" spans="1:9" ht="18" customHeight="1" x14ac:dyDescent="0.25">
      <c r="A29" s="14">
        <f t="shared" si="1"/>
        <v>20</v>
      </c>
      <c r="B29" s="8"/>
      <c r="C29" s="15"/>
      <c r="D29" s="10"/>
      <c r="E29" s="32"/>
      <c r="F29" s="27"/>
      <c r="G29" s="18">
        <f t="shared" si="0"/>
        <v>342</v>
      </c>
      <c r="H29" s="28"/>
      <c r="I29" s="29"/>
    </row>
    <row r="30" spans="1:9" ht="18" customHeight="1" x14ac:dyDescent="0.25">
      <c r="A30" s="14">
        <f t="shared" si="1"/>
        <v>21</v>
      </c>
      <c r="B30" s="8"/>
      <c r="C30" s="15"/>
      <c r="D30" s="10"/>
      <c r="E30" s="32"/>
      <c r="F30" s="27"/>
      <c r="G30" s="18">
        <f t="shared" si="0"/>
        <v>342</v>
      </c>
      <c r="H30" s="28"/>
      <c r="I30" s="29"/>
    </row>
    <row r="31" spans="1:9" ht="18" customHeight="1" x14ac:dyDescent="0.25">
      <c r="A31" s="14">
        <f t="shared" si="1"/>
        <v>22</v>
      </c>
      <c r="B31" s="8"/>
      <c r="C31" s="15"/>
      <c r="D31" s="10"/>
      <c r="E31" s="32"/>
      <c r="F31" s="27"/>
      <c r="G31" s="18">
        <f t="shared" si="0"/>
        <v>342</v>
      </c>
      <c r="H31" s="28"/>
      <c r="I31" s="29"/>
    </row>
    <row r="32" spans="1:9" ht="18" customHeight="1" x14ac:dyDescent="0.25">
      <c r="A32" s="14">
        <f t="shared" si="1"/>
        <v>23</v>
      </c>
      <c r="B32" s="8"/>
      <c r="C32" s="15"/>
      <c r="D32" s="10"/>
      <c r="E32" s="32"/>
      <c r="F32" s="27"/>
      <c r="G32" s="18">
        <f t="shared" si="0"/>
        <v>342</v>
      </c>
      <c r="H32" s="28"/>
      <c r="I32" s="29"/>
    </row>
    <row r="33" spans="1:9" ht="18" customHeight="1" x14ac:dyDescent="0.25">
      <c r="A33" s="14">
        <f t="shared" si="1"/>
        <v>24</v>
      </c>
      <c r="B33" s="8"/>
      <c r="C33" s="15"/>
      <c r="D33" s="10"/>
      <c r="E33" s="32"/>
      <c r="F33" s="27"/>
      <c r="G33" s="18">
        <f t="shared" si="0"/>
        <v>342</v>
      </c>
      <c r="H33" s="28"/>
      <c r="I33" s="29"/>
    </row>
    <row r="34" spans="1:9" ht="18" customHeight="1" x14ac:dyDescent="0.25">
      <c r="A34" s="14">
        <f t="shared" si="1"/>
        <v>25</v>
      </c>
      <c r="B34" s="8"/>
      <c r="C34" s="15"/>
      <c r="D34" s="10"/>
      <c r="E34" s="32"/>
      <c r="F34" s="27"/>
      <c r="G34" s="18">
        <f t="shared" si="0"/>
        <v>342</v>
      </c>
      <c r="H34" s="28"/>
      <c r="I34" s="29"/>
    </row>
    <row r="35" spans="1:9" ht="18" customHeight="1" x14ac:dyDescent="0.25">
      <c r="A35" s="14">
        <f t="shared" si="1"/>
        <v>26</v>
      </c>
      <c r="B35" s="8"/>
      <c r="C35" s="15"/>
      <c r="D35" s="10"/>
      <c r="E35" s="32"/>
      <c r="F35" s="27"/>
      <c r="G35" s="18">
        <f t="shared" si="0"/>
        <v>342</v>
      </c>
      <c r="H35" s="28"/>
      <c r="I35" s="29"/>
    </row>
    <row r="36" spans="1:9" ht="18" customHeight="1" x14ac:dyDescent="0.25">
      <c r="A36" s="14">
        <f t="shared" si="1"/>
        <v>27</v>
      </c>
      <c r="B36" s="8"/>
      <c r="C36" s="15"/>
      <c r="D36" s="10"/>
      <c r="E36" s="32"/>
      <c r="F36" s="27"/>
      <c r="G36" s="18">
        <f t="shared" si="0"/>
        <v>342</v>
      </c>
      <c r="H36" s="28"/>
      <c r="I36" s="29"/>
    </row>
    <row r="37" spans="1:9" ht="18" customHeight="1" x14ac:dyDescent="0.25">
      <c r="A37" s="14"/>
      <c r="B37" s="8"/>
      <c r="C37" s="15"/>
      <c r="D37" s="10"/>
      <c r="E37" s="32"/>
      <c r="F37" s="27"/>
      <c r="G37" s="18">
        <f t="shared" si="0"/>
        <v>342</v>
      </c>
      <c r="H37" s="28"/>
      <c r="I37" s="29"/>
    </row>
    <row r="38" spans="1:9" ht="18" customHeight="1" x14ac:dyDescent="0.25">
      <c r="A38" s="14"/>
      <c r="B38" s="8"/>
      <c r="C38" s="15"/>
      <c r="D38" s="10"/>
      <c r="E38" s="32"/>
      <c r="F38" s="27"/>
      <c r="G38" s="18">
        <f t="shared" si="0"/>
        <v>342</v>
      </c>
      <c r="H38" s="28"/>
      <c r="I38" s="29"/>
    </row>
    <row r="39" spans="1:9" ht="18" customHeight="1" x14ac:dyDescent="0.25">
      <c r="A39" s="14"/>
      <c r="B39" s="8"/>
      <c r="C39" s="15"/>
      <c r="D39" s="10"/>
      <c r="E39" s="32"/>
      <c r="F39" s="27"/>
      <c r="G39" s="18">
        <f t="shared" si="0"/>
        <v>342</v>
      </c>
      <c r="H39" s="28"/>
      <c r="I39" s="29"/>
    </row>
    <row r="40" spans="1:9" ht="18" customHeight="1" x14ac:dyDescent="0.25">
      <c r="A40" s="14"/>
      <c r="B40" s="8"/>
      <c r="C40" s="15"/>
      <c r="D40" s="10"/>
      <c r="E40" s="32"/>
      <c r="F40" s="27"/>
      <c r="G40" s="18">
        <f t="shared" si="0"/>
        <v>342</v>
      </c>
      <c r="H40" s="28"/>
      <c r="I40" s="29"/>
    </row>
    <row r="41" spans="1:9" ht="18" customHeight="1" x14ac:dyDescent="0.25">
      <c r="A41" s="14"/>
      <c r="B41" s="8"/>
      <c r="C41" s="15"/>
      <c r="D41" s="10"/>
      <c r="E41" s="32"/>
      <c r="F41" s="27"/>
      <c r="G41" s="18">
        <f t="shared" si="0"/>
        <v>342</v>
      </c>
      <c r="H41" s="28"/>
      <c r="I41" s="29"/>
    </row>
    <row r="42" spans="1:9" ht="18" customHeight="1" x14ac:dyDescent="0.25">
      <c r="A42" s="14">
        <f>+A36+1</f>
        <v>28</v>
      </c>
      <c r="B42" s="8"/>
      <c r="C42" s="15"/>
      <c r="D42" s="10"/>
      <c r="E42" s="32"/>
      <c r="F42" s="27"/>
      <c r="G42" s="18">
        <f t="shared" si="0"/>
        <v>342</v>
      </c>
      <c r="H42" s="28"/>
      <c r="I42" s="29"/>
    </row>
    <row r="43" spans="1:9" ht="18" customHeight="1" x14ac:dyDescent="0.25">
      <c r="A43" s="14">
        <f t="shared" si="1"/>
        <v>29</v>
      </c>
      <c r="B43" s="8"/>
      <c r="C43" s="15"/>
      <c r="D43" s="10"/>
      <c r="E43" s="32"/>
      <c r="F43" s="27"/>
      <c r="G43" s="18">
        <f t="shared" si="0"/>
        <v>342</v>
      </c>
      <c r="H43" s="28"/>
      <c r="I43" s="29"/>
    </row>
    <row r="44" spans="1:9" ht="18" customHeight="1" x14ac:dyDescent="0.25">
      <c r="A44" s="14">
        <f t="shared" si="1"/>
        <v>30</v>
      </c>
      <c r="B44" s="8"/>
      <c r="C44" s="15"/>
      <c r="D44" s="10"/>
      <c r="E44" s="32"/>
      <c r="F44" s="27"/>
      <c r="G44" s="18">
        <f t="shared" si="0"/>
        <v>342</v>
      </c>
      <c r="H44" s="28"/>
      <c r="I44" s="29"/>
    </row>
    <row r="45" spans="1:9" ht="18" customHeight="1" x14ac:dyDescent="0.25">
      <c r="A45" s="14">
        <f t="shared" si="1"/>
        <v>31</v>
      </c>
      <c r="B45" s="8"/>
      <c r="C45" s="15"/>
      <c r="D45" s="10"/>
      <c r="E45" s="32"/>
      <c r="F45" s="27"/>
      <c r="G45" s="18">
        <f t="shared" si="0"/>
        <v>342</v>
      </c>
      <c r="H45" s="28"/>
      <c r="I45" s="29"/>
    </row>
    <row r="46" spans="1:9" ht="18" customHeight="1" x14ac:dyDescent="0.25">
      <c r="A46" s="14">
        <f t="shared" si="1"/>
        <v>32</v>
      </c>
      <c r="B46" s="8"/>
      <c r="C46" s="15"/>
      <c r="D46" s="10"/>
      <c r="E46" s="32"/>
      <c r="F46" s="27"/>
      <c r="G46" s="18">
        <f t="shared" si="0"/>
        <v>342</v>
      </c>
      <c r="H46" s="28"/>
      <c r="I46" s="29"/>
    </row>
    <row r="47" spans="1:9" ht="15" customHeight="1" x14ac:dyDescent="0.25">
      <c r="A47" s="7"/>
      <c r="B47" s="33"/>
      <c r="C47" s="34" t="s">
        <v>13</v>
      </c>
      <c r="D47" s="7"/>
      <c r="E47" s="35">
        <f>SUM(E10:E46)</f>
        <v>0</v>
      </c>
      <c r="F47" s="35">
        <f>SUM(F10:F46)</f>
        <v>420</v>
      </c>
      <c r="G47" s="35">
        <f>+E47-F47+G9</f>
        <v>342</v>
      </c>
      <c r="H47" s="35"/>
      <c r="I47" s="36"/>
    </row>
    <row r="48" spans="1:9" ht="15" customHeight="1" x14ac:dyDescent="0.25">
      <c r="B48" s="1"/>
      <c r="E48" s="26"/>
      <c r="F48" s="26"/>
    </row>
    <row r="49" spans="2:2" ht="15" customHeight="1" x14ac:dyDescent="0.25">
      <c r="B49" s="1"/>
    </row>
    <row r="50" spans="2:2" ht="15" customHeight="1" x14ac:dyDescent="0.25">
      <c r="B50" s="1"/>
    </row>
    <row r="51" spans="2:2" ht="15" customHeight="1" x14ac:dyDescent="0.25">
      <c r="B51" s="1"/>
    </row>
    <row r="52" spans="2:2" ht="15" customHeight="1" x14ac:dyDescent="0.25">
      <c r="B52" s="1"/>
    </row>
    <row r="53" spans="2:2" ht="15" customHeight="1" x14ac:dyDescent="0.25">
      <c r="B53" s="1"/>
    </row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/>
    <row r="58" spans="2:2" ht="15" customHeight="1" x14ac:dyDescent="0.25"/>
    <row r="59" spans="2:2" ht="15" customHeight="1" x14ac:dyDescent="0.25"/>
    <row r="60" spans="2:2" ht="15" customHeight="1" x14ac:dyDescent="0.25"/>
    <row r="61" spans="2:2" ht="15" customHeight="1" x14ac:dyDescent="0.25"/>
    <row r="62" spans="2:2" ht="15" customHeight="1" x14ac:dyDescent="0.25"/>
    <row r="63" spans="2:2" ht="15" customHeight="1" x14ac:dyDescent="0.25"/>
    <row r="64" spans="2: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1">
    <mergeCell ref="A4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J58"/>
  <sheetViews>
    <sheetView workbookViewId="0">
      <selection activeCell="F17" sqref="F17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8.5703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+'[1]Hộp HV'!A4:I5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1364</v>
      </c>
      <c r="H8" s="7"/>
      <c r="I8" s="7"/>
    </row>
    <row r="9" spans="1:10" ht="18" customHeight="1" x14ac:dyDescent="0.25">
      <c r="A9" s="14">
        <v>1</v>
      </c>
      <c r="B9" s="8">
        <v>45674</v>
      </c>
      <c r="C9" s="15" t="s">
        <v>126</v>
      </c>
      <c r="D9" s="7" t="s">
        <v>79</v>
      </c>
      <c r="E9" s="54"/>
      <c r="F9" s="52">
        <v>100</v>
      </c>
      <c r="G9" s="18">
        <f t="shared" ref="G9:G57" si="0">+G8+E9-F9</f>
        <v>1264</v>
      </c>
      <c r="H9" s="28" t="s">
        <v>91</v>
      </c>
      <c r="I9" s="7" t="s">
        <v>133</v>
      </c>
      <c r="J9" s="26"/>
    </row>
    <row r="10" spans="1:10" ht="18" customHeight="1" x14ac:dyDescent="0.25">
      <c r="A10" s="14">
        <f t="shared" ref="A10:A57" si="1">+A9+1</f>
        <v>2</v>
      </c>
      <c r="B10" s="8">
        <v>45675</v>
      </c>
      <c r="C10" s="15" t="s">
        <v>106</v>
      </c>
      <c r="D10" s="7" t="s">
        <v>79</v>
      </c>
      <c r="E10" s="54"/>
      <c r="F10" s="52">
        <v>920</v>
      </c>
      <c r="G10" s="18">
        <f t="shared" si="0"/>
        <v>344</v>
      </c>
      <c r="H10" s="28" t="s">
        <v>91</v>
      </c>
      <c r="I10" s="7" t="s">
        <v>133</v>
      </c>
    </row>
    <row r="11" spans="1:10" ht="18" customHeight="1" x14ac:dyDescent="0.25">
      <c r="A11" s="14">
        <f t="shared" si="1"/>
        <v>3</v>
      </c>
      <c r="B11" s="8">
        <v>45804</v>
      </c>
      <c r="C11" s="15" t="s">
        <v>106</v>
      </c>
      <c r="D11" s="7"/>
      <c r="E11" s="54"/>
      <c r="F11" s="52">
        <v>360</v>
      </c>
      <c r="G11" s="18">
        <f t="shared" si="0"/>
        <v>-16</v>
      </c>
      <c r="H11" s="28" t="s">
        <v>91</v>
      </c>
      <c r="I11" s="7" t="s">
        <v>133</v>
      </c>
    </row>
    <row r="12" spans="1:10" ht="18" customHeight="1" x14ac:dyDescent="0.25">
      <c r="A12" s="14">
        <f t="shared" si="1"/>
        <v>4</v>
      </c>
      <c r="B12" s="8">
        <v>45853</v>
      </c>
      <c r="C12" s="15" t="s">
        <v>106</v>
      </c>
      <c r="D12" s="7"/>
      <c r="E12" s="54">
        <v>10130</v>
      </c>
      <c r="F12" s="53"/>
      <c r="G12" s="18">
        <f t="shared" si="0"/>
        <v>10114</v>
      </c>
      <c r="H12" s="28" t="s">
        <v>91</v>
      </c>
      <c r="I12" s="7" t="s">
        <v>133</v>
      </c>
    </row>
    <row r="13" spans="1:10" ht="18" customHeight="1" x14ac:dyDescent="0.25">
      <c r="A13" s="14">
        <f t="shared" si="1"/>
        <v>5</v>
      </c>
      <c r="B13" s="8">
        <v>45867</v>
      </c>
      <c r="C13" s="15" t="s">
        <v>106</v>
      </c>
      <c r="D13" s="7"/>
      <c r="E13" s="54"/>
      <c r="F13" s="53">
        <v>240</v>
      </c>
      <c r="G13" s="18">
        <f t="shared" si="0"/>
        <v>9874</v>
      </c>
      <c r="H13" s="28"/>
      <c r="I13" s="7"/>
    </row>
    <row r="14" spans="1:10" ht="18" customHeight="1" x14ac:dyDescent="0.25">
      <c r="A14" s="14">
        <f t="shared" si="1"/>
        <v>6</v>
      </c>
      <c r="B14" s="8">
        <v>45868</v>
      </c>
      <c r="C14" s="15" t="s">
        <v>106</v>
      </c>
      <c r="D14" s="7"/>
      <c r="E14" s="54"/>
      <c r="F14" s="53">
        <v>1380</v>
      </c>
      <c r="G14" s="18">
        <f t="shared" si="0"/>
        <v>8494</v>
      </c>
      <c r="H14" s="28"/>
      <c r="I14" s="7"/>
    </row>
    <row r="15" spans="1:10" ht="18" customHeight="1" x14ac:dyDescent="0.25">
      <c r="A15" s="14">
        <f t="shared" si="1"/>
        <v>7</v>
      </c>
      <c r="B15" s="8">
        <v>45869</v>
      </c>
      <c r="C15" s="15" t="s">
        <v>106</v>
      </c>
      <c r="D15" s="7"/>
      <c r="E15" s="54"/>
      <c r="F15" s="53">
        <v>1380</v>
      </c>
      <c r="G15" s="18">
        <f t="shared" si="0"/>
        <v>7114</v>
      </c>
      <c r="H15" s="28"/>
      <c r="I15" s="7"/>
    </row>
    <row r="16" spans="1:10" ht="18" customHeight="1" x14ac:dyDescent="0.25">
      <c r="A16" s="14">
        <f t="shared" si="1"/>
        <v>8</v>
      </c>
      <c r="B16" s="45">
        <v>45839</v>
      </c>
      <c r="C16" s="15" t="s">
        <v>106</v>
      </c>
      <c r="D16" s="7"/>
      <c r="E16" s="54"/>
      <c r="F16" s="53">
        <v>384</v>
      </c>
      <c r="G16" s="18">
        <f t="shared" si="0"/>
        <v>6730</v>
      </c>
      <c r="H16" s="28"/>
      <c r="I16" s="7"/>
    </row>
    <row r="17" spans="1:10" ht="18" customHeight="1" x14ac:dyDescent="0.25">
      <c r="A17" s="14">
        <f t="shared" si="1"/>
        <v>9</v>
      </c>
      <c r="B17" s="8"/>
      <c r="C17" s="15" t="s">
        <v>106</v>
      </c>
      <c r="D17" s="7"/>
      <c r="E17" s="54"/>
      <c r="F17" s="53"/>
      <c r="G17" s="18">
        <f t="shared" si="0"/>
        <v>6730</v>
      </c>
      <c r="H17" s="28"/>
      <c r="I17" s="7"/>
    </row>
    <row r="18" spans="1:10" ht="18" customHeight="1" x14ac:dyDescent="0.25">
      <c r="A18" s="14">
        <f t="shared" si="1"/>
        <v>10</v>
      </c>
      <c r="B18" s="8"/>
      <c r="C18" s="15" t="s">
        <v>106</v>
      </c>
      <c r="D18" s="7"/>
      <c r="E18" s="54"/>
      <c r="F18" s="53"/>
      <c r="G18" s="18">
        <f>+G17+E18-F18</f>
        <v>6730</v>
      </c>
      <c r="H18" s="28"/>
      <c r="I18" s="7"/>
    </row>
    <row r="19" spans="1:10" ht="18" customHeight="1" x14ac:dyDescent="0.25">
      <c r="A19" s="14">
        <f t="shared" si="1"/>
        <v>11</v>
      </c>
      <c r="B19" s="8"/>
      <c r="C19" s="15"/>
      <c r="D19" s="7"/>
      <c r="E19" s="54"/>
      <c r="F19" s="53"/>
      <c r="G19" s="18">
        <f>+G18+E19-F19</f>
        <v>6730</v>
      </c>
      <c r="H19" s="28"/>
      <c r="I19" s="7"/>
    </row>
    <row r="20" spans="1:10" ht="18" customHeight="1" x14ac:dyDescent="0.25">
      <c r="A20" s="14">
        <f t="shared" si="1"/>
        <v>12</v>
      </c>
      <c r="B20" s="8"/>
      <c r="C20" s="15"/>
      <c r="D20" s="7"/>
      <c r="E20" s="54"/>
      <c r="F20" s="52"/>
      <c r="G20" s="18">
        <f t="shared" si="0"/>
        <v>6730</v>
      </c>
      <c r="H20" s="28"/>
      <c r="I20" s="7"/>
    </row>
    <row r="21" spans="1:10" ht="18" customHeight="1" x14ac:dyDescent="0.25">
      <c r="A21" s="14">
        <f t="shared" si="1"/>
        <v>13</v>
      </c>
      <c r="B21" s="8"/>
      <c r="C21" s="15"/>
      <c r="D21" s="7"/>
      <c r="E21" s="54"/>
      <c r="F21" s="52"/>
      <c r="G21" s="18">
        <f t="shared" si="0"/>
        <v>6730</v>
      </c>
      <c r="H21" s="28"/>
      <c r="I21" s="7"/>
    </row>
    <row r="22" spans="1:10" ht="18" customHeight="1" x14ac:dyDescent="0.25">
      <c r="A22" s="14">
        <f t="shared" si="1"/>
        <v>14</v>
      </c>
      <c r="B22" s="8"/>
      <c r="C22" s="15"/>
      <c r="D22" s="7"/>
      <c r="E22" s="54"/>
      <c r="F22" s="52"/>
      <c r="G22" s="18">
        <f t="shared" si="0"/>
        <v>6730</v>
      </c>
      <c r="H22" s="28"/>
      <c r="I22" s="7"/>
    </row>
    <row r="23" spans="1:10" ht="18" customHeight="1" x14ac:dyDescent="0.25">
      <c r="A23" s="14">
        <f t="shared" si="1"/>
        <v>15</v>
      </c>
      <c r="B23" s="8"/>
      <c r="C23" s="15"/>
      <c r="D23" s="7"/>
      <c r="E23" s="54"/>
      <c r="F23" s="52"/>
      <c r="G23" s="18">
        <f t="shared" si="0"/>
        <v>6730</v>
      </c>
      <c r="H23" s="28"/>
      <c r="I23" s="7"/>
    </row>
    <row r="24" spans="1:10" ht="18" customHeight="1" x14ac:dyDescent="0.25">
      <c r="A24" s="14">
        <f t="shared" si="1"/>
        <v>16</v>
      </c>
      <c r="B24" s="8"/>
      <c r="C24" s="15"/>
      <c r="D24" s="7"/>
      <c r="E24" s="54"/>
      <c r="F24" s="53"/>
      <c r="G24" s="18">
        <f t="shared" si="0"/>
        <v>6730</v>
      </c>
      <c r="H24" s="28"/>
      <c r="I24" s="7"/>
    </row>
    <row r="25" spans="1:10" ht="18" customHeight="1" x14ac:dyDescent="0.25">
      <c r="A25" s="14">
        <f t="shared" si="1"/>
        <v>17</v>
      </c>
      <c r="B25" s="8"/>
      <c r="C25" s="15"/>
      <c r="D25" s="7"/>
      <c r="E25" s="54"/>
      <c r="F25" s="52"/>
      <c r="G25" s="18">
        <f t="shared" si="0"/>
        <v>6730</v>
      </c>
      <c r="H25" s="28"/>
      <c r="I25" s="7"/>
    </row>
    <row r="26" spans="1:10" ht="18" customHeight="1" x14ac:dyDescent="0.25">
      <c r="A26" s="14">
        <f t="shared" si="1"/>
        <v>18</v>
      </c>
      <c r="B26" s="8"/>
      <c r="C26" s="15"/>
      <c r="D26" s="7"/>
      <c r="E26" s="54"/>
      <c r="F26" s="52"/>
      <c r="G26" s="18">
        <f t="shared" si="0"/>
        <v>6730</v>
      </c>
      <c r="H26" s="28"/>
      <c r="I26" s="7"/>
    </row>
    <row r="27" spans="1:10" ht="18" customHeight="1" x14ac:dyDescent="0.25">
      <c r="A27" s="14">
        <f t="shared" si="1"/>
        <v>19</v>
      </c>
      <c r="B27" s="8"/>
      <c r="C27" s="15"/>
      <c r="D27" s="7"/>
      <c r="E27" s="54"/>
      <c r="F27" s="52"/>
      <c r="G27" s="18">
        <f t="shared" si="0"/>
        <v>6730</v>
      </c>
      <c r="H27" s="28"/>
      <c r="I27" s="7"/>
    </row>
    <row r="28" spans="1:10" ht="18" customHeight="1" x14ac:dyDescent="0.25">
      <c r="A28" s="14">
        <f t="shared" si="1"/>
        <v>20</v>
      </c>
      <c r="B28" s="8"/>
      <c r="C28" s="15"/>
      <c r="D28" s="7"/>
      <c r="E28" s="54"/>
      <c r="F28" s="53"/>
      <c r="G28" s="18">
        <f t="shared" si="0"/>
        <v>6730</v>
      </c>
      <c r="H28" s="28"/>
      <c r="I28" s="7"/>
    </row>
    <row r="29" spans="1:10" ht="18" customHeight="1" x14ac:dyDescent="0.25">
      <c r="A29" s="14">
        <f t="shared" si="1"/>
        <v>21</v>
      </c>
      <c r="B29" s="8"/>
      <c r="C29" s="15"/>
      <c r="D29" s="7"/>
      <c r="E29" s="54"/>
      <c r="F29" s="52"/>
      <c r="G29" s="18">
        <f t="shared" si="0"/>
        <v>6730</v>
      </c>
      <c r="H29" s="28"/>
      <c r="I29" s="7"/>
    </row>
    <row r="30" spans="1:10" ht="18" customHeight="1" x14ac:dyDescent="0.25">
      <c r="A30" s="14">
        <f t="shared" si="1"/>
        <v>22</v>
      </c>
      <c r="B30" s="8"/>
      <c r="C30" s="15"/>
      <c r="D30" s="7"/>
      <c r="E30" s="54"/>
      <c r="F30" s="52"/>
      <c r="G30" s="18">
        <f t="shared" si="0"/>
        <v>6730</v>
      </c>
      <c r="H30" s="28"/>
      <c r="I30" s="7"/>
      <c r="J30" s="26"/>
    </row>
    <row r="31" spans="1:10" ht="18" customHeight="1" x14ac:dyDescent="0.25">
      <c r="A31" s="14">
        <f t="shared" si="1"/>
        <v>23</v>
      </c>
      <c r="B31" s="8"/>
      <c r="C31" s="15"/>
      <c r="D31" s="7"/>
      <c r="E31" s="54"/>
      <c r="F31" s="52"/>
      <c r="G31" s="18">
        <f t="shared" si="0"/>
        <v>6730</v>
      </c>
      <c r="H31" s="28"/>
      <c r="I31" s="7"/>
    </row>
    <row r="32" spans="1:10" ht="18" customHeight="1" x14ac:dyDescent="0.25">
      <c r="A32" s="14">
        <f t="shared" si="1"/>
        <v>24</v>
      </c>
      <c r="B32" s="8"/>
      <c r="C32" s="15"/>
      <c r="D32" s="7"/>
      <c r="E32" s="54"/>
      <c r="F32" s="52"/>
      <c r="G32" s="18">
        <f t="shared" si="0"/>
        <v>6730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7"/>
      <c r="E33" s="54"/>
      <c r="F33" s="52"/>
      <c r="G33" s="18">
        <f t="shared" si="0"/>
        <v>6730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7"/>
      <c r="E34" s="54"/>
      <c r="F34" s="52"/>
      <c r="G34" s="18">
        <f t="shared" si="0"/>
        <v>6730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7"/>
      <c r="E35" s="54"/>
      <c r="F35" s="52"/>
      <c r="G35" s="18">
        <f t="shared" si="0"/>
        <v>6730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7"/>
      <c r="E36" s="54"/>
      <c r="F36" s="52"/>
      <c r="G36" s="18">
        <f t="shared" si="0"/>
        <v>6730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7"/>
      <c r="E37" s="54"/>
      <c r="F37" s="52"/>
      <c r="G37" s="18">
        <f t="shared" si="0"/>
        <v>6730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7"/>
      <c r="E38" s="54"/>
      <c r="F38" s="52"/>
      <c r="G38" s="18">
        <f t="shared" si="0"/>
        <v>6730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7"/>
      <c r="E39" s="54"/>
      <c r="F39" s="52"/>
      <c r="G39" s="18">
        <f t="shared" si="0"/>
        <v>6730</v>
      </c>
      <c r="H39" s="28"/>
      <c r="I39" s="7"/>
    </row>
    <row r="40" spans="1:9" ht="18" customHeight="1" x14ac:dyDescent="0.25">
      <c r="A40" s="14">
        <f t="shared" si="1"/>
        <v>32</v>
      </c>
      <c r="B40" s="8"/>
      <c r="C40" s="15"/>
      <c r="D40" s="7"/>
      <c r="E40" s="54"/>
      <c r="F40" s="52"/>
      <c r="G40" s="18">
        <f t="shared" si="0"/>
        <v>6730</v>
      </c>
      <c r="H40" s="28"/>
      <c r="I40" s="7"/>
    </row>
    <row r="41" spans="1:9" ht="18" customHeight="1" x14ac:dyDescent="0.25">
      <c r="A41" s="14">
        <f t="shared" si="1"/>
        <v>33</v>
      </c>
      <c r="B41" s="8"/>
      <c r="C41" s="15"/>
      <c r="D41" s="7"/>
      <c r="E41" s="54"/>
      <c r="F41" s="52"/>
      <c r="G41" s="18">
        <f t="shared" si="0"/>
        <v>6730</v>
      </c>
      <c r="H41" s="28"/>
      <c r="I41" s="7"/>
    </row>
    <row r="42" spans="1:9" ht="18" customHeight="1" x14ac:dyDescent="0.25">
      <c r="A42" s="14">
        <f t="shared" si="1"/>
        <v>34</v>
      </c>
      <c r="B42" s="8"/>
      <c r="C42" s="15"/>
      <c r="D42" s="7"/>
      <c r="E42" s="54"/>
      <c r="F42" s="52"/>
      <c r="G42" s="18">
        <f t="shared" si="0"/>
        <v>6730</v>
      </c>
      <c r="H42" s="28"/>
      <c r="I42" s="7"/>
    </row>
    <row r="43" spans="1:9" ht="18" customHeight="1" x14ac:dyDescent="0.25">
      <c r="A43" s="14">
        <f t="shared" si="1"/>
        <v>35</v>
      </c>
      <c r="B43" s="8"/>
      <c r="C43" s="15"/>
      <c r="D43" s="7"/>
      <c r="E43" s="54"/>
      <c r="F43" s="52"/>
      <c r="G43" s="18">
        <f t="shared" si="0"/>
        <v>6730</v>
      </c>
      <c r="H43" s="28"/>
      <c r="I43" s="7"/>
    </row>
    <row r="44" spans="1:9" ht="18" customHeight="1" x14ac:dyDescent="0.25">
      <c r="A44" s="14">
        <f t="shared" si="1"/>
        <v>36</v>
      </c>
      <c r="B44" s="8"/>
      <c r="C44" s="15"/>
      <c r="D44" s="7"/>
      <c r="E44" s="54"/>
      <c r="F44" s="52"/>
      <c r="G44" s="18">
        <f t="shared" si="0"/>
        <v>6730</v>
      </c>
      <c r="H44" s="28"/>
      <c r="I44" s="7"/>
    </row>
    <row r="45" spans="1:9" ht="18" customHeight="1" x14ac:dyDescent="0.25">
      <c r="A45" s="14">
        <f t="shared" si="1"/>
        <v>37</v>
      </c>
      <c r="B45" s="8"/>
      <c r="C45" s="15"/>
      <c r="D45" s="7"/>
      <c r="E45" s="54"/>
      <c r="F45" s="52"/>
      <c r="G45" s="18">
        <f t="shared" si="0"/>
        <v>6730</v>
      </c>
      <c r="H45" s="28"/>
      <c r="I45" s="7"/>
    </row>
    <row r="46" spans="1:9" ht="18" customHeight="1" x14ac:dyDescent="0.25">
      <c r="A46" s="14">
        <f t="shared" si="1"/>
        <v>38</v>
      </c>
      <c r="B46" s="8"/>
      <c r="C46" s="15"/>
      <c r="D46" s="7"/>
      <c r="E46" s="54"/>
      <c r="F46" s="52"/>
      <c r="G46" s="18">
        <f t="shared" si="0"/>
        <v>6730</v>
      </c>
      <c r="H46" s="28"/>
      <c r="I46" s="7"/>
    </row>
    <row r="47" spans="1:9" ht="18" customHeight="1" x14ac:dyDescent="0.25">
      <c r="A47" s="14">
        <f t="shared" si="1"/>
        <v>39</v>
      </c>
      <c r="B47" s="8"/>
      <c r="C47" s="15"/>
      <c r="D47" s="7"/>
      <c r="E47" s="54"/>
      <c r="F47" s="52"/>
      <c r="G47" s="18">
        <f t="shared" si="0"/>
        <v>6730</v>
      </c>
      <c r="H47" s="28"/>
      <c r="I47" s="7"/>
    </row>
    <row r="48" spans="1:9" ht="18" customHeight="1" x14ac:dyDescent="0.25">
      <c r="A48" s="14">
        <f t="shared" si="1"/>
        <v>40</v>
      </c>
      <c r="B48" s="8"/>
      <c r="C48" s="15"/>
      <c r="D48" s="7"/>
      <c r="E48" s="54"/>
      <c r="F48" s="52"/>
      <c r="G48" s="18">
        <f t="shared" si="0"/>
        <v>6730</v>
      </c>
      <c r="H48" s="28"/>
      <c r="I48" s="7"/>
    </row>
    <row r="49" spans="1:9" ht="18" customHeight="1" x14ac:dyDescent="0.25">
      <c r="A49" s="14">
        <f t="shared" si="1"/>
        <v>41</v>
      </c>
      <c r="B49" s="8"/>
      <c r="C49" s="15"/>
      <c r="D49" s="7"/>
      <c r="E49" s="54"/>
      <c r="F49" s="52"/>
      <c r="G49" s="18">
        <f t="shared" si="0"/>
        <v>6730</v>
      </c>
      <c r="H49" s="28"/>
      <c r="I49" s="7"/>
    </row>
    <row r="50" spans="1:9" ht="18" customHeight="1" x14ac:dyDescent="0.25">
      <c r="A50" s="14">
        <f t="shared" si="1"/>
        <v>42</v>
      </c>
      <c r="B50" s="8"/>
      <c r="C50" s="15"/>
      <c r="D50" s="7"/>
      <c r="E50" s="54"/>
      <c r="F50" s="52"/>
      <c r="G50" s="18">
        <f t="shared" si="0"/>
        <v>6730</v>
      </c>
      <c r="H50" s="28"/>
      <c r="I50" s="7"/>
    </row>
    <row r="51" spans="1:9" ht="18" customHeight="1" x14ac:dyDescent="0.25">
      <c r="A51" s="14">
        <f t="shared" si="1"/>
        <v>43</v>
      </c>
      <c r="B51" s="8"/>
      <c r="C51" s="15"/>
      <c r="D51" s="7"/>
      <c r="E51" s="54"/>
      <c r="F51" s="52"/>
      <c r="G51" s="18">
        <f t="shared" si="0"/>
        <v>6730</v>
      </c>
      <c r="H51" s="28"/>
      <c r="I51" s="7"/>
    </row>
    <row r="52" spans="1:9" ht="18" customHeight="1" x14ac:dyDescent="0.25">
      <c r="A52" s="14">
        <f t="shared" si="1"/>
        <v>44</v>
      </c>
      <c r="B52" s="8"/>
      <c r="C52" s="15"/>
      <c r="D52" s="7"/>
      <c r="E52" s="54"/>
      <c r="F52" s="52"/>
      <c r="G52" s="18">
        <f t="shared" si="0"/>
        <v>6730</v>
      </c>
      <c r="H52" s="28"/>
      <c r="I52" s="7"/>
    </row>
    <row r="53" spans="1:9" ht="18" customHeight="1" x14ac:dyDescent="0.25">
      <c r="A53" s="14">
        <f t="shared" si="1"/>
        <v>45</v>
      </c>
      <c r="B53" s="8"/>
      <c r="C53" s="15"/>
      <c r="D53" s="7"/>
      <c r="E53" s="54"/>
      <c r="F53" s="52"/>
      <c r="G53" s="18">
        <f t="shared" si="0"/>
        <v>6730</v>
      </c>
      <c r="H53" s="28"/>
      <c r="I53" s="7"/>
    </row>
    <row r="54" spans="1:9" ht="18" customHeight="1" x14ac:dyDescent="0.25">
      <c r="A54" s="14">
        <f t="shared" si="1"/>
        <v>46</v>
      </c>
      <c r="B54" s="8"/>
      <c r="C54" s="15"/>
      <c r="D54" s="7"/>
      <c r="E54" s="54"/>
      <c r="F54" s="52"/>
      <c r="G54" s="18">
        <f t="shared" si="0"/>
        <v>6730</v>
      </c>
      <c r="H54" s="28"/>
      <c r="I54" s="7"/>
    </row>
    <row r="55" spans="1:9" ht="18" customHeight="1" x14ac:dyDescent="0.25">
      <c r="A55" s="14">
        <f t="shared" si="1"/>
        <v>47</v>
      </c>
      <c r="B55" s="8"/>
      <c r="C55" s="15"/>
      <c r="D55" s="7"/>
      <c r="E55" s="54"/>
      <c r="F55" s="52"/>
      <c r="G55" s="18">
        <f t="shared" si="0"/>
        <v>6730</v>
      </c>
      <c r="H55" s="28"/>
      <c r="I55" s="7"/>
    </row>
    <row r="56" spans="1:9" ht="18" customHeight="1" x14ac:dyDescent="0.25">
      <c r="A56" s="14">
        <f t="shared" si="1"/>
        <v>48</v>
      </c>
      <c r="B56" s="8"/>
      <c r="C56" s="15"/>
      <c r="D56" s="10"/>
      <c r="E56" s="16"/>
      <c r="F56" s="27"/>
      <c r="G56" s="18">
        <f t="shared" si="0"/>
        <v>6730</v>
      </c>
      <c r="H56" s="28"/>
      <c r="I56" s="7"/>
    </row>
    <row r="57" spans="1:9" ht="18" customHeight="1" x14ac:dyDescent="0.25">
      <c r="A57" s="14">
        <f t="shared" si="1"/>
        <v>49</v>
      </c>
      <c r="B57" s="8"/>
      <c r="C57" s="15"/>
      <c r="D57" s="10"/>
      <c r="E57" s="32"/>
      <c r="F57" s="27"/>
      <c r="G57" s="18">
        <f t="shared" si="0"/>
        <v>6730</v>
      </c>
      <c r="H57" s="28"/>
      <c r="I57" s="7"/>
    </row>
    <row r="58" spans="1:9" x14ac:dyDescent="0.25">
      <c r="A58" s="7"/>
      <c r="B58" s="33"/>
      <c r="C58" s="34" t="s">
        <v>13</v>
      </c>
      <c r="D58" s="7"/>
      <c r="E58" s="35">
        <f>SUM(E9:E57)</f>
        <v>10130</v>
      </c>
      <c r="F58" s="35">
        <f>SUM(F9:F57)</f>
        <v>4764</v>
      </c>
      <c r="G58" s="35">
        <f>+E58-F58+G8</f>
        <v>6730</v>
      </c>
      <c r="H58" s="35"/>
      <c r="I58" s="36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32"/>
  <sheetViews>
    <sheetView workbookViewId="0">
      <selection activeCell="M22" sqref="M22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42.7109375" style="55" customWidth="1"/>
    <col min="4" max="4" width="6.5703125" style="55" customWidth="1"/>
    <col min="5" max="5" width="12.28515625" style="55" customWidth="1"/>
    <col min="6" max="6" width="12" style="55" customWidth="1"/>
    <col min="7" max="7" width="11.7109375" style="55" customWidth="1"/>
    <col min="8" max="8" width="14.28515625" style="55" customWidth="1"/>
    <col min="9" max="9" width="12.28515625" style="55" customWidth="1"/>
    <col min="10" max="11" width="9.140625" style="55"/>
    <col min="12" max="12" width="11.28515625" style="55" bestFit="1" customWidth="1"/>
    <col min="13" max="16" width="9.140625" style="55"/>
    <col min="17" max="17" width="11.7109375" style="55" bestFit="1" customWidth="1"/>
    <col min="18" max="256" width="9.140625" style="55"/>
    <col min="257" max="257" width="6" style="55" customWidth="1"/>
    <col min="258" max="258" width="11.5703125" style="55" customWidth="1"/>
    <col min="259" max="259" width="42.7109375" style="55" customWidth="1"/>
    <col min="260" max="260" width="6.5703125" style="55" customWidth="1"/>
    <col min="261" max="261" width="12.28515625" style="55" customWidth="1"/>
    <col min="262" max="262" width="12" style="55" customWidth="1"/>
    <col min="263" max="263" width="11.7109375" style="55" customWidth="1"/>
    <col min="264" max="264" width="14.28515625" style="55" customWidth="1"/>
    <col min="265" max="265" width="12.28515625" style="55" customWidth="1"/>
    <col min="266" max="267" width="9.140625" style="55"/>
    <col min="268" max="268" width="11.28515625" style="55" bestFit="1" customWidth="1"/>
    <col min="269" max="272" width="9.140625" style="55"/>
    <col min="273" max="273" width="11.7109375" style="55" bestFit="1" customWidth="1"/>
    <col min="274" max="512" width="9.140625" style="55"/>
    <col min="513" max="513" width="6" style="55" customWidth="1"/>
    <col min="514" max="514" width="11.5703125" style="55" customWidth="1"/>
    <col min="515" max="515" width="42.7109375" style="55" customWidth="1"/>
    <col min="516" max="516" width="6.5703125" style="55" customWidth="1"/>
    <col min="517" max="517" width="12.28515625" style="55" customWidth="1"/>
    <col min="518" max="518" width="12" style="55" customWidth="1"/>
    <col min="519" max="519" width="11.7109375" style="55" customWidth="1"/>
    <col min="520" max="520" width="14.28515625" style="55" customWidth="1"/>
    <col min="521" max="521" width="12.28515625" style="55" customWidth="1"/>
    <col min="522" max="523" width="9.140625" style="55"/>
    <col min="524" max="524" width="11.28515625" style="55" bestFit="1" customWidth="1"/>
    <col min="525" max="528" width="9.140625" style="55"/>
    <col min="529" max="529" width="11.7109375" style="55" bestFit="1" customWidth="1"/>
    <col min="530" max="768" width="9.140625" style="55"/>
    <col min="769" max="769" width="6" style="55" customWidth="1"/>
    <col min="770" max="770" width="11.5703125" style="55" customWidth="1"/>
    <col min="771" max="771" width="42.7109375" style="55" customWidth="1"/>
    <col min="772" max="772" width="6.5703125" style="55" customWidth="1"/>
    <col min="773" max="773" width="12.28515625" style="55" customWidth="1"/>
    <col min="774" max="774" width="12" style="55" customWidth="1"/>
    <col min="775" max="775" width="11.7109375" style="55" customWidth="1"/>
    <col min="776" max="776" width="14.28515625" style="55" customWidth="1"/>
    <col min="777" max="777" width="12.28515625" style="55" customWidth="1"/>
    <col min="778" max="779" width="9.140625" style="55"/>
    <col min="780" max="780" width="11.28515625" style="55" bestFit="1" customWidth="1"/>
    <col min="781" max="784" width="9.140625" style="55"/>
    <col min="785" max="785" width="11.7109375" style="55" bestFit="1" customWidth="1"/>
    <col min="786" max="1024" width="9.140625" style="55"/>
    <col min="1025" max="1025" width="6" style="55" customWidth="1"/>
    <col min="1026" max="1026" width="11.5703125" style="55" customWidth="1"/>
    <col min="1027" max="1027" width="42.7109375" style="55" customWidth="1"/>
    <col min="1028" max="1028" width="6.5703125" style="55" customWidth="1"/>
    <col min="1029" max="1029" width="12.28515625" style="55" customWidth="1"/>
    <col min="1030" max="1030" width="12" style="55" customWidth="1"/>
    <col min="1031" max="1031" width="11.7109375" style="55" customWidth="1"/>
    <col min="1032" max="1032" width="14.28515625" style="55" customWidth="1"/>
    <col min="1033" max="1033" width="12.28515625" style="55" customWidth="1"/>
    <col min="1034" max="1035" width="9.140625" style="55"/>
    <col min="1036" max="1036" width="11.28515625" style="55" bestFit="1" customWidth="1"/>
    <col min="1037" max="1040" width="9.140625" style="55"/>
    <col min="1041" max="1041" width="11.7109375" style="55" bestFit="1" customWidth="1"/>
    <col min="1042" max="1280" width="9.140625" style="55"/>
    <col min="1281" max="1281" width="6" style="55" customWidth="1"/>
    <col min="1282" max="1282" width="11.5703125" style="55" customWidth="1"/>
    <col min="1283" max="1283" width="42.7109375" style="55" customWidth="1"/>
    <col min="1284" max="1284" width="6.5703125" style="55" customWidth="1"/>
    <col min="1285" max="1285" width="12.28515625" style="55" customWidth="1"/>
    <col min="1286" max="1286" width="12" style="55" customWidth="1"/>
    <col min="1287" max="1287" width="11.7109375" style="55" customWidth="1"/>
    <col min="1288" max="1288" width="14.28515625" style="55" customWidth="1"/>
    <col min="1289" max="1289" width="12.28515625" style="55" customWidth="1"/>
    <col min="1290" max="1291" width="9.140625" style="55"/>
    <col min="1292" max="1292" width="11.28515625" style="55" bestFit="1" customWidth="1"/>
    <col min="1293" max="1296" width="9.140625" style="55"/>
    <col min="1297" max="1297" width="11.7109375" style="55" bestFit="1" customWidth="1"/>
    <col min="1298" max="1536" width="9.140625" style="55"/>
    <col min="1537" max="1537" width="6" style="55" customWidth="1"/>
    <col min="1538" max="1538" width="11.5703125" style="55" customWidth="1"/>
    <col min="1539" max="1539" width="42.7109375" style="55" customWidth="1"/>
    <col min="1540" max="1540" width="6.5703125" style="55" customWidth="1"/>
    <col min="1541" max="1541" width="12.28515625" style="55" customWidth="1"/>
    <col min="1542" max="1542" width="12" style="55" customWidth="1"/>
    <col min="1543" max="1543" width="11.7109375" style="55" customWidth="1"/>
    <col min="1544" max="1544" width="14.28515625" style="55" customWidth="1"/>
    <col min="1545" max="1545" width="12.28515625" style="55" customWidth="1"/>
    <col min="1546" max="1547" width="9.140625" style="55"/>
    <col min="1548" max="1548" width="11.28515625" style="55" bestFit="1" customWidth="1"/>
    <col min="1549" max="1552" width="9.140625" style="55"/>
    <col min="1553" max="1553" width="11.7109375" style="55" bestFit="1" customWidth="1"/>
    <col min="1554" max="1792" width="9.140625" style="55"/>
    <col min="1793" max="1793" width="6" style="55" customWidth="1"/>
    <col min="1794" max="1794" width="11.5703125" style="55" customWidth="1"/>
    <col min="1795" max="1795" width="42.7109375" style="55" customWidth="1"/>
    <col min="1796" max="1796" width="6.5703125" style="55" customWidth="1"/>
    <col min="1797" max="1797" width="12.28515625" style="55" customWidth="1"/>
    <col min="1798" max="1798" width="12" style="55" customWidth="1"/>
    <col min="1799" max="1799" width="11.7109375" style="55" customWidth="1"/>
    <col min="1800" max="1800" width="14.28515625" style="55" customWidth="1"/>
    <col min="1801" max="1801" width="12.28515625" style="55" customWidth="1"/>
    <col min="1802" max="1803" width="9.140625" style="55"/>
    <col min="1804" max="1804" width="11.28515625" style="55" bestFit="1" customWidth="1"/>
    <col min="1805" max="1808" width="9.140625" style="55"/>
    <col min="1809" max="1809" width="11.7109375" style="55" bestFit="1" customWidth="1"/>
    <col min="1810" max="2048" width="9.140625" style="55"/>
    <col min="2049" max="2049" width="6" style="55" customWidth="1"/>
    <col min="2050" max="2050" width="11.5703125" style="55" customWidth="1"/>
    <col min="2051" max="2051" width="42.7109375" style="55" customWidth="1"/>
    <col min="2052" max="2052" width="6.5703125" style="55" customWidth="1"/>
    <col min="2053" max="2053" width="12.28515625" style="55" customWidth="1"/>
    <col min="2054" max="2054" width="12" style="55" customWidth="1"/>
    <col min="2055" max="2055" width="11.7109375" style="55" customWidth="1"/>
    <col min="2056" max="2056" width="14.28515625" style="55" customWidth="1"/>
    <col min="2057" max="2057" width="12.28515625" style="55" customWidth="1"/>
    <col min="2058" max="2059" width="9.140625" style="55"/>
    <col min="2060" max="2060" width="11.28515625" style="55" bestFit="1" customWidth="1"/>
    <col min="2061" max="2064" width="9.140625" style="55"/>
    <col min="2065" max="2065" width="11.7109375" style="55" bestFit="1" customWidth="1"/>
    <col min="2066" max="2304" width="9.140625" style="55"/>
    <col min="2305" max="2305" width="6" style="55" customWidth="1"/>
    <col min="2306" max="2306" width="11.5703125" style="55" customWidth="1"/>
    <col min="2307" max="2307" width="42.7109375" style="55" customWidth="1"/>
    <col min="2308" max="2308" width="6.5703125" style="55" customWidth="1"/>
    <col min="2309" max="2309" width="12.28515625" style="55" customWidth="1"/>
    <col min="2310" max="2310" width="12" style="55" customWidth="1"/>
    <col min="2311" max="2311" width="11.7109375" style="55" customWidth="1"/>
    <col min="2312" max="2312" width="14.28515625" style="55" customWidth="1"/>
    <col min="2313" max="2313" width="12.28515625" style="55" customWidth="1"/>
    <col min="2314" max="2315" width="9.140625" style="55"/>
    <col min="2316" max="2316" width="11.28515625" style="55" bestFit="1" customWidth="1"/>
    <col min="2317" max="2320" width="9.140625" style="55"/>
    <col min="2321" max="2321" width="11.7109375" style="55" bestFit="1" customWidth="1"/>
    <col min="2322" max="2560" width="9.140625" style="55"/>
    <col min="2561" max="2561" width="6" style="55" customWidth="1"/>
    <col min="2562" max="2562" width="11.5703125" style="55" customWidth="1"/>
    <col min="2563" max="2563" width="42.7109375" style="55" customWidth="1"/>
    <col min="2564" max="2564" width="6.5703125" style="55" customWidth="1"/>
    <col min="2565" max="2565" width="12.28515625" style="55" customWidth="1"/>
    <col min="2566" max="2566" width="12" style="55" customWidth="1"/>
    <col min="2567" max="2567" width="11.7109375" style="55" customWidth="1"/>
    <col min="2568" max="2568" width="14.28515625" style="55" customWidth="1"/>
    <col min="2569" max="2569" width="12.28515625" style="55" customWidth="1"/>
    <col min="2570" max="2571" width="9.140625" style="55"/>
    <col min="2572" max="2572" width="11.28515625" style="55" bestFit="1" customWidth="1"/>
    <col min="2573" max="2576" width="9.140625" style="55"/>
    <col min="2577" max="2577" width="11.7109375" style="55" bestFit="1" customWidth="1"/>
    <col min="2578" max="2816" width="9.140625" style="55"/>
    <col min="2817" max="2817" width="6" style="55" customWidth="1"/>
    <col min="2818" max="2818" width="11.5703125" style="55" customWidth="1"/>
    <col min="2819" max="2819" width="42.7109375" style="55" customWidth="1"/>
    <col min="2820" max="2820" width="6.5703125" style="55" customWidth="1"/>
    <col min="2821" max="2821" width="12.28515625" style="55" customWidth="1"/>
    <col min="2822" max="2822" width="12" style="55" customWidth="1"/>
    <col min="2823" max="2823" width="11.7109375" style="55" customWidth="1"/>
    <col min="2824" max="2824" width="14.28515625" style="55" customWidth="1"/>
    <col min="2825" max="2825" width="12.28515625" style="55" customWidth="1"/>
    <col min="2826" max="2827" width="9.140625" style="55"/>
    <col min="2828" max="2828" width="11.28515625" style="55" bestFit="1" customWidth="1"/>
    <col min="2829" max="2832" width="9.140625" style="55"/>
    <col min="2833" max="2833" width="11.7109375" style="55" bestFit="1" customWidth="1"/>
    <col min="2834" max="3072" width="9.140625" style="55"/>
    <col min="3073" max="3073" width="6" style="55" customWidth="1"/>
    <col min="3074" max="3074" width="11.5703125" style="55" customWidth="1"/>
    <col min="3075" max="3075" width="42.7109375" style="55" customWidth="1"/>
    <col min="3076" max="3076" width="6.5703125" style="55" customWidth="1"/>
    <col min="3077" max="3077" width="12.28515625" style="55" customWidth="1"/>
    <col min="3078" max="3078" width="12" style="55" customWidth="1"/>
    <col min="3079" max="3079" width="11.7109375" style="55" customWidth="1"/>
    <col min="3080" max="3080" width="14.28515625" style="55" customWidth="1"/>
    <col min="3081" max="3081" width="12.28515625" style="55" customWidth="1"/>
    <col min="3082" max="3083" width="9.140625" style="55"/>
    <col min="3084" max="3084" width="11.28515625" style="55" bestFit="1" customWidth="1"/>
    <col min="3085" max="3088" width="9.140625" style="55"/>
    <col min="3089" max="3089" width="11.7109375" style="55" bestFit="1" customWidth="1"/>
    <col min="3090" max="3328" width="9.140625" style="55"/>
    <col min="3329" max="3329" width="6" style="55" customWidth="1"/>
    <col min="3330" max="3330" width="11.5703125" style="55" customWidth="1"/>
    <col min="3331" max="3331" width="42.7109375" style="55" customWidth="1"/>
    <col min="3332" max="3332" width="6.5703125" style="55" customWidth="1"/>
    <col min="3333" max="3333" width="12.28515625" style="55" customWidth="1"/>
    <col min="3334" max="3334" width="12" style="55" customWidth="1"/>
    <col min="3335" max="3335" width="11.7109375" style="55" customWidth="1"/>
    <col min="3336" max="3336" width="14.28515625" style="55" customWidth="1"/>
    <col min="3337" max="3337" width="12.28515625" style="55" customWidth="1"/>
    <col min="3338" max="3339" width="9.140625" style="55"/>
    <col min="3340" max="3340" width="11.28515625" style="55" bestFit="1" customWidth="1"/>
    <col min="3341" max="3344" width="9.140625" style="55"/>
    <col min="3345" max="3345" width="11.7109375" style="55" bestFit="1" customWidth="1"/>
    <col min="3346" max="3584" width="9.140625" style="55"/>
    <col min="3585" max="3585" width="6" style="55" customWidth="1"/>
    <col min="3586" max="3586" width="11.5703125" style="55" customWidth="1"/>
    <col min="3587" max="3587" width="42.7109375" style="55" customWidth="1"/>
    <col min="3588" max="3588" width="6.5703125" style="55" customWidth="1"/>
    <col min="3589" max="3589" width="12.28515625" style="55" customWidth="1"/>
    <col min="3590" max="3590" width="12" style="55" customWidth="1"/>
    <col min="3591" max="3591" width="11.7109375" style="55" customWidth="1"/>
    <col min="3592" max="3592" width="14.28515625" style="55" customWidth="1"/>
    <col min="3593" max="3593" width="12.28515625" style="55" customWidth="1"/>
    <col min="3594" max="3595" width="9.140625" style="55"/>
    <col min="3596" max="3596" width="11.28515625" style="55" bestFit="1" customWidth="1"/>
    <col min="3597" max="3600" width="9.140625" style="55"/>
    <col min="3601" max="3601" width="11.7109375" style="55" bestFit="1" customWidth="1"/>
    <col min="3602" max="3840" width="9.140625" style="55"/>
    <col min="3841" max="3841" width="6" style="55" customWidth="1"/>
    <col min="3842" max="3842" width="11.5703125" style="55" customWidth="1"/>
    <col min="3843" max="3843" width="42.7109375" style="55" customWidth="1"/>
    <col min="3844" max="3844" width="6.5703125" style="55" customWidth="1"/>
    <col min="3845" max="3845" width="12.28515625" style="55" customWidth="1"/>
    <col min="3846" max="3846" width="12" style="55" customWidth="1"/>
    <col min="3847" max="3847" width="11.7109375" style="55" customWidth="1"/>
    <col min="3848" max="3848" width="14.28515625" style="55" customWidth="1"/>
    <col min="3849" max="3849" width="12.28515625" style="55" customWidth="1"/>
    <col min="3850" max="3851" width="9.140625" style="55"/>
    <col min="3852" max="3852" width="11.28515625" style="55" bestFit="1" customWidth="1"/>
    <col min="3853" max="3856" width="9.140625" style="55"/>
    <col min="3857" max="3857" width="11.7109375" style="55" bestFit="1" customWidth="1"/>
    <col min="3858" max="4096" width="9.140625" style="55"/>
    <col min="4097" max="4097" width="6" style="55" customWidth="1"/>
    <col min="4098" max="4098" width="11.5703125" style="55" customWidth="1"/>
    <col min="4099" max="4099" width="42.7109375" style="55" customWidth="1"/>
    <col min="4100" max="4100" width="6.5703125" style="55" customWidth="1"/>
    <col min="4101" max="4101" width="12.28515625" style="55" customWidth="1"/>
    <col min="4102" max="4102" width="12" style="55" customWidth="1"/>
    <col min="4103" max="4103" width="11.7109375" style="55" customWidth="1"/>
    <col min="4104" max="4104" width="14.28515625" style="55" customWidth="1"/>
    <col min="4105" max="4105" width="12.28515625" style="55" customWidth="1"/>
    <col min="4106" max="4107" width="9.140625" style="55"/>
    <col min="4108" max="4108" width="11.28515625" style="55" bestFit="1" customWidth="1"/>
    <col min="4109" max="4112" width="9.140625" style="55"/>
    <col min="4113" max="4113" width="11.7109375" style="55" bestFit="1" customWidth="1"/>
    <col min="4114" max="4352" width="9.140625" style="55"/>
    <col min="4353" max="4353" width="6" style="55" customWidth="1"/>
    <col min="4354" max="4354" width="11.5703125" style="55" customWidth="1"/>
    <col min="4355" max="4355" width="42.7109375" style="55" customWidth="1"/>
    <col min="4356" max="4356" width="6.5703125" style="55" customWidth="1"/>
    <col min="4357" max="4357" width="12.28515625" style="55" customWidth="1"/>
    <col min="4358" max="4358" width="12" style="55" customWidth="1"/>
    <col min="4359" max="4359" width="11.7109375" style="55" customWidth="1"/>
    <col min="4360" max="4360" width="14.28515625" style="55" customWidth="1"/>
    <col min="4361" max="4361" width="12.28515625" style="55" customWidth="1"/>
    <col min="4362" max="4363" width="9.140625" style="55"/>
    <col min="4364" max="4364" width="11.28515625" style="55" bestFit="1" customWidth="1"/>
    <col min="4365" max="4368" width="9.140625" style="55"/>
    <col min="4369" max="4369" width="11.7109375" style="55" bestFit="1" customWidth="1"/>
    <col min="4370" max="4608" width="9.140625" style="55"/>
    <col min="4609" max="4609" width="6" style="55" customWidth="1"/>
    <col min="4610" max="4610" width="11.5703125" style="55" customWidth="1"/>
    <col min="4611" max="4611" width="42.7109375" style="55" customWidth="1"/>
    <col min="4612" max="4612" width="6.5703125" style="55" customWidth="1"/>
    <col min="4613" max="4613" width="12.28515625" style="55" customWidth="1"/>
    <col min="4614" max="4614" width="12" style="55" customWidth="1"/>
    <col min="4615" max="4615" width="11.7109375" style="55" customWidth="1"/>
    <col min="4616" max="4616" width="14.28515625" style="55" customWidth="1"/>
    <col min="4617" max="4617" width="12.28515625" style="55" customWidth="1"/>
    <col min="4618" max="4619" width="9.140625" style="55"/>
    <col min="4620" max="4620" width="11.28515625" style="55" bestFit="1" customWidth="1"/>
    <col min="4621" max="4624" width="9.140625" style="55"/>
    <col min="4625" max="4625" width="11.7109375" style="55" bestFit="1" customWidth="1"/>
    <col min="4626" max="4864" width="9.140625" style="55"/>
    <col min="4865" max="4865" width="6" style="55" customWidth="1"/>
    <col min="4866" max="4866" width="11.5703125" style="55" customWidth="1"/>
    <col min="4867" max="4867" width="42.7109375" style="55" customWidth="1"/>
    <col min="4868" max="4868" width="6.5703125" style="55" customWidth="1"/>
    <col min="4869" max="4869" width="12.28515625" style="55" customWidth="1"/>
    <col min="4870" max="4870" width="12" style="55" customWidth="1"/>
    <col min="4871" max="4871" width="11.7109375" style="55" customWidth="1"/>
    <col min="4872" max="4872" width="14.28515625" style="55" customWidth="1"/>
    <col min="4873" max="4873" width="12.28515625" style="55" customWidth="1"/>
    <col min="4874" max="4875" width="9.140625" style="55"/>
    <col min="4876" max="4876" width="11.28515625" style="55" bestFit="1" customWidth="1"/>
    <col min="4877" max="4880" width="9.140625" style="55"/>
    <col min="4881" max="4881" width="11.7109375" style="55" bestFit="1" customWidth="1"/>
    <col min="4882" max="5120" width="9.140625" style="55"/>
    <col min="5121" max="5121" width="6" style="55" customWidth="1"/>
    <col min="5122" max="5122" width="11.5703125" style="55" customWidth="1"/>
    <col min="5123" max="5123" width="42.7109375" style="55" customWidth="1"/>
    <col min="5124" max="5124" width="6.5703125" style="55" customWidth="1"/>
    <col min="5125" max="5125" width="12.28515625" style="55" customWidth="1"/>
    <col min="5126" max="5126" width="12" style="55" customWidth="1"/>
    <col min="5127" max="5127" width="11.7109375" style="55" customWidth="1"/>
    <col min="5128" max="5128" width="14.28515625" style="55" customWidth="1"/>
    <col min="5129" max="5129" width="12.28515625" style="55" customWidth="1"/>
    <col min="5130" max="5131" width="9.140625" style="55"/>
    <col min="5132" max="5132" width="11.28515625" style="55" bestFit="1" customWidth="1"/>
    <col min="5133" max="5136" width="9.140625" style="55"/>
    <col min="5137" max="5137" width="11.7109375" style="55" bestFit="1" customWidth="1"/>
    <col min="5138" max="5376" width="9.140625" style="55"/>
    <col min="5377" max="5377" width="6" style="55" customWidth="1"/>
    <col min="5378" max="5378" width="11.5703125" style="55" customWidth="1"/>
    <col min="5379" max="5379" width="42.7109375" style="55" customWidth="1"/>
    <col min="5380" max="5380" width="6.5703125" style="55" customWidth="1"/>
    <col min="5381" max="5381" width="12.28515625" style="55" customWidth="1"/>
    <col min="5382" max="5382" width="12" style="55" customWidth="1"/>
    <col min="5383" max="5383" width="11.7109375" style="55" customWidth="1"/>
    <col min="5384" max="5384" width="14.28515625" style="55" customWidth="1"/>
    <col min="5385" max="5385" width="12.28515625" style="55" customWidth="1"/>
    <col min="5386" max="5387" width="9.140625" style="55"/>
    <col min="5388" max="5388" width="11.28515625" style="55" bestFit="1" customWidth="1"/>
    <col min="5389" max="5392" width="9.140625" style="55"/>
    <col min="5393" max="5393" width="11.7109375" style="55" bestFit="1" customWidth="1"/>
    <col min="5394" max="5632" width="9.140625" style="55"/>
    <col min="5633" max="5633" width="6" style="55" customWidth="1"/>
    <col min="5634" max="5634" width="11.5703125" style="55" customWidth="1"/>
    <col min="5635" max="5635" width="42.7109375" style="55" customWidth="1"/>
    <col min="5636" max="5636" width="6.5703125" style="55" customWidth="1"/>
    <col min="5637" max="5637" width="12.28515625" style="55" customWidth="1"/>
    <col min="5638" max="5638" width="12" style="55" customWidth="1"/>
    <col min="5639" max="5639" width="11.7109375" style="55" customWidth="1"/>
    <col min="5640" max="5640" width="14.28515625" style="55" customWidth="1"/>
    <col min="5641" max="5641" width="12.28515625" style="55" customWidth="1"/>
    <col min="5642" max="5643" width="9.140625" style="55"/>
    <col min="5644" max="5644" width="11.28515625" style="55" bestFit="1" customWidth="1"/>
    <col min="5645" max="5648" width="9.140625" style="55"/>
    <col min="5649" max="5649" width="11.7109375" style="55" bestFit="1" customWidth="1"/>
    <col min="5650" max="5888" width="9.140625" style="55"/>
    <col min="5889" max="5889" width="6" style="55" customWidth="1"/>
    <col min="5890" max="5890" width="11.5703125" style="55" customWidth="1"/>
    <col min="5891" max="5891" width="42.7109375" style="55" customWidth="1"/>
    <col min="5892" max="5892" width="6.5703125" style="55" customWidth="1"/>
    <col min="5893" max="5893" width="12.28515625" style="55" customWidth="1"/>
    <col min="5894" max="5894" width="12" style="55" customWidth="1"/>
    <col min="5895" max="5895" width="11.7109375" style="55" customWidth="1"/>
    <col min="5896" max="5896" width="14.28515625" style="55" customWidth="1"/>
    <col min="5897" max="5897" width="12.28515625" style="55" customWidth="1"/>
    <col min="5898" max="5899" width="9.140625" style="55"/>
    <col min="5900" max="5900" width="11.28515625" style="55" bestFit="1" customWidth="1"/>
    <col min="5901" max="5904" width="9.140625" style="55"/>
    <col min="5905" max="5905" width="11.7109375" style="55" bestFit="1" customWidth="1"/>
    <col min="5906" max="6144" width="9.140625" style="55"/>
    <col min="6145" max="6145" width="6" style="55" customWidth="1"/>
    <col min="6146" max="6146" width="11.5703125" style="55" customWidth="1"/>
    <col min="6147" max="6147" width="42.7109375" style="55" customWidth="1"/>
    <col min="6148" max="6148" width="6.5703125" style="55" customWidth="1"/>
    <col min="6149" max="6149" width="12.28515625" style="55" customWidth="1"/>
    <col min="6150" max="6150" width="12" style="55" customWidth="1"/>
    <col min="6151" max="6151" width="11.7109375" style="55" customWidth="1"/>
    <col min="6152" max="6152" width="14.28515625" style="55" customWidth="1"/>
    <col min="6153" max="6153" width="12.28515625" style="55" customWidth="1"/>
    <col min="6154" max="6155" width="9.140625" style="55"/>
    <col min="6156" max="6156" width="11.28515625" style="55" bestFit="1" customWidth="1"/>
    <col min="6157" max="6160" width="9.140625" style="55"/>
    <col min="6161" max="6161" width="11.7109375" style="55" bestFit="1" customWidth="1"/>
    <col min="6162" max="6400" width="9.140625" style="55"/>
    <col min="6401" max="6401" width="6" style="55" customWidth="1"/>
    <col min="6402" max="6402" width="11.5703125" style="55" customWidth="1"/>
    <col min="6403" max="6403" width="42.7109375" style="55" customWidth="1"/>
    <col min="6404" max="6404" width="6.5703125" style="55" customWidth="1"/>
    <col min="6405" max="6405" width="12.28515625" style="55" customWidth="1"/>
    <col min="6406" max="6406" width="12" style="55" customWidth="1"/>
    <col min="6407" max="6407" width="11.7109375" style="55" customWidth="1"/>
    <col min="6408" max="6408" width="14.28515625" style="55" customWidth="1"/>
    <col min="6409" max="6409" width="12.28515625" style="55" customWidth="1"/>
    <col min="6410" max="6411" width="9.140625" style="55"/>
    <col min="6412" max="6412" width="11.28515625" style="55" bestFit="1" customWidth="1"/>
    <col min="6413" max="6416" width="9.140625" style="55"/>
    <col min="6417" max="6417" width="11.7109375" style="55" bestFit="1" customWidth="1"/>
    <col min="6418" max="6656" width="9.140625" style="55"/>
    <col min="6657" max="6657" width="6" style="55" customWidth="1"/>
    <col min="6658" max="6658" width="11.5703125" style="55" customWidth="1"/>
    <col min="6659" max="6659" width="42.7109375" style="55" customWidth="1"/>
    <col min="6660" max="6660" width="6.5703125" style="55" customWidth="1"/>
    <col min="6661" max="6661" width="12.28515625" style="55" customWidth="1"/>
    <col min="6662" max="6662" width="12" style="55" customWidth="1"/>
    <col min="6663" max="6663" width="11.7109375" style="55" customWidth="1"/>
    <col min="6664" max="6664" width="14.28515625" style="55" customWidth="1"/>
    <col min="6665" max="6665" width="12.28515625" style="55" customWidth="1"/>
    <col min="6666" max="6667" width="9.140625" style="55"/>
    <col min="6668" max="6668" width="11.28515625" style="55" bestFit="1" customWidth="1"/>
    <col min="6669" max="6672" width="9.140625" style="55"/>
    <col min="6673" max="6673" width="11.7109375" style="55" bestFit="1" customWidth="1"/>
    <col min="6674" max="6912" width="9.140625" style="55"/>
    <col min="6913" max="6913" width="6" style="55" customWidth="1"/>
    <col min="6914" max="6914" width="11.5703125" style="55" customWidth="1"/>
    <col min="6915" max="6915" width="42.7109375" style="55" customWidth="1"/>
    <col min="6916" max="6916" width="6.5703125" style="55" customWidth="1"/>
    <col min="6917" max="6917" width="12.28515625" style="55" customWidth="1"/>
    <col min="6918" max="6918" width="12" style="55" customWidth="1"/>
    <col min="6919" max="6919" width="11.7109375" style="55" customWidth="1"/>
    <col min="6920" max="6920" width="14.28515625" style="55" customWidth="1"/>
    <col min="6921" max="6921" width="12.28515625" style="55" customWidth="1"/>
    <col min="6922" max="6923" width="9.140625" style="55"/>
    <col min="6924" max="6924" width="11.28515625" style="55" bestFit="1" customWidth="1"/>
    <col min="6925" max="6928" width="9.140625" style="55"/>
    <col min="6929" max="6929" width="11.7109375" style="55" bestFit="1" customWidth="1"/>
    <col min="6930" max="7168" width="9.140625" style="55"/>
    <col min="7169" max="7169" width="6" style="55" customWidth="1"/>
    <col min="7170" max="7170" width="11.5703125" style="55" customWidth="1"/>
    <col min="7171" max="7171" width="42.7109375" style="55" customWidth="1"/>
    <col min="7172" max="7172" width="6.5703125" style="55" customWidth="1"/>
    <col min="7173" max="7173" width="12.28515625" style="55" customWidth="1"/>
    <col min="7174" max="7174" width="12" style="55" customWidth="1"/>
    <col min="7175" max="7175" width="11.7109375" style="55" customWidth="1"/>
    <col min="7176" max="7176" width="14.28515625" style="55" customWidth="1"/>
    <col min="7177" max="7177" width="12.28515625" style="55" customWidth="1"/>
    <col min="7178" max="7179" width="9.140625" style="55"/>
    <col min="7180" max="7180" width="11.28515625" style="55" bestFit="1" customWidth="1"/>
    <col min="7181" max="7184" width="9.140625" style="55"/>
    <col min="7185" max="7185" width="11.7109375" style="55" bestFit="1" customWidth="1"/>
    <col min="7186" max="7424" width="9.140625" style="55"/>
    <col min="7425" max="7425" width="6" style="55" customWidth="1"/>
    <col min="7426" max="7426" width="11.5703125" style="55" customWidth="1"/>
    <col min="7427" max="7427" width="42.7109375" style="55" customWidth="1"/>
    <col min="7428" max="7428" width="6.5703125" style="55" customWidth="1"/>
    <col min="7429" max="7429" width="12.28515625" style="55" customWidth="1"/>
    <col min="7430" max="7430" width="12" style="55" customWidth="1"/>
    <col min="7431" max="7431" width="11.7109375" style="55" customWidth="1"/>
    <col min="7432" max="7432" width="14.28515625" style="55" customWidth="1"/>
    <col min="7433" max="7433" width="12.28515625" style="55" customWidth="1"/>
    <col min="7434" max="7435" width="9.140625" style="55"/>
    <col min="7436" max="7436" width="11.28515625" style="55" bestFit="1" customWidth="1"/>
    <col min="7437" max="7440" width="9.140625" style="55"/>
    <col min="7441" max="7441" width="11.7109375" style="55" bestFit="1" customWidth="1"/>
    <col min="7442" max="7680" width="9.140625" style="55"/>
    <col min="7681" max="7681" width="6" style="55" customWidth="1"/>
    <col min="7682" max="7682" width="11.5703125" style="55" customWidth="1"/>
    <col min="7683" max="7683" width="42.7109375" style="55" customWidth="1"/>
    <col min="7684" max="7684" width="6.5703125" style="55" customWidth="1"/>
    <col min="7685" max="7685" width="12.28515625" style="55" customWidth="1"/>
    <col min="7686" max="7686" width="12" style="55" customWidth="1"/>
    <col min="7687" max="7687" width="11.7109375" style="55" customWidth="1"/>
    <col min="7688" max="7688" width="14.28515625" style="55" customWidth="1"/>
    <col min="7689" max="7689" width="12.28515625" style="55" customWidth="1"/>
    <col min="7690" max="7691" width="9.140625" style="55"/>
    <col min="7692" max="7692" width="11.28515625" style="55" bestFit="1" customWidth="1"/>
    <col min="7693" max="7696" width="9.140625" style="55"/>
    <col min="7697" max="7697" width="11.7109375" style="55" bestFit="1" customWidth="1"/>
    <col min="7698" max="7936" width="9.140625" style="55"/>
    <col min="7937" max="7937" width="6" style="55" customWidth="1"/>
    <col min="7938" max="7938" width="11.5703125" style="55" customWidth="1"/>
    <col min="7939" max="7939" width="42.7109375" style="55" customWidth="1"/>
    <col min="7940" max="7940" width="6.5703125" style="55" customWidth="1"/>
    <col min="7941" max="7941" width="12.28515625" style="55" customWidth="1"/>
    <col min="7942" max="7942" width="12" style="55" customWidth="1"/>
    <col min="7943" max="7943" width="11.7109375" style="55" customWidth="1"/>
    <col min="7944" max="7944" width="14.28515625" style="55" customWidth="1"/>
    <col min="7945" max="7945" width="12.28515625" style="55" customWidth="1"/>
    <col min="7946" max="7947" width="9.140625" style="55"/>
    <col min="7948" max="7948" width="11.28515625" style="55" bestFit="1" customWidth="1"/>
    <col min="7949" max="7952" width="9.140625" style="55"/>
    <col min="7953" max="7953" width="11.7109375" style="55" bestFit="1" customWidth="1"/>
    <col min="7954" max="8192" width="9.140625" style="55"/>
    <col min="8193" max="8193" width="6" style="55" customWidth="1"/>
    <col min="8194" max="8194" width="11.5703125" style="55" customWidth="1"/>
    <col min="8195" max="8195" width="42.7109375" style="55" customWidth="1"/>
    <col min="8196" max="8196" width="6.5703125" style="55" customWidth="1"/>
    <col min="8197" max="8197" width="12.28515625" style="55" customWidth="1"/>
    <col min="8198" max="8198" width="12" style="55" customWidth="1"/>
    <col min="8199" max="8199" width="11.7109375" style="55" customWidth="1"/>
    <col min="8200" max="8200" width="14.28515625" style="55" customWidth="1"/>
    <col min="8201" max="8201" width="12.28515625" style="55" customWidth="1"/>
    <col min="8202" max="8203" width="9.140625" style="55"/>
    <col min="8204" max="8204" width="11.28515625" style="55" bestFit="1" customWidth="1"/>
    <col min="8205" max="8208" width="9.140625" style="55"/>
    <col min="8209" max="8209" width="11.7109375" style="55" bestFit="1" customWidth="1"/>
    <col min="8210" max="8448" width="9.140625" style="55"/>
    <col min="8449" max="8449" width="6" style="55" customWidth="1"/>
    <col min="8450" max="8450" width="11.5703125" style="55" customWidth="1"/>
    <col min="8451" max="8451" width="42.7109375" style="55" customWidth="1"/>
    <col min="8452" max="8452" width="6.5703125" style="55" customWidth="1"/>
    <col min="8453" max="8453" width="12.28515625" style="55" customWidth="1"/>
    <col min="8454" max="8454" width="12" style="55" customWidth="1"/>
    <col min="8455" max="8455" width="11.7109375" style="55" customWidth="1"/>
    <col min="8456" max="8456" width="14.28515625" style="55" customWidth="1"/>
    <col min="8457" max="8457" width="12.28515625" style="55" customWidth="1"/>
    <col min="8458" max="8459" width="9.140625" style="55"/>
    <col min="8460" max="8460" width="11.28515625" style="55" bestFit="1" customWidth="1"/>
    <col min="8461" max="8464" width="9.140625" style="55"/>
    <col min="8465" max="8465" width="11.7109375" style="55" bestFit="1" customWidth="1"/>
    <col min="8466" max="8704" width="9.140625" style="55"/>
    <col min="8705" max="8705" width="6" style="55" customWidth="1"/>
    <col min="8706" max="8706" width="11.5703125" style="55" customWidth="1"/>
    <col min="8707" max="8707" width="42.7109375" style="55" customWidth="1"/>
    <col min="8708" max="8708" width="6.5703125" style="55" customWidth="1"/>
    <col min="8709" max="8709" width="12.28515625" style="55" customWidth="1"/>
    <col min="8710" max="8710" width="12" style="55" customWidth="1"/>
    <col min="8711" max="8711" width="11.7109375" style="55" customWidth="1"/>
    <col min="8712" max="8712" width="14.28515625" style="55" customWidth="1"/>
    <col min="8713" max="8713" width="12.28515625" style="55" customWidth="1"/>
    <col min="8714" max="8715" width="9.140625" style="55"/>
    <col min="8716" max="8716" width="11.28515625" style="55" bestFit="1" customWidth="1"/>
    <col min="8717" max="8720" width="9.140625" style="55"/>
    <col min="8721" max="8721" width="11.7109375" style="55" bestFit="1" customWidth="1"/>
    <col min="8722" max="8960" width="9.140625" style="55"/>
    <col min="8961" max="8961" width="6" style="55" customWidth="1"/>
    <col min="8962" max="8962" width="11.5703125" style="55" customWidth="1"/>
    <col min="8963" max="8963" width="42.7109375" style="55" customWidth="1"/>
    <col min="8964" max="8964" width="6.5703125" style="55" customWidth="1"/>
    <col min="8965" max="8965" width="12.28515625" style="55" customWidth="1"/>
    <col min="8966" max="8966" width="12" style="55" customWidth="1"/>
    <col min="8967" max="8967" width="11.7109375" style="55" customWidth="1"/>
    <col min="8968" max="8968" width="14.28515625" style="55" customWidth="1"/>
    <col min="8969" max="8969" width="12.28515625" style="55" customWidth="1"/>
    <col min="8970" max="8971" width="9.140625" style="55"/>
    <col min="8972" max="8972" width="11.28515625" style="55" bestFit="1" customWidth="1"/>
    <col min="8973" max="8976" width="9.140625" style="55"/>
    <col min="8977" max="8977" width="11.7109375" style="55" bestFit="1" customWidth="1"/>
    <col min="8978" max="9216" width="9.140625" style="55"/>
    <col min="9217" max="9217" width="6" style="55" customWidth="1"/>
    <col min="9218" max="9218" width="11.5703125" style="55" customWidth="1"/>
    <col min="9219" max="9219" width="42.7109375" style="55" customWidth="1"/>
    <col min="9220" max="9220" width="6.5703125" style="55" customWidth="1"/>
    <col min="9221" max="9221" width="12.28515625" style="55" customWidth="1"/>
    <col min="9222" max="9222" width="12" style="55" customWidth="1"/>
    <col min="9223" max="9223" width="11.7109375" style="55" customWidth="1"/>
    <col min="9224" max="9224" width="14.28515625" style="55" customWidth="1"/>
    <col min="9225" max="9225" width="12.28515625" style="55" customWidth="1"/>
    <col min="9226" max="9227" width="9.140625" style="55"/>
    <col min="9228" max="9228" width="11.28515625" style="55" bestFit="1" customWidth="1"/>
    <col min="9229" max="9232" width="9.140625" style="55"/>
    <col min="9233" max="9233" width="11.7109375" style="55" bestFit="1" customWidth="1"/>
    <col min="9234" max="9472" width="9.140625" style="55"/>
    <col min="9473" max="9473" width="6" style="55" customWidth="1"/>
    <col min="9474" max="9474" width="11.5703125" style="55" customWidth="1"/>
    <col min="9475" max="9475" width="42.7109375" style="55" customWidth="1"/>
    <col min="9476" max="9476" width="6.5703125" style="55" customWidth="1"/>
    <col min="9477" max="9477" width="12.28515625" style="55" customWidth="1"/>
    <col min="9478" max="9478" width="12" style="55" customWidth="1"/>
    <col min="9479" max="9479" width="11.7109375" style="55" customWidth="1"/>
    <col min="9480" max="9480" width="14.28515625" style="55" customWidth="1"/>
    <col min="9481" max="9481" width="12.28515625" style="55" customWidth="1"/>
    <col min="9482" max="9483" width="9.140625" style="55"/>
    <col min="9484" max="9484" width="11.28515625" style="55" bestFit="1" customWidth="1"/>
    <col min="9485" max="9488" width="9.140625" style="55"/>
    <col min="9489" max="9489" width="11.7109375" style="55" bestFit="1" customWidth="1"/>
    <col min="9490" max="9728" width="9.140625" style="55"/>
    <col min="9729" max="9729" width="6" style="55" customWidth="1"/>
    <col min="9730" max="9730" width="11.5703125" style="55" customWidth="1"/>
    <col min="9731" max="9731" width="42.7109375" style="55" customWidth="1"/>
    <col min="9732" max="9732" width="6.5703125" style="55" customWidth="1"/>
    <col min="9733" max="9733" width="12.28515625" style="55" customWidth="1"/>
    <col min="9734" max="9734" width="12" style="55" customWidth="1"/>
    <col min="9735" max="9735" width="11.7109375" style="55" customWidth="1"/>
    <col min="9736" max="9736" width="14.28515625" style="55" customWidth="1"/>
    <col min="9737" max="9737" width="12.28515625" style="55" customWidth="1"/>
    <col min="9738" max="9739" width="9.140625" style="55"/>
    <col min="9740" max="9740" width="11.28515625" style="55" bestFit="1" customWidth="1"/>
    <col min="9741" max="9744" width="9.140625" style="55"/>
    <col min="9745" max="9745" width="11.7109375" style="55" bestFit="1" customWidth="1"/>
    <col min="9746" max="9984" width="9.140625" style="55"/>
    <col min="9985" max="9985" width="6" style="55" customWidth="1"/>
    <col min="9986" max="9986" width="11.5703125" style="55" customWidth="1"/>
    <col min="9987" max="9987" width="42.7109375" style="55" customWidth="1"/>
    <col min="9988" max="9988" width="6.5703125" style="55" customWidth="1"/>
    <col min="9989" max="9989" width="12.28515625" style="55" customWidth="1"/>
    <col min="9990" max="9990" width="12" style="55" customWidth="1"/>
    <col min="9991" max="9991" width="11.7109375" style="55" customWidth="1"/>
    <col min="9992" max="9992" width="14.28515625" style="55" customWidth="1"/>
    <col min="9993" max="9993" width="12.28515625" style="55" customWidth="1"/>
    <col min="9994" max="9995" width="9.140625" style="55"/>
    <col min="9996" max="9996" width="11.28515625" style="55" bestFit="1" customWidth="1"/>
    <col min="9997" max="10000" width="9.140625" style="55"/>
    <col min="10001" max="10001" width="11.7109375" style="55" bestFit="1" customWidth="1"/>
    <col min="10002" max="10240" width="9.140625" style="55"/>
    <col min="10241" max="10241" width="6" style="55" customWidth="1"/>
    <col min="10242" max="10242" width="11.5703125" style="55" customWidth="1"/>
    <col min="10243" max="10243" width="42.7109375" style="55" customWidth="1"/>
    <col min="10244" max="10244" width="6.5703125" style="55" customWidth="1"/>
    <col min="10245" max="10245" width="12.28515625" style="55" customWidth="1"/>
    <col min="10246" max="10246" width="12" style="55" customWidth="1"/>
    <col min="10247" max="10247" width="11.7109375" style="55" customWidth="1"/>
    <col min="10248" max="10248" width="14.28515625" style="55" customWidth="1"/>
    <col min="10249" max="10249" width="12.28515625" style="55" customWidth="1"/>
    <col min="10250" max="10251" width="9.140625" style="55"/>
    <col min="10252" max="10252" width="11.28515625" style="55" bestFit="1" customWidth="1"/>
    <col min="10253" max="10256" width="9.140625" style="55"/>
    <col min="10257" max="10257" width="11.7109375" style="55" bestFit="1" customWidth="1"/>
    <col min="10258" max="10496" width="9.140625" style="55"/>
    <col min="10497" max="10497" width="6" style="55" customWidth="1"/>
    <col min="10498" max="10498" width="11.5703125" style="55" customWidth="1"/>
    <col min="10499" max="10499" width="42.7109375" style="55" customWidth="1"/>
    <col min="10500" max="10500" width="6.5703125" style="55" customWidth="1"/>
    <col min="10501" max="10501" width="12.28515625" style="55" customWidth="1"/>
    <col min="10502" max="10502" width="12" style="55" customWidth="1"/>
    <col min="10503" max="10503" width="11.7109375" style="55" customWidth="1"/>
    <col min="10504" max="10504" width="14.28515625" style="55" customWidth="1"/>
    <col min="10505" max="10505" width="12.28515625" style="55" customWidth="1"/>
    <col min="10506" max="10507" width="9.140625" style="55"/>
    <col min="10508" max="10508" width="11.28515625" style="55" bestFit="1" customWidth="1"/>
    <col min="10509" max="10512" width="9.140625" style="55"/>
    <col min="10513" max="10513" width="11.7109375" style="55" bestFit="1" customWidth="1"/>
    <col min="10514" max="10752" width="9.140625" style="55"/>
    <col min="10753" max="10753" width="6" style="55" customWidth="1"/>
    <col min="10754" max="10754" width="11.5703125" style="55" customWidth="1"/>
    <col min="10755" max="10755" width="42.7109375" style="55" customWidth="1"/>
    <col min="10756" max="10756" width="6.5703125" style="55" customWidth="1"/>
    <col min="10757" max="10757" width="12.28515625" style="55" customWidth="1"/>
    <col min="10758" max="10758" width="12" style="55" customWidth="1"/>
    <col min="10759" max="10759" width="11.7109375" style="55" customWidth="1"/>
    <col min="10760" max="10760" width="14.28515625" style="55" customWidth="1"/>
    <col min="10761" max="10761" width="12.28515625" style="55" customWidth="1"/>
    <col min="10762" max="10763" width="9.140625" style="55"/>
    <col min="10764" max="10764" width="11.28515625" style="55" bestFit="1" customWidth="1"/>
    <col min="10765" max="10768" width="9.140625" style="55"/>
    <col min="10769" max="10769" width="11.7109375" style="55" bestFit="1" customWidth="1"/>
    <col min="10770" max="11008" width="9.140625" style="55"/>
    <col min="11009" max="11009" width="6" style="55" customWidth="1"/>
    <col min="11010" max="11010" width="11.5703125" style="55" customWidth="1"/>
    <col min="11011" max="11011" width="42.7109375" style="55" customWidth="1"/>
    <col min="11012" max="11012" width="6.5703125" style="55" customWidth="1"/>
    <col min="11013" max="11013" width="12.28515625" style="55" customWidth="1"/>
    <col min="11014" max="11014" width="12" style="55" customWidth="1"/>
    <col min="11015" max="11015" width="11.7109375" style="55" customWidth="1"/>
    <col min="11016" max="11016" width="14.28515625" style="55" customWidth="1"/>
    <col min="11017" max="11017" width="12.28515625" style="55" customWidth="1"/>
    <col min="11018" max="11019" width="9.140625" style="55"/>
    <col min="11020" max="11020" width="11.28515625" style="55" bestFit="1" customWidth="1"/>
    <col min="11021" max="11024" width="9.140625" style="55"/>
    <col min="11025" max="11025" width="11.7109375" style="55" bestFit="1" customWidth="1"/>
    <col min="11026" max="11264" width="9.140625" style="55"/>
    <col min="11265" max="11265" width="6" style="55" customWidth="1"/>
    <col min="11266" max="11266" width="11.5703125" style="55" customWidth="1"/>
    <col min="11267" max="11267" width="42.7109375" style="55" customWidth="1"/>
    <col min="11268" max="11268" width="6.5703125" style="55" customWidth="1"/>
    <col min="11269" max="11269" width="12.28515625" style="55" customWidth="1"/>
    <col min="11270" max="11270" width="12" style="55" customWidth="1"/>
    <col min="11271" max="11271" width="11.7109375" style="55" customWidth="1"/>
    <col min="11272" max="11272" width="14.28515625" style="55" customWidth="1"/>
    <col min="11273" max="11273" width="12.28515625" style="55" customWidth="1"/>
    <col min="11274" max="11275" width="9.140625" style="55"/>
    <col min="11276" max="11276" width="11.28515625" style="55" bestFit="1" customWidth="1"/>
    <col min="11277" max="11280" width="9.140625" style="55"/>
    <col min="11281" max="11281" width="11.7109375" style="55" bestFit="1" customWidth="1"/>
    <col min="11282" max="11520" width="9.140625" style="55"/>
    <col min="11521" max="11521" width="6" style="55" customWidth="1"/>
    <col min="11522" max="11522" width="11.5703125" style="55" customWidth="1"/>
    <col min="11523" max="11523" width="42.7109375" style="55" customWidth="1"/>
    <col min="11524" max="11524" width="6.5703125" style="55" customWidth="1"/>
    <col min="11525" max="11525" width="12.28515625" style="55" customWidth="1"/>
    <col min="11526" max="11526" width="12" style="55" customWidth="1"/>
    <col min="11527" max="11527" width="11.7109375" style="55" customWidth="1"/>
    <col min="11528" max="11528" width="14.28515625" style="55" customWidth="1"/>
    <col min="11529" max="11529" width="12.28515625" style="55" customWidth="1"/>
    <col min="11530" max="11531" width="9.140625" style="55"/>
    <col min="11532" max="11532" width="11.28515625" style="55" bestFit="1" customWidth="1"/>
    <col min="11533" max="11536" width="9.140625" style="55"/>
    <col min="11537" max="11537" width="11.7109375" style="55" bestFit="1" customWidth="1"/>
    <col min="11538" max="11776" width="9.140625" style="55"/>
    <col min="11777" max="11777" width="6" style="55" customWidth="1"/>
    <col min="11778" max="11778" width="11.5703125" style="55" customWidth="1"/>
    <col min="11779" max="11779" width="42.7109375" style="55" customWidth="1"/>
    <col min="11780" max="11780" width="6.5703125" style="55" customWidth="1"/>
    <col min="11781" max="11781" width="12.28515625" style="55" customWidth="1"/>
    <col min="11782" max="11782" width="12" style="55" customWidth="1"/>
    <col min="11783" max="11783" width="11.7109375" style="55" customWidth="1"/>
    <col min="11784" max="11784" width="14.28515625" style="55" customWidth="1"/>
    <col min="11785" max="11785" width="12.28515625" style="55" customWidth="1"/>
    <col min="11786" max="11787" width="9.140625" style="55"/>
    <col min="11788" max="11788" width="11.28515625" style="55" bestFit="1" customWidth="1"/>
    <col min="11789" max="11792" width="9.140625" style="55"/>
    <col min="11793" max="11793" width="11.7109375" style="55" bestFit="1" customWidth="1"/>
    <col min="11794" max="12032" width="9.140625" style="55"/>
    <col min="12033" max="12033" width="6" style="55" customWidth="1"/>
    <col min="12034" max="12034" width="11.5703125" style="55" customWidth="1"/>
    <col min="12035" max="12035" width="42.7109375" style="55" customWidth="1"/>
    <col min="12036" max="12036" width="6.5703125" style="55" customWidth="1"/>
    <col min="12037" max="12037" width="12.28515625" style="55" customWidth="1"/>
    <col min="12038" max="12038" width="12" style="55" customWidth="1"/>
    <col min="12039" max="12039" width="11.7109375" style="55" customWidth="1"/>
    <col min="12040" max="12040" width="14.28515625" style="55" customWidth="1"/>
    <col min="12041" max="12041" width="12.28515625" style="55" customWidth="1"/>
    <col min="12042" max="12043" width="9.140625" style="55"/>
    <col min="12044" max="12044" width="11.28515625" style="55" bestFit="1" customWidth="1"/>
    <col min="12045" max="12048" width="9.140625" style="55"/>
    <col min="12049" max="12049" width="11.7109375" style="55" bestFit="1" customWidth="1"/>
    <col min="12050" max="12288" width="9.140625" style="55"/>
    <col min="12289" max="12289" width="6" style="55" customWidth="1"/>
    <col min="12290" max="12290" width="11.5703125" style="55" customWidth="1"/>
    <col min="12291" max="12291" width="42.7109375" style="55" customWidth="1"/>
    <col min="12292" max="12292" width="6.5703125" style="55" customWidth="1"/>
    <col min="12293" max="12293" width="12.28515625" style="55" customWidth="1"/>
    <col min="12294" max="12294" width="12" style="55" customWidth="1"/>
    <col min="12295" max="12295" width="11.7109375" style="55" customWidth="1"/>
    <col min="12296" max="12296" width="14.28515625" style="55" customWidth="1"/>
    <col min="12297" max="12297" width="12.28515625" style="55" customWidth="1"/>
    <col min="12298" max="12299" width="9.140625" style="55"/>
    <col min="12300" max="12300" width="11.28515625" style="55" bestFit="1" customWidth="1"/>
    <col min="12301" max="12304" width="9.140625" style="55"/>
    <col min="12305" max="12305" width="11.7109375" style="55" bestFit="1" customWidth="1"/>
    <col min="12306" max="12544" width="9.140625" style="55"/>
    <col min="12545" max="12545" width="6" style="55" customWidth="1"/>
    <col min="12546" max="12546" width="11.5703125" style="55" customWidth="1"/>
    <col min="12547" max="12547" width="42.7109375" style="55" customWidth="1"/>
    <col min="12548" max="12548" width="6.5703125" style="55" customWidth="1"/>
    <col min="12549" max="12549" width="12.28515625" style="55" customWidth="1"/>
    <col min="12550" max="12550" width="12" style="55" customWidth="1"/>
    <col min="12551" max="12551" width="11.7109375" style="55" customWidth="1"/>
    <col min="12552" max="12552" width="14.28515625" style="55" customWidth="1"/>
    <col min="12553" max="12553" width="12.28515625" style="55" customWidth="1"/>
    <col min="12554" max="12555" width="9.140625" style="55"/>
    <col min="12556" max="12556" width="11.28515625" style="55" bestFit="1" customWidth="1"/>
    <col min="12557" max="12560" width="9.140625" style="55"/>
    <col min="12561" max="12561" width="11.7109375" style="55" bestFit="1" customWidth="1"/>
    <col min="12562" max="12800" width="9.140625" style="55"/>
    <col min="12801" max="12801" width="6" style="55" customWidth="1"/>
    <col min="12802" max="12802" width="11.5703125" style="55" customWidth="1"/>
    <col min="12803" max="12803" width="42.7109375" style="55" customWidth="1"/>
    <col min="12804" max="12804" width="6.5703125" style="55" customWidth="1"/>
    <col min="12805" max="12805" width="12.28515625" style="55" customWidth="1"/>
    <col min="12806" max="12806" width="12" style="55" customWidth="1"/>
    <col min="12807" max="12807" width="11.7109375" style="55" customWidth="1"/>
    <col min="12808" max="12808" width="14.28515625" style="55" customWidth="1"/>
    <col min="12809" max="12809" width="12.28515625" style="55" customWidth="1"/>
    <col min="12810" max="12811" width="9.140625" style="55"/>
    <col min="12812" max="12812" width="11.28515625" style="55" bestFit="1" customWidth="1"/>
    <col min="12813" max="12816" width="9.140625" style="55"/>
    <col min="12817" max="12817" width="11.7109375" style="55" bestFit="1" customWidth="1"/>
    <col min="12818" max="13056" width="9.140625" style="55"/>
    <col min="13057" max="13057" width="6" style="55" customWidth="1"/>
    <col min="13058" max="13058" width="11.5703125" style="55" customWidth="1"/>
    <col min="13059" max="13059" width="42.7109375" style="55" customWidth="1"/>
    <col min="13060" max="13060" width="6.5703125" style="55" customWidth="1"/>
    <col min="13061" max="13061" width="12.28515625" style="55" customWidth="1"/>
    <col min="13062" max="13062" width="12" style="55" customWidth="1"/>
    <col min="13063" max="13063" width="11.7109375" style="55" customWidth="1"/>
    <col min="13064" max="13064" width="14.28515625" style="55" customWidth="1"/>
    <col min="13065" max="13065" width="12.28515625" style="55" customWidth="1"/>
    <col min="13066" max="13067" width="9.140625" style="55"/>
    <col min="13068" max="13068" width="11.28515625" style="55" bestFit="1" customWidth="1"/>
    <col min="13069" max="13072" width="9.140625" style="55"/>
    <col min="13073" max="13073" width="11.7109375" style="55" bestFit="1" customWidth="1"/>
    <col min="13074" max="13312" width="9.140625" style="55"/>
    <col min="13313" max="13313" width="6" style="55" customWidth="1"/>
    <col min="13314" max="13314" width="11.5703125" style="55" customWidth="1"/>
    <col min="13315" max="13315" width="42.7109375" style="55" customWidth="1"/>
    <col min="13316" max="13316" width="6.5703125" style="55" customWidth="1"/>
    <col min="13317" max="13317" width="12.28515625" style="55" customWidth="1"/>
    <col min="13318" max="13318" width="12" style="55" customWidth="1"/>
    <col min="13319" max="13319" width="11.7109375" style="55" customWidth="1"/>
    <col min="13320" max="13320" width="14.28515625" style="55" customWidth="1"/>
    <col min="13321" max="13321" width="12.28515625" style="55" customWidth="1"/>
    <col min="13322" max="13323" width="9.140625" style="55"/>
    <col min="13324" max="13324" width="11.28515625" style="55" bestFit="1" customWidth="1"/>
    <col min="13325" max="13328" width="9.140625" style="55"/>
    <col min="13329" max="13329" width="11.7109375" style="55" bestFit="1" customWidth="1"/>
    <col min="13330" max="13568" width="9.140625" style="55"/>
    <col min="13569" max="13569" width="6" style="55" customWidth="1"/>
    <col min="13570" max="13570" width="11.5703125" style="55" customWidth="1"/>
    <col min="13571" max="13571" width="42.7109375" style="55" customWidth="1"/>
    <col min="13572" max="13572" width="6.5703125" style="55" customWidth="1"/>
    <col min="13573" max="13573" width="12.28515625" style="55" customWidth="1"/>
    <col min="13574" max="13574" width="12" style="55" customWidth="1"/>
    <col min="13575" max="13575" width="11.7109375" style="55" customWidth="1"/>
    <col min="13576" max="13576" width="14.28515625" style="55" customWidth="1"/>
    <col min="13577" max="13577" width="12.28515625" style="55" customWidth="1"/>
    <col min="13578" max="13579" width="9.140625" style="55"/>
    <col min="13580" max="13580" width="11.28515625" style="55" bestFit="1" customWidth="1"/>
    <col min="13581" max="13584" width="9.140625" style="55"/>
    <col min="13585" max="13585" width="11.7109375" style="55" bestFit="1" customWidth="1"/>
    <col min="13586" max="13824" width="9.140625" style="55"/>
    <col min="13825" max="13825" width="6" style="55" customWidth="1"/>
    <col min="13826" max="13826" width="11.5703125" style="55" customWidth="1"/>
    <col min="13827" max="13827" width="42.7109375" style="55" customWidth="1"/>
    <col min="13828" max="13828" width="6.5703125" style="55" customWidth="1"/>
    <col min="13829" max="13829" width="12.28515625" style="55" customWidth="1"/>
    <col min="13830" max="13830" width="12" style="55" customWidth="1"/>
    <col min="13831" max="13831" width="11.7109375" style="55" customWidth="1"/>
    <col min="13832" max="13832" width="14.28515625" style="55" customWidth="1"/>
    <col min="13833" max="13833" width="12.28515625" style="55" customWidth="1"/>
    <col min="13834" max="13835" width="9.140625" style="55"/>
    <col min="13836" max="13836" width="11.28515625" style="55" bestFit="1" customWidth="1"/>
    <col min="13837" max="13840" width="9.140625" style="55"/>
    <col min="13841" max="13841" width="11.7109375" style="55" bestFit="1" customWidth="1"/>
    <col min="13842" max="14080" width="9.140625" style="55"/>
    <col min="14081" max="14081" width="6" style="55" customWidth="1"/>
    <col min="14082" max="14082" width="11.5703125" style="55" customWidth="1"/>
    <col min="14083" max="14083" width="42.7109375" style="55" customWidth="1"/>
    <col min="14084" max="14084" width="6.5703125" style="55" customWidth="1"/>
    <col min="14085" max="14085" width="12.28515625" style="55" customWidth="1"/>
    <col min="14086" max="14086" width="12" style="55" customWidth="1"/>
    <col min="14087" max="14087" width="11.7109375" style="55" customWidth="1"/>
    <col min="14088" max="14088" width="14.28515625" style="55" customWidth="1"/>
    <col min="14089" max="14089" width="12.28515625" style="55" customWidth="1"/>
    <col min="14090" max="14091" width="9.140625" style="55"/>
    <col min="14092" max="14092" width="11.28515625" style="55" bestFit="1" customWidth="1"/>
    <col min="14093" max="14096" width="9.140625" style="55"/>
    <col min="14097" max="14097" width="11.7109375" style="55" bestFit="1" customWidth="1"/>
    <col min="14098" max="14336" width="9.140625" style="55"/>
    <col min="14337" max="14337" width="6" style="55" customWidth="1"/>
    <col min="14338" max="14338" width="11.5703125" style="55" customWidth="1"/>
    <col min="14339" max="14339" width="42.7109375" style="55" customWidth="1"/>
    <col min="14340" max="14340" width="6.5703125" style="55" customWidth="1"/>
    <col min="14341" max="14341" width="12.28515625" style="55" customWidth="1"/>
    <col min="14342" max="14342" width="12" style="55" customWidth="1"/>
    <col min="14343" max="14343" width="11.7109375" style="55" customWidth="1"/>
    <col min="14344" max="14344" width="14.28515625" style="55" customWidth="1"/>
    <col min="14345" max="14345" width="12.28515625" style="55" customWidth="1"/>
    <col min="14346" max="14347" width="9.140625" style="55"/>
    <col min="14348" max="14348" width="11.28515625" style="55" bestFit="1" customWidth="1"/>
    <col min="14349" max="14352" width="9.140625" style="55"/>
    <col min="14353" max="14353" width="11.7109375" style="55" bestFit="1" customWidth="1"/>
    <col min="14354" max="14592" width="9.140625" style="55"/>
    <col min="14593" max="14593" width="6" style="55" customWidth="1"/>
    <col min="14594" max="14594" width="11.5703125" style="55" customWidth="1"/>
    <col min="14595" max="14595" width="42.7109375" style="55" customWidth="1"/>
    <col min="14596" max="14596" width="6.5703125" style="55" customWidth="1"/>
    <col min="14597" max="14597" width="12.28515625" style="55" customWidth="1"/>
    <col min="14598" max="14598" width="12" style="55" customWidth="1"/>
    <col min="14599" max="14599" width="11.7109375" style="55" customWidth="1"/>
    <col min="14600" max="14600" width="14.28515625" style="55" customWidth="1"/>
    <col min="14601" max="14601" width="12.28515625" style="55" customWidth="1"/>
    <col min="14602" max="14603" width="9.140625" style="55"/>
    <col min="14604" max="14604" width="11.28515625" style="55" bestFit="1" customWidth="1"/>
    <col min="14605" max="14608" width="9.140625" style="55"/>
    <col min="14609" max="14609" width="11.7109375" style="55" bestFit="1" customWidth="1"/>
    <col min="14610" max="14848" width="9.140625" style="55"/>
    <col min="14849" max="14849" width="6" style="55" customWidth="1"/>
    <col min="14850" max="14850" width="11.5703125" style="55" customWidth="1"/>
    <col min="14851" max="14851" width="42.7109375" style="55" customWidth="1"/>
    <col min="14852" max="14852" width="6.5703125" style="55" customWidth="1"/>
    <col min="14853" max="14853" width="12.28515625" style="55" customWidth="1"/>
    <col min="14854" max="14854" width="12" style="55" customWidth="1"/>
    <col min="14855" max="14855" width="11.7109375" style="55" customWidth="1"/>
    <col min="14856" max="14856" width="14.28515625" style="55" customWidth="1"/>
    <col min="14857" max="14857" width="12.28515625" style="55" customWidth="1"/>
    <col min="14858" max="14859" width="9.140625" style="55"/>
    <col min="14860" max="14860" width="11.28515625" style="55" bestFit="1" customWidth="1"/>
    <col min="14861" max="14864" width="9.140625" style="55"/>
    <col min="14865" max="14865" width="11.7109375" style="55" bestFit="1" customWidth="1"/>
    <col min="14866" max="15104" width="9.140625" style="55"/>
    <col min="15105" max="15105" width="6" style="55" customWidth="1"/>
    <col min="15106" max="15106" width="11.5703125" style="55" customWidth="1"/>
    <col min="15107" max="15107" width="42.7109375" style="55" customWidth="1"/>
    <col min="15108" max="15108" width="6.5703125" style="55" customWidth="1"/>
    <col min="15109" max="15109" width="12.28515625" style="55" customWidth="1"/>
    <col min="15110" max="15110" width="12" style="55" customWidth="1"/>
    <col min="15111" max="15111" width="11.7109375" style="55" customWidth="1"/>
    <col min="15112" max="15112" width="14.28515625" style="55" customWidth="1"/>
    <col min="15113" max="15113" width="12.28515625" style="55" customWidth="1"/>
    <col min="15114" max="15115" width="9.140625" style="55"/>
    <col min="15116" max="15116" width="11.28515625" style="55" bestFit="1" customWidth="1"/>
    <col min="15117" max="15120" width="9.140625" style="55"/>
    <col min="15121" max="15121" width="11.7109375" style="55" bestFit="1" customWidth="1"/>
    <col min="15122" max="15360" width="9.140625" style="55"/>
    <col min="15361" max="15361" width="6" style="55" customWidth="1"/>
    <col min="15362" max="15362" width="11.5703125" style="55" customWidth="1"/>
    <col min="15363" max="15363" width="42.7109375" style="55" customWidth="1"/>
    <col min="15364" max="15364" width="6.5703125" style="55" customWidth="1"/>
    <col min="15365" max="15365" width="12.28515625" style="55" customWidth="1"/>
    <col min="15366" max="15366" width="12" style="55" customWidth="1"/>
    <col min="15367" max="15367" width="11.7109375" style="55" customWidth="1"/>
    <col min="15368" max="15368" width="14.28515625" style="55" customWidth="1"/>
    <col min="15369" max="15369" width="12.28515625" style="55" customWidth="1"/>
    <col min="15370" max="15371" width="9.140625" style="55"/>
    <col min="15372" max="15372" width="11.28515625" style="55" bestFit="1" customWidth="1"/>
    <col min="15373" max="15376" width="9.140625" style="55"/>
    <col min="15377" max="15377" width="11.7109375" style="55" bestFit="1" customWidth="1"/>
    <col min="15378" max="15616" width="9.140625" style="55"/>
    <col min="15617" max="15617" width="6" style="55" customWidth="1"/>
    <col min="15618" max="15618" width="11.5703125" style="55" customWidth="1"/>
    <col min="15619" max="15619" width="42.7109375" style="55" customWidth="1"/>
    <col min="15620" max="15620" width="6.5703125" style="55" customWidth="1"/>
    <col min="15621" max="15621" width="12.28515625" style="55" customWidth="1"/>
    <col min="15622" max="15622" width="12" style="55" customWidth="1"/>
    <col min="15623" max="15623" width="11.7109375" style="55" customWidth="1"/>
    <col min="15624" max="15624" width="14.28515625" style="55" customWidth="1"/>
    <col min="15625" max="15625" width="12.28515625" style="55" customWidth="1"/>
    <col min="15626" max="15627" width="9.140625" style="55"/>
    <col min="15628" max="15628" width="11.28515625" style="55" bestFit="1" customWidth="1"/>
    <col min="15629" max="15632" width="9.140625" style="55"/>
    <col min="15633" max="15633" width="11.7109375" style="55" bestFit="1" customWidth="1"/>
    <col min="15634" max="15872" width="9.140625" style="55"/>
    <col min="15873" max="15873" width="6" style="55" customWidth="1"/>
    <col min="15874" max="15874" width="11.5703125" style="55" customWidth="1"/>
    <col min="15875" max="15875" width="42.7109375" style="55" customWidth="1"/>
    <col min="15876" max="15876" width="6.5703125" style="55" customWidth="1"/>
    <col min="15877" max="15877" width="12.28515625" style="55" customWidth="1"/>
    <col min="15878" max="15878" width="12" style="55" customWidth="1"/>
    <col min="15879" max="15879" width="11.7109375" style="55" customWidth="1"/>
    <col min="15880" max="15880" width="14.28515625" style="55" customWidth="1"/>
    <col min="15881" max="15881" width="12.28515625" style="55" customWidth="1"/>
    <col min="15882" max="15883" width="9.140625" style="55"/>
    <col min="15884" max="15884" width="11.28515625" style="55" bestFit="1" customWidth="1"/>
    <col min="15885" max="15888" width="9.140625" style="55"/>
    <col min="15889" max="15889" width="11.7109375" style="55" bestFit="1" customWidth="1"/>
    <col min="15890" max="16128" width="9.140625" style="55"/>
    <col min="16129" max="16129" width="6" style="55" customWidth="1"/>
    <col min="16130" max="16130" width="11.5703125" style="55" customWidth="1"/>
    <col min="16131" max="16131" width="42.7109375" style="55" customWidth="1"/>
    <col min="16132" max="16132" width="6.5703125" style="55" customWidth="1"/>
    <col min="16133" max="16133" width="12.28515625" style="55" customWidth="1"/>
    <col min="16134" max="16134" width="12" style="55" customWidth="1"/>
    <col min="16135" max="16135" width="11.7109375" style="55" customWidth="1"/>
    <col min="16136" max="16136" width="14.28515625" style="55" customWidth="1"/>
    <col min="16137" max="16137" width="12.28515625" style="55" customWidth="1"/>
    <col min="16138" max="16139" width="9.140625" style="55"/>
    <col min="16140" max="16140" width="11.28515625" style="55" bestFit="1" customWidth="1"/>
    <col min="16141" max="16144" width="9.140625" style="55"/>
    <col min="16145" max="16145" width="11.7109375" style="55" bestFit="1" customWidth="1"/>
    <col min="16146" max="16384" width="9.140625" style="55"/>
  </cols>
  <sheetData>
    <row r="1" spans="1:10" x14ac:dyDescent="0.25">
      <c r="A1" s="55" t="s">
        <v>0</v>
      </c>
    </row>
    <row r="2" spans="1:10" x14ac:dyDescent="0.25">
      <c r="A2" s="55" t="s">
        <v>1</v>
      </c>
    </row>
    <row r="4" spans="1:10" x14ac:dyDescent="0.25">
      <c r="A4" s="458" t="str">
        <f>+'[1]Hộp CB nền bạc'!A4:I5</f>
        <v>THẺ KHO NGUYÊN VẬT LIỆU</v>
      </c>
      <c r="B4" s="458"/>
      <c r="C4" s="458"/>
      <c r="D4" s="458"/>
      <c r="E4" s="458"/>
      <c r="F4" s="458"/>
      <c r="G4" s="458"/>
      <c r="H4" s="458"/>
      <c r="I4" s="458"/>
    </row>
    <row r="5" spans="1:10" x14ac:dyDescent="0.25">
      <c r="A5" s="458"/>
      <c r="B5" s="458"/>
      <c r="C5" s="458"/>
      <c r="D5" s="458"/>
      <c r="E5" s="458"/>
      <c r="F5" s="458"/>
      <c r="G5" s="458"/>
      <c r="H5" s="458"/>
      <c r="I5" s="458"/>
    </row>
    <row r="7" spans="1:10" ht="31.5" x14ac:dyDescent="0.25">
      <c r="A7" s="56" t="s">
        <v>3</v>
      </c>
      <c r="B7" s="56" t="s">
        <v>4</v>
      </c>
      <c r="C7" s="4" t="s">
        <v>117</v>
      </c>
      <c r="D7" s="56" t="s">
        <v>5</v>
      </c>
      <c r="E7" s="57" t="s">
        <v>6</v>
      </c>
      <c r="F7" s="57" t="s">
        <v>7</v>
      </c>
      <c r="G7" s="57" t="s">
        <v>8</v>
      </c>
      <c r="H7" s="57" t="s">
        <v>9</v>
      </c>
      <c r="I7" s="56" t="s">
        <v>10</v>
      </c>
    </row>
    <row r="8" spans="1:10" x14ac:dyDescent="0.25">
      <c r="A8" s="58"/>
      <c r="B8" s="59">
        <v>45658</v>
      </c>
      <c r="C8" s="60" t="s">
        <v>15</v>
      </c>
      <c r="D8" s="61"/>
      <c r="E8" s="62"/>
      <c r="F8" s="63"/>
      <c r="G8" s="64">
        <v>649</v>
      </c>
      <c r="H8" s="58"/>
      <c r="I8" s="58"/>
    </row>
    <row r="9" spans="1:10" x14ac:dyDescent="0.25">
      <c r="A9" s="65">
        <v>1</v>
      </c>
      <c r="B9" s="59"/>
      <c r="C9" s="66" t="s">
        <v>127</v>
      </c>
      <c r="D9" s="61" t="s">
        <v>17</v>
      </c>
      <c r="E9" s="67"/>
      <c r="F9" s="68"/>
      <c r="G9" s="69">
        <f>+G8+E9-F9</f>
        <v>649</v>
      </c>
      <c r="H9" s="69"/>
      <c r="I9" s="58"/>
    </row>
    <row r="10" spans="1:10" x14ac:dyDescent="0.25">
      <c r="A10" s="65">
        <f t="shared" ref="A10:A19" si="0">+A9+1</f>
        <v>2</v>
      </c>
      <c r="B10" s="59"/>
      <c r="C10" s="66"/>
      <c r="D10" s="61"/>
      <c r="E10" s="67"/>
      <c r="F10" s="68"/>
      <c r="G10" s="69">
        <f>+G9+E10-F10</f>
        <v>649</v>
      </c>
      <c r="H10" s="69"/>
      <c r="I10" s="58"/>
    </row>
    <row r="11" spans="1:10" x14ac:dyDescent="0.25">
      <c r="A11" s="65">
        <f t="shared" si="0"/>
        <v>3</v>
      </c>
      <c r="B11" s="59"/>
      <c r="C11" s="66"/>
      <c r="D11" s="61"/>
      <c r="E11" s="67"/>
      <c r="F11" s="68"/>
      <c r="G11" s="69">
        <f>+G10+E11-F11</f>
        <v>649</v>
      </c>
      <c r="H11" s="69"/>
      <c r="I11" s="58"/>
    </row>
    <row r="12" spans="1:10" x14ac:dyDescent="0.25">
      <c r="A12" s="65">
        <f t="shared" si="0"/>
        <v>4</v>
      </c>
      <c r="B12" s="59"/>
      <c r="C12" s="66"/>
      <c r="D12" s="61"/>
      <c r="E12" s="67"/>
      <c r="F12" s="68"/>
      <c r="G12" s="69">
        <f>+G11+E12-F12</f>
        <v>649</v>
      </c>
      <c r="H12" s="69"/>
      <c r="I12" s="58"/>
    </row>
    <row r="13" spans="1:10" x14ac:dyDescent="0.25">
      <c r="A13" s="65">
        <f t="shared" si="0"/>
        <v>5</v>
      </c>
      <c r="B13" s="59"/>
      <c r="C13" s="66"/>
      <c r="D13" s="61"/>
      <c r="E13" s="67"/>
      <c r="F13" s="68"/>
      <c r="G13" s="69">
        <f t="shared" ref="G13:G30" si="1">+G12+E13-F13</f>
        <v>649</v>
      </c>
      <c r="H13" s="69"/>
      <c r="I13" s="58"/>
    </row>
    <row r="14" spans="1:10" x14ac:dyDescent="0.25">
      <c r="A14" s="65">
        <f t="shared" si="0"/>
        <v>6</v>
      </c>
      <c r="B14" s="70"/>
      <c r="C14" s="66"/>
      <c r="D14" s="61"/>
      <c r="E14" s="67"/>
      <c r="F14" s="68"/>
      <c r="G14" s="69">
        <f t="shared" si="1"/>
        <v>649</v>
      </c>
      <c r="H14" s="71"/>
      <c r="I14" s="58"/>
      <c r="J14" s="72"/>
    </row>
    <row r="15" spans="1:10" x14ac:dyDescent="0.25">
      <c r="A15" s="65">
        <f t="shared" si="0"/>
        <v>7</v>
      </c>
      <c r="B15" s="70"/>
      <c r="C15" s="66"/>
      <c r="D15" s="61"/>
      <c r="E15" s="67"/>
      <c r="F15" s="68"/>
      <c r="G15" s="69">
        <f t="shared" si="1"/>
        <v>649</v>
      </c>
      <c r="H15" s="69"/>
      <c r="I15" s="58"/>
    </row>
    <row r="16" spans="1:10" x14ac:dyDescent="0.25">
      <c r="A16" s="65">
        <f t="shared" si="0"/>
        <v>8</v>
      </c>
      <c r="B16" s="59"/>
      <c r="C16" s="66"/>
      <c r="D16" s="61"/>
      <c r="E16" s="67"/>
      <c r="F16" s="68"/>
      <c r="G16" s="69">
        <f t="shared" si="1"/>
        <v>649</v>
      </c>
      <c r="H16" s="69"/>
      <c r="I16" s="58"/>
    </row>
    <row r="17" spans="1:9" x14ac:dyDescent="0.25">
      <c r="A17" s="65">
        <f t="shared" si="0"/>
        <v>9</v>
      </c>
      <c r="B17" s="59"/>
      <c r="C17" s="66"/>
      <c r="D17" s="61"/>
      <c r="E17" s="67"/>
      <c r="F17" s="68"/>
      <c r="G17" s="69">
        <f t="shared" si="1"/>
        <v>649</v>
      </c>
      <c r="H17" s="69"/>
      <c r="I17" s="58"/>
    </row>
    <row r="18" spans="1:9" x14ac:dyDescent="0.25">
      <c r="A18" s="65">
        <f t="shared" si="0"/>
        <v>10</v>
      </c>
      <c r="B18" s="59"/>
      <c r="C18" s="66"/>
      <c r="D18" s="61"/>
      <c r="E18" s="67"/>
      <c r="F18" s="68"/>
      <c r="G18" s="69">
        <f t="shared" si="1"/>
        <v>649</v>
      </c>
      <c r="H18" s="69"/>
      <c r="I18" s="58"/>
    </row>
    <row r="19" spans="1:9" x14ac:dyDescent="0.25">
      <c r="A19" s="65">
        <f t="shared" si="0"/>
        <v>11</v>
      </c>
      <c r="B19" s="59"/>
      <c r="C19" s="66"/>
      <c r="D19" s="61"/>
      <c r="E19" s="64"/>
      <c r="F19" s="68"/>
      <c r="G19" s="69">
        <f t="shared" si="1"/>
        <v>649</v>
      </c>
      <c r="H19" s="69"/>
      <c r="I19" s="58"/>
    </row>
    <row r="20" spans="1:9" x14ac:dyDescent="0.25">
      <c r="A20" s="58"/>
      <c r="B20" s="73"/>
      <c r="C20" s="66"/>
      <c r="D20" s="61"/>
      <c r="E20" s="74"/>
      <c r="F20" s="74"/>
      <c r="G20" s="75">
        <f t="shared" si="1"/>
        <v>649</v>
      </c>
      <c r="H20" s="76"/>
      <c r="I20" s="77"/>
    </row>
    <row r="21" spans="1:9" x14ac:dyDescent="0.25">
      <c r="A21" s="65">
        <v>1</v>
      </c>
      <c r="B21" s="59"/>
      <c r="C21" s="66"/>
      <c r="D21" s="61"/>
      <c r="E21" s="62"/>
      <c r="F21" s="63"/>
      <c r="G21" s="69">
        <f t="shared" si="1"/>
        <v>649</v>
      </c>
      <c r="H21" s="58"/>
      <c r="I21" s="58"/>
    </row>
    <row r="22" spans="1:9" x14ac:dyDescent="0.25">
      <c r="A22" s="65">
        <f>+A21+1</f>
        <v>2</v>
      </c>
      <c r="B22" s="59"/>
      <c r="C22" s="66"/>
      <c r="D22" s="61"/>
      <c r="E22" s="67"/>
      <c r="F22" s="68"/>
      <c r="G22" s="69">
        <f t="shared" si="1"/>
        <v>649</v>
      </c>
      <c r="H22" s="58"/>
      <c r="I22" s="58"/>
    </row>
    <row r="23" spans="1:9" x14ac:dyDescent="0.25">
      <c r="A23" s="65">
        <f t="shared" ref="A23:A30" si="2">+A22+1</f>
        <v>3</v>
      </c>
      <c r="B23" s="59"/>
      <c r="C23" s="66"/>
      <c r="D23" s="61"/>
      <c r="E23" s="67"/>
      <c r="F23" s="68"/>
      <c r="G23" s="69">
        <f t="shared" si="1"/>
        <v>649</v>
      </c>
      <c r="H23" s="78"/>
      <c r="I23" s="58"/>
    </row>
    <row r="24" spans="1:9" x14ac:dyDescent="0.25">
      <c r="A24" s="65">
        <f t="shared" si="2"/>
        <v>4</v>
      </c>
      <c r="B24" s="59"/>
      <c r="C24" s="66"/>
      <c r="D24" s="61"/>
      <c r="E24" s="67"/>
      <c r="F24" s="68"/>
      <c r="G24" s="69">
        <f t="shared" si="1"/>
        <v>649</v>
      </c>
      <c r="H24" s="58"/>
      <c r="I24" s="58"/>
    </row>
    <row r="25" spans="1:9" x14ac:dyDescent="0.25">
      <c r="A25" s="65">
        <f t="shared" si="2"/>
        <v>5</v>
      </c>
      <c r="B25" s="59"/>
      <c r="C25" s="66"/>
      <c r="D25" s="61"/>
      <c r="E25" s="67"/>
      <c r="F25" s="68"/>
      <c r="G25" s="69">
        <f t="shared" si="1"/>
        <v>649</v>
      </c>
      <c r="H25" s="58"/>
      <c r="I25" s="58"/>
    </row>
    <row r="26" spans="1:9" x14ac:dyDescent="0.25">
      <c r="A26" s="65">
        <f t="shared" si="2"/>
        <v>6</v>
      </c>
      <c r="B26" s="59"/>
      <c r="C26" s="66"/>
      <c r="D26" s="61"/>
      <c r="E26" s="67"/>
      <c r="F26" s="68"/>
      <c r="G26" s="69">
        <f t="shared" si="1"/>
        <v>649</v>
      </c>
      <c r="H26" s="58"/>
      <c r="I26" s="58"/>
    </row>
    <row r="27" spans="1:9" x14ac:dyDescent="0.25">
      <c r="A27" s="65">
        <f t="shared" si="2"/>
        <v>7</v>
      </c>
      <c r="B27" s="59"/>
      <c r="C27" s="66"/>
      <c r="D27" s="61"/>
      <c r="E27" s="67"/>
      <c r="F27" s="68"/>
      <c r="G27" s="69">
        <f t="shared" si="1"/>
        <v>649</v>
      </c>
      <c r="H27" s="58"/>
      <c r="I27" s="58"/>
    </row>
    <row r="28" spans="1:9" x14ac:dyDescent="0.25">
      <c r="A28" s="65">
        <f t="shared" si="2"/>
        <v>8</v>
      </c>
      <c r="B28" s="59"/>
      <c r="C28" s="66"/>
      <c r="D28" s="61"/>
      <c r="E28" s="67"/>
      <c r="F28" s="68"/>
      <c r="G28" s="69">
        <f t="shared" si="1"/>
        <v>649</v>
      </c>
      <c r="H28" s="58"/>
      <c r="I28" s="58"/>
    </row>
    <row r="29" spans="1:9" x14ac:dyDescent="0.25">
      <c r="A29" s="65">
        <f t="shared" si="2"/>
        <v>9</v>
      </c>
      <c r="B29" s="59"/>
      <c r="C29" s="66"/>
      <c r="D29" s="61"/>
      <c r="E29" s="67"/>
      <c r="F29" s="68"/>
      <c r="G29" s="69">
        <f t="shared" si="1"/>
        <v>649</v>
      </c>
      <c r="H29" s="58"/>
      <c r="I29" s="58"/>
    </row>
    <row r="30" spans="1:9" x14ac:dyDescent="0.25">
      <c r="A30" s="65">
        <f t="shared" si="2"/>
        <v>10</v>
      </c>
      <c r="B30" s="79"/>
      <c r="C30" s="80"/>
      <c r="D30" s="61"/>
      <c r="E30" s="67"/>
      <c r="F30" s="68"/>
      <c r="G30" s="69">
        <f t="shared" si="1"/>
        <v>649</v>
      </c>
      <c r="H30" s="69"/>
      <c r="I30" s="58"/>
    </row>
    <row r="31" spans="1:9" x14ac:dyDescent="0.25">
      <c r="A31" s="58"/>
      <c r="B31" s="58"/>
      <c r="C31" s="81" t="s">
        <v>13</v>
      </c>
      <c r="D31" s="58"/>
      <c r="E31" s="82">
        <f>SUM(E20:E30)</f>
        <v>0</v>
      </c>
      <c r="F31" s="82">
        <f>SUM(F9:F30)</f>
        <v>0</v>
      </c>
      <c r="G31" s="82">
        <f>+E31-F31+G8</f>
        <v>649</v>
      </c>
      <c r="H31" s="82"/>
      <c r="I31" s="83"/>
    </row>
    <row r="32" spans="1:9" x14ac:dyDescent="0.25">
      <c r="E32" s="72"/>
      <c r="F32" s="72"/>
    </row>
  </sheetData>
  <mergeCells count="1">
    <mergeCell ref="A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O155"/>
  <sheetViews>
    <sheetView topLeftCell="A51" workbookViewId="0">
      <selection activeCell="F74" sqref="F74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21.5703125" style="85" customWidth="1"/>
    <col min="9" max="9" width="16.28515625" style="85" customWidth="1"/>
    <col min="10" max="256" width="9.140625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.140625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.140625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.140625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.140625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.140625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.140625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.140625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.140625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.140625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.140625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.140625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.140625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.140625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.140625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.140625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.140625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.140625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.140625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.140625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.140625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.140625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.140625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.140625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.140625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.140625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.140625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.140625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.140625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.140625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.140625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.140625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.140625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.140625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.140625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.140625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.140625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.140625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.140625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.140625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.140625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.140625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.140625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.140625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.140625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.140625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.140625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.140625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.140625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.140625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.140625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.140625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.140625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.140625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.140625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.140625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.140625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.140625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.140625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.140625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.140625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.140625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.140625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.140625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27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>
        <v>375</v>
      </c>
      <c r="H8" s="92"/>
      <c r="I8" s="93"/>
    </row>
    <row r="9" spans="1:10" ht="18" customHeight="1" x14ac:dyDescent="0.25">
      <c r="A9" s="58"/>
      <c r="B9" s="59">
        <v>45668</v>
      </c>
      <c r="C9" s="66" t="s">
        <v>107</v>
      </c>
      <c r="D9" s="61" t="s">
        <v>19</v>
      </c>
      <c r="E9" s="62"/>
      <c r="F9" s="62">
        <v>0.7</v>
      </c>
      <c r="G9" s="95">
        <f>+G8+E9-F9</f>
        <v>374.3</v>
      </c>
      <c r="H9" s="96" t="s">
        <v>93</v>
      </c>
      <c r="I9" s="96" t="s">
        <v>90</v>
      </c>
      <c r="J9" s="55" t="s">
        <v>20</v>
      </c>
    </row>
    <row r="10" spans="1:10" ht="18" customHeight="1" x14ac:dyDescent="0.25">
      <c r="A10" s="58"/>
      <c r="B10" s="59">
        <v>45674</v>
      </c>
      <c r="C10" s="66" t="s">
        <v>107</v>
      </c>
      <c r="D10" s="61" t="s">
        <v>19</v>
      </c>
      <c r="E10" s="62"/>
      <c r="F10" s="97">
        <v>1.4</v>
      </c>
      <c r="G10" s="95">
        <f t="shared" ref="G10:G76" si="0">+G9+E10-F10</f>
        <v>372.90000000000003</v>
      </c>
      <c r="H10" s="96" t="s">
        <v>93</v>
      </c>
      <c r="I10" s="96" t="s">
        <v>90</v>
      </c>
    </row>
    <row r="11" spans="1:10" ht="18" customHeight="1" x14ac:dyDescent="0.25">
      <c r="A11" s="58"/>
      <c r="B11" s="70">
        <v>45675</v>
      </c>
      <c r="C11" s="66" t="s">
        <v>107</v>
      </c>
      <c r="D11" s="61" t="s">
        <v>19</v>
      </c>
      <c r="E11" s="62"/>
      <c r="F11" s="97">
        <v>6.7</v>
      </c>
      <c r="G11" s="95">
        <f t="shared" si="0"/>
        <v>366.20000000000005</v>
      </c>
      <c r="H11" s="96" t="s">
        <v>93</v>
      </c>
      <c r="I11" s="96" t="s">
        <v>90</v>
      </c>
    </row>
    <row r="12" spans="1:10" ht="18" customHeight="1" x14ac:dyDescent="0.25">
      <c r="A12" s="58"/>
      <c r="B12" s="59">
        <v>45743</v>
      </c>
      <c r="C12" s="66" t="s">
        <v>107</v>
      </c>
      <c r="D12" s="61" t="s">
        <v>19</v>
      </c>
      <c r="E12" s="62"/>
      <c r="F12" s="97">
        <v>1.2</v>
      </c>
      <c r="G12" s="95">
        <f t="shared" si="0"/>
        <v>365.00000000000006</v>
      </c>
      <c r="H12" s="96" t="s">
        <v>141</v>
      </c>
      <c r="I12" s="96" t="s">
        <v>379</v>
      </c>
    </row>
    <row r="13" spans="1:10" ht="18" customHeight="1" x14ac:dyDescent="0.25">
      <c r="A13" s="58"/>
      <c r="B13" s="59">
        <v>45769</v>
      </c>
      <c r="C13" s="66" t="s">
        <v>107</v>
      </c>
      <c r="D13" s="61" t="s">
        <v>19</v>
      </c>
      <c r="E13" s="62"/>
      <c r="F13" s="97">
        <v>1.8</v>
      </c>
      <c r="G13" s="95">
        <f t="shared" si="0"/>
        <v>363.20000000000005</v>
      </c>
      <c r="H13" s="96" t="s">
        <v>93</v>
      </c>
      <c r="I13" s="96" t="s">
        <v>90</v>
      </c>
    </row>
    <row r="14" spans="1:10" ht="18" customHeight="1" x14ac:dyDescent="0.25">
      <c r="A14" s="58"/>
      <c r="B14" s="59">
        <v>45770</v>
      </c>
      <c r="C14" s="66" t="s">
        <v>107</v>
      </c>
      <c r="D14" s="61" t="s">
        <v>19</v>
      </c>
      <c r="E14" s="62"/>
      <c r="F14" s="97">
        <v>1.9</v>
      </c>
      <c r="G14" s="95">
        <f t="shared" si="0"/>
        <v>361.30000000000007</v>
      </c>
      <c r="H14" s="96" t="s">
        <v>93</v>
      </c>
      <c r="I14" s="96" t="s">
        <v>90</v>
      </c>
    </row>
    <row r="15" spans="1:10" ht="18" customHeight="1" x14ac:dyDescent="0.25">
      <c r="A15" s="58"/>
      <c r="B15" s="59">
        <v>45771</v>
      </c>
      <c r="C15" s="66" t="s">
        <v>107</v>
      </c>
      <c r="D15" s="61" t="s">
        <v>19</v>
      </c>
      <c r="E15" s="62"/>
      <c r="F15" s="97">
        <v>2</v>
      </c>
      <c r="G15" s="95">
        <f t="shared" si="0"/>
        <v>359.30000000000007</v>
      </c>
      <c r="H15" s="96" t="s">
        <v>129</v>
      </c>
      <c r="I15" s="96" t="s">
        <v>90</v>
      </c>
    </row>
    <row r="16" spans="1:10" ht="18" customHeight="1" x14ac:dyDescent="0.25">
      <c r="A16" s="58"/>
      <c r="B16" s="59">
        <v>45772</v>
      </c>
      <c r="C16" s="66" t="s">
        <v>107</v>
      </c>
      <c r="D16" s="61" t="s">
        <v>19</v>
      </c>
      <c r="E16" s="62"/>
      <c r="F16" s="97">
        <v>0.6</v>
      </c>
      <c r="G16" s="95">
        <f t="shared" si="0"/>
        <v>358.70000000000005</v>
      </c>
      <c r="H16" s="96" t="s">
        <v>129</v>
      </c>
      <c r="I16" s="96" t="s">
        <v>90</v>
      </c>
      <c r="J16" s="72"/>
    </row>
    <row r="17" spans="1:15" ht="18" customHeight="1" x14ac:dyDescent="0.25">
      <c r="A17" s="58"/>
      <c r="B17" s="98">
        <v>45774</v>
      </c>
      <c r="C17" s="66" t="s">
        <v>107</v>
      </c>
      <c r="D17" s="61" t="s">
        <v>19</v>
      </c>
      <c r="E17" s="62"/>
      <c r="F17" s="62">
        <v>1.8</v>
      </c>
      <c r="G17" s="95">
        <f t="shared" si="0"/>
        <v>356.90000000000003</v>
      </c>
      <c r="H17" s="96" t="s">
        <v>93</v>
      </c>
      <c r="I17" s="96" t="s">
        <v>269</v>
      </c>
      <c r="J17" s="72"/>
    </row>
    <row r="18" spans="1:15" ht="18" customHeight="1" x14ac:dyDescent="0.25">
      <c r="A18" s="58"/>
      <c r="B18" s="59">
        <v>45775</v>
      </c>
      <c r="C18" s="66" t="s">
        <v>107</v>
      </c>
      <c r="D18" s="61" t="s">
        <v>19</v>
      </c>
      <c r="E18" s="62"/>
      <c r="F18" s="97">
        <v>1.7</v>
      </c>
      <c r="G18" s="95">
        <f t="shared" si="0"/>
        <v>355.20000000000005</v>
      </c>
      <c r="H18" s="96" t="s">
        <v>93</v>
      </c>
      <c r="I18" s="96" t="s">
        <v>90</v>
      </c>
      <c r="J18" s="72"/>
      <c r="O18" s="55">
        <f>2*16+10</f>
        <v>42</v>
      </c>
    </row>
    <row r="19" spans="1:15" ht="18" customHeight="1" x14ac:dyDescent="0.25">
      <c r="A19" s="58"/>
      <c r="B19" s="59">
        <v>45776</v>
      </c>
      <c r="C19" s="66" t="s">
        <v>107</v>
      </c>
      <c r="D19" s="61" t="s">
        <v>19</v>
      </c>
      <c r="E19" s="62"/>
      <c r="F19" s="97">
        <v>9.6999999999999993</v>
      </c>
      <c r="G19" s="95">
        <f t="shared" si="0"/>
        <v>345.50000000000006</v>
      </c>
      <c r="H19" s="96" t="s">
        <v>93</v>
      </c>
      <c r="I19" s="96" t="s">
        <v>90</v>
      </c>
      <c r="J19" s="72"/>
    </row>
    <row r="20" spans="1:15" ht="18" customHeight="1" x14ac:dyDescent="0.25">
      <c r="A20" s="58"/>
      <c r="B20" s="59">
        <v>45782</v>
      </c>
      <c r="C20" s="66" t="s">
        <v>107</v>
      </c>
      <c r="D20" s="61" t="s">
        <v>19</v>
      </c>
      <c r="E20" s="62"/>
      <c r="F20" s="97">
        <v>1.9</v>
      </c>
      <c r="G20" s="95">
        <f t="shared" si="0"/>
        <v>343.60000000000008</v>
      </c>
      <c r="H20" s="96"/>
      <c r="I20" s="96"/>
      <c r="J20" s="72"/>
    </row>
    <row r="21" spans="1:15" ht="18" customHeight="1" x14ac:dyDescent="0.25">
      <c r="A21" s="58"/>
      <c r="B21" s="59">
        <v>45783</v>
      </c>
      <c r="C21" s="66" t="s">
        <v>107</v>
      </c>
      <c r="D21" s="61" t="s">
        <v>19</v>
      </c>
      <c r="E21" s="62"/>
      <c r="F21" s="97">
        <v>1</v>
      </c>
      <c r="G21" s="95">
        <f t="shared" si="0"/>
        <v>342.60000000000008</v>
      </c>
      <c r="H21" s="96" t="s">
        <v>93</v>
      </c>
      <c r="I21" s="96" t="s">
        <v>90</v>
      </c>
      <c r="J21" s="72"/>
    </row>
    <row r="22" spans="1:15" ht="18" customHeight="1" x14ac:dyDescent="0.25">
      <c r="A22" s="58"/>
      <c r="B22" s="59">
        <v>45784</v>
      </c>
      <c r="C22" s="66" t="s">
        <v>107</v>
      </c>
      <c r="D22" s="61" t="s">
        <v>19</v>
      </c>
      <c r="E22" s="62"/>
      <c r="F22" s="97">
        <v>1.5</v>
      </c>
      <c r="G22" s="95">
        <f t="shared" si="0"/>
        <v>341.10000000000008</v>
      </c>
      <c r="H22" s="96" t="s">
        <v>93</v>
      </c>
      <c r="I22" s="96" t="s">
        <v>90</v>
      </c>
      <c r="J22" s="72"/>
    </row>
    <row r="23" spans="1:15" ht="18" customHeight="1" x14ac:dyDescent="0.25">
      <c r="A23" s="58"/>
      <c r="B23" s="98">
        <v>45785</v>
      </c>
      <c r="C23" s="66" t="s">
        <v>107</v>
      </c>
      <c r="D23" s="61" t="s">
        <v>19</v>
      </c>
      <c r="E23" s="62"/>
      <c r="F23" s="62">
        <v>3.9</v>
      </c>
      <c r="G23" s="95">
        <f t="shared" si="0"/>
        <v>337.2000000000001</v>
      </c>
      <c r="H23" s="96" t="s">
        <v>93</v>
      </c>
      <c r="I23" s="96" t="s">
        <v>90</v>
      </c>
      <c r="J23" s="72"/>
    </row>
    <row r="24" spans="1:15" ht="18" customHeight="1" x14ac:dyDescent="0.25">
      <c r="A24" s="58"/>
      <c r="B24" s="98">
        <v>45789</v>
      </c>
      <c r="C24" s="66" t="s">
        <v>107</v>
      </c>
      <c r="D24" s="61" t="s">
        <v>19</v>
      </c>
      <c r="E24" s="62"/>
      <c r="F24" s="97">
        <v>2.5</v>
      </c>
      <c r="G24" s="95">
        <f t="shared" si="0"/>
        <v>334.7000000000001</v>
      </c>
      <c r="H24" s="96" t="s">
        <v>93</v>
      </c>
      <c r="I24" s="96" t="s">
        <v>90</v>
      </c>
      <c r="J24" s="72"/>
    </row>
    <row r="25" spans="1:15" ht="18" customHeight="1" x14ac:dyDescent="0.25">
      <c r="A25" s="58"/>
      <c r="B25" s="98">
        <v>45790</v>
      </c>
      <c r="C25" s="66" t="s">
        <v>107</v>
      </c>
      <c r="D25" s="61"/>
      <c r="E25" s="62"/>
      <c r="F25" s="97">
        <v>1.2</v>
      </c>
      <c r="G25" s="95">
        <f t="shared" si="0"/>
        <v>333.50000000000011</v>
      </c>
      <c r="H25" s="96" t="s">
        <v>93</v>
      </c>
      <c r="I25" s="96" t="s">
        <v>90</v>
      </c>
      <c r="J25" s="72"/>
    </row>
    <row r="26" spans="1:15" ht="18" customHeight="1" x14ac:dyDescent="0.25">
      <c r="A26" s="58"/>
      <c r="B26" s="98">
        <v>45804</v>
      </c>
      <c r="C26" s="66" t="s">
        <v>107</v>
      </c>
      <c r="D26" s="61" t="s">
        <v>19</v>
      </c>
      <c r="E26" s="62"/>
      <c r="F26" s="97">
        <v>1.4</v>
      </c>
      <c r="G26" s="95">
        <f t="shared" si="0"/>
        <v>332.10000000000014</v>
      </c>
      <c r="H26" s="96" t="s">
        <v>93</v>
      </c>
      <c r="I26" s="96" t="s">
        <v>90</v>
      </c>
    </row>
    <row r="27" spans="1:15" ht="18" customHeight="1" x14ac:dyDescent="0.25">
      <c r="A27" s="58"/>
      <c r="B27" s="98">
        <v>45817</v>
      </c>
      <c r="C27" s="66" t="s">
        <v>107</v>
      </c>
      <c r="D27" s="61" t="s">
        <v>19</v>
      </c>
      <c r="E27" s="62"/>
      <c r="F27" s="97">
        <v>1.7</v>
      </c>
      <c r="G27" s="95">
        <f t="shared" si="0"/>
        <v>330.40000000000015</v>
      </c>
      <c r="H27" s="96" t="s">
        <v>100</v>
      </c>
      <c r="I27" s="96" t="s">
        <v>90</v>
      </c>
    </row>
    <row r="28" spans="1:15" ht="18" customHeight="1" x14ac:dyDescent="0.25">
      <c r="A28" s="58"/>
      <c r="B28" s="59">
        <v>45818</v>
      </c>
      <c r="C28" s="66" t="s">
        <v>107</v>
      </c>
      <c r="D28" s="61" t="s">
        <v>19</v>
      </c>
      <c r="E28" s="62"/>
      <c r="F28" s="97">
        <v>1.5</v>
      </c>
      <c r="G28" s="95">
        <f t="shared" si="0"/>
        <v>328.90000000000015</v>
      </c>
      <c r="H28" s="96" t="s">
        <v>93</v>
      </c>
      <c r="I28" s="96" t="s">
        <v>90</v>
      </c>
    </row>
    <row r="29" spans="1:15" s="102" customFormat="1" ht="18" customHeight="1" x14ac:dyDescent="0.25">
      <c r="A29" s="100"/>
      <c r="B29" s="101">
        <v>45820</v>
      </c>
      <c r="C29" s="66" t="s">
        <v>107</v>
      </c>
      <c r="D29" s="61" t="s">
        <v>19</v>
      </c>
      <c r="E29" s="288"/>
      <c r="F29" s="281">
        <v>2.2000000000000002</v>
      </c>
      <c r="G29" s="95">
        <f t="shared" si="0"/>
        <v>326.70000000000016</v>
      </c>
      <c r="H29" s="96" t="s">
        <v>93</v>
      </c>
      <c r="I29" s="96" t="s">
        <v>90</v>
      </c>
    </row>
    <row r="30" spans="1:15" ht="18" customHeight="1" x14ac:dyDescent="0.25">
      <c r="A30" s="58"/>
      <c r="B30" s="59">
        <v>45821</v>
      </c>
      <c r="C30" s="66" t="s">
        <v>107</v>
      </c>
      <c r="D30" s="61" t="s">
        <v>19</v>
      </c>
      <c r="E30" s="62"/>
      <c r="F30" s="97">
        <v>3.8</v>
      </c>
      <c r="G30" s="95">
        <f t="shared" si="0"/>
        <v>322.90000000000015</v>
      </c>
      <c r="H30" s="96" t="s">
        <v>93</v>
      </c>
      <c r="I30" s="96" t="s">
        <v>90</v>
      </c>
    </row>
    <row r="31" spans="1:15" ht="18" customHeight="1" x14ac:dyDescent="0.25">
      <c r="A31" s="58"/>
      <c r="B31" s="59">
        <v>45822</v>
      </c>
      <c r="C31" s="66" t="s">
        <v>107</v>
      </c>
      <c r="D31" s="61" t="s">
        <v>19</v>
      </c>
      <c r="E31" s="62"/>
      <c r="F31" s="62">
        <v>4</v>
      </c>
      <c r="G31" s="95">
        <f t="shared" si="0"/>
        <v>318.90000000000015</v>
      </c>
      <c r="H31" s="96" t="s">
        <v>93</v>
      </c>
      <c r="I31" s="96" t="s">
        <v>90</v>
      </c>
    </row>
    <row r="32" spans="1:15" ht="18" customHeight="1" x14ac:dyDescent="0.25">
      <c r="A32" s="58"/>
      <c r="B32" s="59">
        <v>45824</v>
      </c>
      <c r="C32" s="66" t="s">
        <v>107</v>
      </c>
      <c r="D32" s="61" t="s">
        <v>19</v>
      </c>
      <c r="E32" s="62"/>
      <c r="F32" s="62">
        <v>3.2</v>
      </c>
      <c r="G32" s="95">
        <f t="shared" si="0"/>
        <v>315.70000000000016</v>
      </c>
      <c r="H32" s="96" t="s">
        <v>93</v>
      </c>
      <c r="I32" s="96" t="s">
        <v>90</v>
      </c>
    </row>
    <row r="33" spans="1:9" ht="18" customHeight="1" x14ac:dyDescent="0.25">
      <c r="A33" s="58"/>
      <c r="B33" s="59">
        <v>45825</v>
      </c>
      <c r="C33" s="66" t="s">
        <v>107</v>
      </c>
      <c r="D33" s="61" t="s">
        <v>19</v>
      </c>
      <c r="E33" s="62"/>
      <c r="F33" s="62">
        <v>3.8</v>
      </c>
      <c r="G33" s="95">
        <f t="shared" si="0"/>
        <v>311.90000000000015</v>
      </c>
      <c r="H33" s="96" t="s">
        <v>93</v>
      </c>
      <c r="I33" s="96" t="s">
        <v>90</v>
      </c>
    </row>
    <row r="34" spans="1:9" ht="18" customHeight="1" x14ac:dyDescent="0.25">
      <c r="A34" s="58"/>
      <c r="B34" s="59">
        <v>45829</v>
      </c>
      <c r="C34" s="66" t="s">
        <v>107</v>
      </c>
      <c r="D34" s="61" t="s">
        <v>19</v>
      </c>
      <c r="E34" s="62"/>
      <c r="F34" s="62">
        <v>0.5</v>
      </c>
      <c r="G34" s="95">
        <f t="shared" si="0"/>
        <v>311.40000000000015</v>
      </c>
      <c r="H34" s="96" t="s">
        <v>93</v>
      </c>
      <c r="I34" s="96" t="s">
        <v>90</v>
      </c>
    </row>
    <row r="35" spans="1:9" ht="18" customHeight="1" x14ac:dyDescent="0.25">
      <c r="A35" s="58"/>
      <c r="B35" s="59">
        <v>45836</v>
      </c>
      <c r="C35" s="66" t="s">
        <v>107</v>
      </c>
      <c r="D35" s="61" t="s">
        <v>19</v>
      </c>
      <c r="E35" s="62"/>
      <c r="F35" s="62">
        <v>2.2999999999999998</v>
      </c>
      <c r="G35" s="95">
        <f t="shared" si="0"/>
        <v>309.10000000000014</v>
      </c>
      <c r="H35" s="96" t="s">
        <v>93</v>
      </c>
      <c r="I35" s="96" t="s">
        <v>90</v>
      </c>
    </row>
    <row r="36" spans="1:9" ht="18" customHeight="1" x14ac:dyDescent="0.25">
      <c r="A36" s="58"/>
      <c r="B36" s="59">
        <v>45838</v>
      </c>
      <c r="C36" s="66" t="s">
        <v>107</v>
      </c>
      <c r="D36" s="61" t="s">
        <v>19</v>
      </c>
      <c r="E36" s="62"/>
      <c r="F36" s="62">
        <v>3.5</v>
      </c>
      <c r="G36" s="95">
        <f t="shared" si="0"/>
        <v>305.60000000000014</v>
      </c>
      <c r="H36" s="96" t="s">
        <v>93</v>
      </c>
      <c r="I36" s="96" t="s">
        <v>90</v>
      </c>
    </row>
    <row r="37" spans="1:9" ht="18" customHeight="1" x14ac:dyDescent="0.25">
      <c r="A37" s="58"/>
      <c r="B37" s="59">
        <v>45842</v>
      </c>
      <c r="C37" s="66" t="s">
        <v>107</v>
      </c>
      <c r="D37" s="61" t="s">
        <v>19</v>
      </c>
      <c r="E37" s="62"/>
      <c r="F37" s="62">
        <v>2.2999999999999998</v>
      </c>
      <c r="G37" s="95">
        <f t="shared" si="0"/>
        <v>303.30000000000013</v>
      </c>
      <c r="H37" s="96" t="s">
        <v>93</v>
      </c>
      <c r="I37" s="96" t="s">
        <v>90</v>
      </c>
    </row>
    <row r="38" spans="1:9" ht="18" customHeight="1" x14ac:dyDescent="0.25">
      <c r="A38" s="58"/>
      <c r="B38" s="59">
        <v>45843</v>
      </c>
      <c r="C38" s="66" t="s">
        <v>107</v>
      </c>
      <c r="D38" s="61" t="s">
        <v>19</v>
      </c>
      <c r="E38" s="62"/>
      <c r="F38" s="62">
        <v>1.5</v>
      </c>
      <c r="G38" s="95">
        <f t="shared" si="0"/>
        <v>301.80000000000013</v>
      </c>
      <c r="H38" s="96" t="s">
        <v>93</v>
      </c>
      <c r="I38" s="96" t="s">
        <v>90</v>
      </c>
    </row>
    <row r="39" spans="1:9" ht="18" customHeight="1" x14ac:dyDescent="0.25">
      <c r="A39" s="58"/>
      <c r="B39" s="59">
        <v>45849</v>
      </c>
      <c r="C39" s="66" t="s">
        <v>107</v>
      </c>
      <c r="D39" s="61" t="s">
        <v>19</v>
      </c>
      <c r="E39" s="62"/>
      <c r="F39" s="62">
        <v>1.4</v>
      </c>
      <c r="G39" s="95">
        <f t="shared" si="0"/>
        <v>300.40000000000015</v>
      </c>
      <c r="H39" s="96" t="s">
        <v>93</v>
      </c>
      <c r="I39" s="96" t="s">
        <v>90</v>
      </c>
    </row>
    <row r="40" spans="1:9" ht="18" customHeight="1" x14ac:dyDescent="0.25">
      <c r="A40" s="58"/>
      <c r="B40" s="59">
        <v>45850</v>
      </c>
      <c r="C40" s="66" t="s">
        <v>107</v>
      </c>
      <c r="D40" s="61" t="s">
        <v>19</v>
      </c>
      <c r="E40" s="62"/>
      <c r="F40" s="62">
        <v>2.6</v>
      </c>
      <c r="G40" s="95">
        <f t="shared" si="0"/>
        <v>297.80000000000013</v>
      </c>
      <c r="H40" s="96" t="s">
        <v>93</v>
      </c>
      <c r="I40" s="96" t="s">
        <v>90</v>
      </c>
    </row>
    <row r="41" spans="1:9" ht="18" customHeight="1" x14ac:dyDescent="0.25">
      <c r="A41" s="58"/>
      <c r="B41" s="59">
        <v>45852</v>
      </c>
      <c r="C41" s="66" t="s">
        <v>107</v>
      </c>
      <c r="D41" s="61" t="s">
        <v>19</v>
      </c>
      <c r="E41" s="62"/>
      <c r="F41" s="62">
        <v>2.9</v>
      </c>
      <c r="G41" s="95">
        <f t="shared" si="0"/>
        <v>294.90000000000015</v>
      </c>
      <c r="H41" s="96" t="s">
        <v>93</v>
      </c>
      <c r="I41" s="96" t="s">
        <v>90</v>
      </c>
    </row>
    <row r="42" spans="1:9" ht="18" customHeight="1" x14ac:dyDescent="0.25">
      <c r="A42" s="58"/>
      <c r="B42" s="59">
        <v>45854</v>
      </c>
      <c r="C42" s="66" t="s">
        <v>107</v>
      </c>
      <c r="D42" s="61" t="s">
        <v>19</v>
      </c>
      <c r="E42" s="62"/>
      <c r="F42" s="103">
        <v>0.5</v>
      </c>
      <c r="G42" s="95">
        <f t="shared" si="0"/>
        <v>294.40000000000015</v>
      </c>
      <c r="H42" s="96" t="s">
        <v>93</v>
      </c>
      <c r="I42" s="96" t="s">
        <v>90</v>
      </c>
    </row>
    <row r="43" spans="1:9" ht="18" customHeight="1" x14ac:dyDescent="0.25">
      <c r="A43" s="58"/>
      <c r="B43" s="59">
        <v>45859</v>
      </c>
      <c r="C43" s="66" t="s">
        <v>107</v>
      </c>
      <c r="D43" s="61" t="s">
        <v>19</v>
      </c>
      <c r="E43" s="62"/>
      <c r="F43" s="103">
        <v>2.2999999999999998</v>
      </c>
      <c r="G43" s="95">
        <f t="shared" si="0"/>
        <v>292.10000000000014</v>
      </c>
      <c r="H43" s="96" t="s">
        <v>93</v>
      </c>
      <c r="I43" s="96" t="s">
        <v>90</v>
      </c>
    </row>
    <row r="44" spans="1:9" ht="18" customHeight="1" x14ac:dyDescent="0.25">
      <c r="A44" s="58"/>
      <c r="B44" s="59">
        <v>45862</v>
      </c>
      <c r="C44" s="66" t="s">
        <v>107</v>
      </c>
      <c r="D44" s="61" t="s">
        <v>19</v>
      </c>
      <c r="E44" s="62"/>
      <c r="F44" s="103">
        <v>2.6</v>
      </c>
      <c r="G44" s="95">
        <f t="shared" si="0"/>
        <v>289.50000000000011</v>
      </c>
      <c r="H44" s="96" t="s">
        <v>93</v>
      </c>
      <c r="I44" s="96" t="s">
        <v>90</v>
      </c>
    </row>
    <row r="45" spans="1:9" ht="18" customHeight="1" x14ac:dyDescent="0.25">
      <c r="A45" s="58"/>
      <c r="B45" s="59">
        <v>45863</v>
      </c>
      <c r="C45" s="66" t="s">
        <v>107</v>
      </c>
      <c r="D45" s="61" t="s">
        <v>19</v>
      </c>
      <c r="E45" s="62"/>
      <c r="F45" s="103">
        <v>6.4</v>
      </c>
      <c r="G45" s="95">
        <f t="shared" si="0"/>
        <v>283.10000000000014</v>
      </c>
      <c r="H45" s="96" t="s">
        <v>93</v>
      </c>
      <c r="I45" s="96" t="s">
        <v>90</v>
      </c>
    </row>
    <row r="46" spans="1:9" ht="18" customHeight="1" x14ac:dyDescent="0.25">
      <c r="A46" s="58"/>
      <c r="B46" s="59">
        <v>45864</v>
      </c>
      <c r="C46" s="66" t="s">
        <v>107</v>
      </c>
      <c r="D46" s="61" t="s">
        <v>19</v>
      </c>
      <c r="E46" s="62"/>
      <c r="F46" s="103">
        <v>4.0999999999999996</v>
      </c>
      <c r="G46" s="95">
        <f t="shared" si="0"/>
        <v>279.00000000000011</v>
      </c>
      <c r="H46" s="96" t="s">
        <v>93</v>
      </c>
      <c r="I46" s="96" t="s">
        <v>90</v>
      </c>
    </row>
    <row r="47" spans="1:9" ht="18" customHeight="1" x14ac:dyDescent="0.25">
      <c r="A47" s="58"/>
      <c r="B47" s="59">
        <v>45866</v>
      </c>
      <c r="C47" s="66" t="s">
        <v>107</v>
      </c>
      <c r="D47" s="61" t="s">
        <v>19</v>
      </c>
      <c r="E47" s="62"/>
      <c r="F47" s="103">
        <v>2.8</v>
      </c>
      <c r="G47" s="95">
        <f t="shared" si="0"/>
        <v>276.2000000000001</v>
      </c>
      <c r="H47" s="96" t="s">
        <v>93</v>
      </c>
      <c r="I47" s="96" t="s">
        <v>90</v>
      </c>
    </row>
    <row r="48" spans="1:9" ht="18" customHeight="1" x14ac:dyDescent="0.25">
      <c r="A48" s="58"/>
      <c r="B48" s="59">
        <v>45867</v>
      </c>
      <c r="C48" s="66" t="s">
        <v>107</v>
      </c>
      <c r="D48" s="61" t="s">
        <v>19</v>
      </c>
      <c r="E48" s="62"/>
      <c r="F48" s="103">
        <v>2.2999999999999998</v>
      </c>
      <c r="G48" s="95">
        <f t="shared" si="0"/>
        <v>273.90000000000009</v>
      </c>
      <c r="H48" s="96" t="s">
        <v>93</v>
      </c>
      <c r="I48" s="96" t="s">
        <v>90</v>
      </c>
    </row>
    <row r="49" spans="1:9" ht="18" customHeight="1" x14ac:dyDescent="0.25">
      <c r="A49" s="58"/>
      <c r="B49" s="59">
        <v>45868</v>
      </c>
      <c r="C49" s="66" t="s">
        <v>107</v>
      </c>
      <c r="D49" s="61" t="s">
        <v>19</v>
      </c>
      <c r="E49" s="62"/>
      <c r="F49" s="103">
        <v>5.3</v>
      </c>
      <c r="G49" s="95">
        <f t="shared" si="0"/>
        <v>268.60000000000008</v>
      </c>
      <c r="H49" s="96" t="s">
        <v>93</v>
      </c>
      <c r="I49" s="96" t="s">
        <v>90</v>
      </c>
    </row>
    <row r="50" spans="1:9" ht="18" customHeight="1" x14ac:dyDescent="0.25">
      <c r="A50" s="58"/>
      <c r="B50" s="59">
        <v>45869</v>
      </c>
      <c r="C50" s="66" t="s">
        <v>107</v>
      </c>
      <c r="D50" s="61" t="s">
        <v>19</v>
      </c>
      <c r="E50" s="62"/>
      <c r="F50" s="103">
        <v>5.8</v>
      </c>
      <c r="G50" s="95">
        <f t="shared" si="0"/>
        <v>262.80000000000007</v>
      </c>
      <c r="H50" s="96" t="s">
        <v>93</v>
      </c>
      <c r="I50" s="96" t="s">
        <v>90</v>
      </c>
    </row>
    <row r="51" spans="1:9" ht="18" customHeight="1" x14ac:dyDescent="0.25">
      <c r="A51" s="58"/>
      <c r="B51" s="59">
        <v>45870</v>
      </c>
      <c r="C51" s="66" t="s">
        <v>107</v>
      </c>
      <c r="D51" s="61" t="s">
        <v>19</v>
      </c>
      <c r="E51" s="62"/>
      <c r="F51" s="103">
        <v>1.5</v>
      </c>
      <c r="G51" s="95">
        <f t="shared" si="0"/>
        <v>261.30000000000007</v>
      </c>
      <c r="H51" s="96" t="s">
        <v>93</v>
      </c>
      <c r="I51" s="96" t="s">
        <v>90</v>
      </c>
    </row>
    <row r="52" spans="1:9" ht="18" customHeight="1" x14ac:dyDescent="0.25">
      <c r="A52" s="58"/>
      <c r="B52" s="59">
        <v>45878</v>
      </c>
      <c r="C52" s="66" t="s">
        <v>107</v>
      </c>
      <c r="D52" s="61" t="s">
        <v>19</v>
      </c>
      <c r="E52" s="62"/>
      <c r="F52" s="103">
        <v>1.1000000000000001</v>
      </c>
      <c r="G52" s="95">
        <f t="shared" si="0"/>
        <v>260.20000000000005</v>
      </c>
      <c r="H52" s="96" t="s">
        <v>93</v>
      </c>
      <c r="I52" s="96" t="s">
        <v>90</v>
      </c>
    </row>
    <row r="53" spans="1:9" ht="18" customHeight="1" x14ac:dyDescent="0.25">
      <c r="A53" s="58"/>
      <c r="B53" s="59">
        <v>45881</v>
      </c>
      <c r="C53" s="66" t="s">
        <v>107</v>
      </c>
      <c r="D53" s="61" t="s">
        <v>19</v>
      </c>
      <c r="E53" s="62"/>
      <c r="F53" s="103">
        <v>4</v>
      </c>
      <c r="G53" s="95">
        <f t="shared" si="0"/>
        <v>256.20000000000005</v>
      </c>
      <c r="H53" s="96" t="s">
        <v>93</v>
      </c>
      <c r="I53" s="96" t="s">
        <v>90</v>
      </c>
    </row>
    <row r="54" spans="1:9" ht="18" customHeight="1" x14ac:dyDescent="0.25">
      <c r="A54" s="58"/>
      <c r="B54" s="59">
        <v>45883</v>
      </c>
      <c r="C54" s="66" t="s">
        <v>107</v>
      </c>
      <c r="D54" s="61" t="s">
        <v>19</v>
      </c>
      <c r="E54" s="62"/>
      <c r="F54" s="103">
        <v>5.3</v>
      </c>
      <c r="G54" s="95">
        <f t="shared" si="0"/>
        <v>250.90000000000003</v>
      </c>
      <c r="H54" s="96" t="s">
        <v>93</v>
      </c>
      <c r="I54" s="96" t="s">
        <v>90</v>
      </c>
    </row>
    <row r="55" spans="1:9" ht="18" customHeight="1" x14ac:dyDescent="0.25">
      <c r="A55" s="58"/>
      <c r="B55" s="59">
        <v>45884</v>
      </c>
      <c r="C55" s="66" t="s">
        <v>107</v>
      </c>
      <c r="D55" s="61" t="s">
        <v>19</v>
      </c>
      <c r="E55" s="62"/>
      <c r="F55" s="103">
        <v>4</v>
      </c>
      <c r="G55" s="95">
        <f t="shared" si="0"/>
        <v>246.90000000000003</v>
      </c>
      <c r="H55" s="96" t="s">
        <v>93</v>
      </c>
      <c r="I55" s="96" t="s">
        <v>90</v>
      </c>
    </row>
    <row r="56" spans="1:9" ht="18" customHeight="1" x14ac:dyDescent="0.25">
      <c r="A56" s="58"/>
      <c r="B56" s="59">
        <v>45895</v>
      </c>
      <c r="C56" s="66" t="s">
        <v>107</v>
      </c>
      <c r="D56" s="61" t="s">
        <v>19</v>
      </c>
      <c r="E56" s="62"/>
      <c r="F56" s="103">
        <v>2.4</v>
      </c>
      <c r="G56" s="95">
        <f t="shared" si="0"/>
        <v>244.50000000000003</v>
      </c>
      <c r="H56" s="96" t="s">
        <v>93</v>
      </c>
      <c r="I56" s="96" t="s">
        <v>90</v>
      </c>
    </row>
    <row r="57" spans="1:9" ht="18" customHeight="1" x14ac:dyDescent="0.25">
      <c r="A57" s="58"/>
      <c r="B57" s="59">
        <v>45896</v>
      </c>
      <c r="C57" s="66" t="s">
        <v>107</v>
      </c>
      <c r="D57" s="61" t="s">
        <v>19</v>
      </c>
      <c r="E57" s="62"/>
      <c r="F57" s="103">
        <v>1.6</v>
      </c>
      <c r="G57" s="95">
        <f t="shared" si="0"/>
        <v>242.90000000000003</v>
      </c>
      <c r="H57" s="96" t="s">
        <v>93</v>
      </c>
      <c r="I57" s="96" t="s">
        <v>90</v>
      </c>
    </row>
    <row r="58" spans="1:9" ht="18" customHeight="1" x14ac:dyDescent="0.25">
      <c r="A58" s="58"/>
      <c r="B58" s="59">
        <v>45897</v>
      </c>
      <c r="C58" s="66" t="s">
        <v>107</v>
      </c>
      <c r="D58" s="61" t="s">
        <v>19</v>
      </c>
      <c r="E58" s="62"/>
      <c r="F58" s="103">
        <v>3.1</v>
      </c>
      <c r="G58" s="95">
        <f t="shared" si="0"/>
        <v>239.80000000000004</v>
      </c>
      <c r="H58" s="96" t="s">
        <v>93</v>
      </c>
      <c r="I58" s="96" t="s">
        <v>90</v>
      </c>
    </row>
    <row r="59" spans="1:9" ht="18" customHeight="1" x14ac:dyDescent="0.25">
      <c r="A59" s="58"/>
      <c r="B59" s="59">
        <v>45898</v>
      </c>
      <c r="C59" s="66" t="s">
        <v>107</v>
      </c>
      <c r="D59" s="61" t="s">
        <v>19</v>
      </c>
      <c r="E59" s="62"/>
      <c r="F59" s="103">
        <v>4.4000000000000004</v>
      </c>
      <c r="G59" s="95">
        <f t="shared" si="0"/>
        <v>235.40000000000003</v>
      </c>
      <c r="H59" s="96" t="s">
        <v>93</v>
      </c>
      <c r="I59" s="96" t="s">
        <v>90</v>
      </c>
    </row>
    <row r="60" spans="1:9" ht="18" customHeight="1" x14ac:dyDescent="0.25">
      <c r="A60" s="58"/>
      <c r="B60" s="59">
        <v>45899</v>
      </c>
      <c r="C60" s="66" t="s">
        <v>107</v>
      </c>
      <c r="D60" s="61" t="s">
        <v>19</v>
      </c>
      <c r="E60" s="62"/>
      <c r="F60" s="282">
        <v>7.7</v>
      </c>
      <c r="G60" s="95">
        <f t="shared" si="0"/>
        <v>227.70000000000005</v>
      </c>
      <c r="H60" s="96" t="s">
        <v>93</v>
      </c>
      <c r="I60" s="96" t="s">
        <v>90</v>
      </c>
    </row>
    <row r="61" spans="1:9" ht="18" customHeight="1" x14ac:dyDescent="0.25">
      <c r="A61" s="58"/>
      <c r="B61" s="59">
        <v>45903</v>
      </c>
      <c r="C61" s="66" t="s">
        <v>107</v>
      </c>
      <c r="D61" s="61" t="s">
        <v>19</v>
      </c>
      <c r="E61" s="62"/>
      <c r="F61" s="282">
        <v>3.9</v>
      </c>
      <c r="G61" s="95">
        <f t="shared" si="0"/>
        <v>223.80000000000004</v>
      </c>
      <c r="H61" s="96" t="s">
        <v>93</v>
      </c>
      <c r="I61" s="96" t="s">
        <v>90</v>
      </c>
    </row>
    <row r="62" spans="1:9" ht="18" customHeight="1" x14ac:dyDescent="0.25">
      <c r="A62" s="58"/>
      <c r="B62" s="59">
        <v>45904</v>
      </c>
      <c r="C62" s="66" t="s">
        <v>107</v>
      </c>
      <c r="D62" s="61" t="s">
        <v>19</v>
      </c>
      <c r="E62" s="62"/>
      <c r="F62" s="282">
        <v>2.2999999999999998</v>
      </c>
      <c r="G62" s="95">
        <f t="shared" si="0"/>
        <v>221.50000000000003</v>
      </c>
      <c r="H62" s="96" t="s">
        <v>93</v>
      </c>
      <c r="I62" s="96" t="s">
        <v>90</v>
      </c>
    </row>
    <row r="63" spans="1:9" ht="18" customHeight="1" x14ac:dyDescent="0.25">
      <c r="A63" s="58"/>
      <c r="B63" s="59">
        <v>45905</v>
      </c>
      <c r="C63" s="66" t="s">
        <v>107</v>
      </c>
      <c r="D63" s="61" t="s">
        <v>19</v>
      </c>
      <c r="E63" s="62"/>
      <c r="F63" s="282">
        <v>1.6</v>
      </c>
      <c r="G63" s="95">
        <f t="shared" si="0"/>
        <v>219.90000000000003</v>
      </c>
      <c r="H63" s="96" t="s">
        <v>93</v>
      </c>
      <c r="I63" s="96" t="s">
        <v>90</v>
      </c>
    </row>
    <row r="64" spans="1:9" ht="18" customHeight="1" x14ac:dyDescent="0.25">
      <c r="A64" s="58"/>
      <c r="B64" s="59">
        <v>45906</v>
      </c>
      <c r="C64" s="66" t="s">
        <v>107</v>
      </c>
      <c r="D64" s="61" t="s">
        <v>19</v>
      </c>
      <c r="E64" s="62"/>
      <c r="F64" s="282">
        <v>3.6</v>
      </c>
      <c r="G64" s="95">
        <f t="shared" si="0"/>
        <v>216.30000000000004</v>
      </c>
      <c r="H64" s="96" t="s">
        <v>93</v>
      </c>
      <c r="I64" s="96" t="s">
        <v>90</v>
      </c>
    </row>
    <row r="65" spans="1:9" ht="18" customHeight="1" x14ac:dyDescent="0.25">
      <c r="A65" s="58"/>
      <c r="B65" s="59">
        <v>45908</v>
      </c>
      <c r="C65" s="66" t="s">
        <v>107</v>
      </c>
      <c r="D65" s="61" t="s">
        <v>19</v>
      </c>
      <c r="E65" s="62"/>
      <c r="F65" s="282">
        <v>3.5</v>
      </c>
      <c r="G65" s="95">
        <f t="shared" si="0"/>
        <v>212.80000000000004</v>
      </c>
      <c r="H65" s="96" t="s">
        <v>93</v>
      </c>
      <c r="I65" s="96" t="s">
        <v>90</v>
      </c>
    </row>
    <row r="66" spans="1:9" ht="18" customHeight="1" x14ac:dyDescent="0.25">
      <c r="A66" s="58"/>
      <c r="B66" s="59">
        <v>45909</v>
      </c>
      <c r="C66" s="66" t="s">
        <v>107</v>
      </c>
      <c r="D66" s="61" t="s">
        <v>19</v>
      </c>
      <c r="E66" s="62"/>
      <c r="F66" s="282">
        <v>1.2</v>
      </c>
      <c r="G66" s="95">
        <f t="shared" si="0"/>
        <v>211.60000000000005</v>
      </c>
      <c r="H66" s="96" t="s">
        <v>93</v>
      </c>
      <c r="I66" s="96" t="s">
        <v>90</v>
      </c>
    </row>
    <row r="67" spans="1:9" ht="18" customHeight="1" x14ac:dyDescent="0.25">
      <c r="A67" s="58"/>
      <c r="B67" s="59">
        <v>45913</v>
      </c>
      <c r="C67" s="66" t="s">
        <v>107</v>
      </c>
      <c r="D67" s="61" t="s">
        <v>19</v>
      </c>
      <c r="E67" s="62"/>
      <c r="F67" s="282">
        <v>0.6</v>
      </c>
      <c r="G67" s="95">
        <f t="shared" si="0"/>
        <v>211.00000000000006</v>
      </c>
      <c r="H67" s="96" t="s">
        <v>93</v>
      </c>
      <c r="I67" s="96" t="s">
        <v>90</v>
      </c>
    </row>
    <row r="68" spans="1:9" ht="18" customHeight="1" x14ac:dyDescent="0.25">
      <c r="A68" s="58"/>
      <c r="B68" s="59">
        <v>45922</v>
      </c>
      <c r="C68" s="66" t="s">
        <v>107</v>
      </c>
      <c r="D68" s="61" t="s">
        <v>19</v>
      </c>
      <c r="E68" s="62"/>
      <c r="F68" s="282">
        <v>2.6</v>
      </c>
      <c r="G68" s="95">
        <f t="shared" si="0"/>
        <v>208.40000000000006</v>
      </c>
      <c r="H68" s="96" t="s">
        <v>93</v>
      </c>
      <c r="I68" s="96" t="s">
        <v>90</v>
      </c>
    </row>
    <row r="69" spans="1:9" ht="18" customHeight="1" x14ac:dyDescent="0.25">
      <c r="A69" s="58"/>
      <c r="B69" s="59">
        <v>45923</v>
      </c>
      <c r="C69" s="66" t="s">
        <v>107</v>
      </c>
      <c r="D69" s="61" t="s">
        <v>19</v>
      </c>
      <c r="E69" s="62"/>
      <c r="F69" s="282">
        <v>2.6</v>
      </c>
      <c r="G69" s="95">
        <f t="shared" si="0"/>
        <v>205.80000000000007</v>
      </c>
      <c r="H69" s="96" t="s">
        <v>93</v>
      </c>
      <c r="I69" s="96" t="s">
        <v>90</v>
      </c>
    </row>
    <row r="70" spans="1:9" ht="18" customHeight="1" x14ac:dyDescent="0.25">
      <c r="A70" s="58"/>
      <c r="B70" s="59">
        <v>45924</v>
      </c>
      <c r="C70" s="66" t="s">
        <v>107</v>
      </c>
      <c r="D70" s="61" t="s">
        <v>19</v>
      </c>
      <c r="E70" s="62"/>
      <c r="F70" s="282">
        <v>2.2999999999999998</v>
      </c>
      <c r="G70" s="95">
        <f t="shared" si="0"/>
        <v>203.50000000000006</v>
      </c>
      <c r="H70" s="96" t="s">
        <v>93</v>
      </c>
      <c r="I70" s="96" t="s">
        <v>90</v>
      </c>
    </row>
    <row r="71" spans="1:9" ht="18" customHeight="1" x14ac:dyDescent="0.25">
      <c r="A71" s="58"/>
      <c r="B71" s="59">
        <v>45925</v>
      </c>
      <c r="C71" s="66" t="s">
        <v>107</v>
      </c>
      <c r="D71" s="61" t="s">
        <v>19</v>
      </c>
      <c r="E71" s="62"/>
      <c r="F71" s="282">
        <v>3.3</v>
      </c>
      <c r="G71" s="95">
        <f t="shared" si="0"/>
        <v>200.20000000000005</v>
      </c>
      <c r="H71" s="96" t="s">
        <v>93</v>
      </c>
      <c r="I71" s="96" t="s">
        <v>90</v>
      </c>
    </row>
    <row r="72" spans="1:9" ht="18" customHeight="1" x14ac:dyDescent="0.25">
      <c r="A72" s="58"/>
      <c r="B72" s="59">
        <v>45926</v>
      </c>
      <c r="C72" s="66" t="s">
        <v>107</v>
      </c>
      <c r="D72" s="61" t="s">
        <v>19</v>
      </c>
      <c r="E72" s="62"/>
      <c r="F72" s="282">
        <v>2.6</v>
      </c>
      <c r="G72" s="95">
        <f t="shared" si="0"/>
        <v>197.60000000000005</v>
      </c>
      <c r="H72" s="96" t="s">
        <v>93</v>
      </c>
      <c r="I72" s="96" t="s">
        <v>90</v>
      </c>
    </row>
    <row r="73" spans="1:9" ht="18" customHeight="1" x14ac:dyDescent="0.25">
      <c r="A73" s="58"/>
      <c r="B73" s="59">
        <v>45927</v>
      </c>
      <c r="C73" s="66" t="s">
        <v>107</v>
      </c>
      <c r="D73" s="61" t="s">
        <v>19</v>
      </c>
      <c r="E73" s="62"/>
      <c r="F73" s="282">
        <v>1.6</v>
      </c>
      <c r="G73" s="95">
        <f t="shared" si="0"/>
        <v>196.00000000000006</v>
      </c>
      <c r="H73" s="96" t="s">
        <v>93</v>
      </c>
      <c r="I73" s="96" t="s">
        <v>90</v>
      </c>
    </row>
    <row r="74" spans="1:9" ht="18" customHeight="1" x14ac:dyDescent="0.25">
      <c r="A74" s="58"/>
      <c r="B74" s="59">
        <v>45929</v>
      </c>
      <c r="C74" s="66" t="s">
        <v>107</v>
      </c>
      <c r="D74" s="61" t="s">
        <v>19</v>
      </c>
      <c r="E74" s="62"/>
      <c r="F74" s="282">
        <v>2.6</v>
      </c>
      <c r="G74" s="95">
        <f t="shared" si="0"/>
        <v>193.40000000000006</v>
      </c>
      <c r="H74" s="96" t="s">
        <v>93</v>
      </c>
      <c r="I74" s="96" t="s">
        <v>90</v>
      </c>
    </row>
    <row r="75" spans="1:9" ht="18" customHeight="1" x14ac:dyDescent="0.25">
      <c r="A75" s="58"/>
      <c r="B75" s="59"/>
      <c r="C75" s="66" t="s">
        <v>107</v>
      </c>
      <c r="D75" s="61" t="s">
        <v>19</v>
      </c>
      <c r="E75" s="62"/>
      <c r="F75" s="282"/>
      <c r="G75" s="95">
        <f t="shared" si="0"/>
        <v>193.40000000000006</v>
      </c>
      <c r="H75" s="96" t="s">
        <v>93</v>
      </c>
      <c r="I75" s="96" t="s">
        <v>90</v>
      </c>
    </row>
    <row r="76" spans="1:9" ht="18" customHeight="1" x14ac:dyDescent="0.25">
      <c r="A76" s="58"/>
      <c r="B76" s="59"/>
      <c r="C76" s="66" t="s">
        <v>107</v>
      </c>
      <c r="D76" s="61" t="s">
        <v>19</v>
      </c>
      <c r="E76" s="62"/>
      <c r="F76" s="282"/>
      <c r="G76" s="95">
        <f t="shared" si="0"/>
        <v>193.40000000000006</v>
      </c>
      <c r="H76" s="96" t="s">
        <v>93</v>
      </c>
      <c r="I76" s="96" t="s">
        <v>90</v>
      </c>
    </row>
    <row r="77" spans="1:9" ht="18" customHeight="1" x14ac:dyDescent="0.25">
      <c r="A77" s="58"/>
      <c r="B77" s="59"/>
      <c r="C77" s="66" t="s">
        <v>107</v>
      </c>
      <c r="D77" s="61" t="s">
        <v>19</v>
      </c>
      <c r="E77" s="62"/>
      <c r="F77" s="282"/>
      <c r="G77" s="95">
        <f t="shared" ref="G77:G140" si="1">+G76+E77-F77</f>
        <v>193.40000000000006</v>
      </c>
      <c r="H77" s="96"/>
      <c r="I77" s="96"/>
    </row>
    <row r="78" spans="1:9" ht="18" customHeight="1" x14ac:dyDescent="0.25">
      <c r="A78" s="58"/>
      <c r="B78" s="59"/>
      <c r="C78" s="66" t="s">
        <v>107</v>
      </c>
      <c r="D78" s="61" t="s">
        <v>19</v>
      </c>
      <c r="E78" s="62"/>
      <c r="F78" s="282"/>
      <c r="G78" s="95">
        <f t="shared" si="1"/>
        <v>193.40000000000006</v>
      </c>
      <c r="H78" s="96"/>
      <c r="I78" s="96"/>
    </row>
    <row r="79" spans="1:9" ht="18" customHeight="1" x14ac:dyDescent="0.25">
      <c r="A79" s="58"/>
      <c r="B79" s="59"/>
      <c r="C79" s="66" t="s">
        <v>107</v>
      </c>
      <c r="D79" s="61" t="s">
        <v>19</v>
      </c>
      <c r="E79" s="62"/>
      <c r="F79" s="282"/>
      <c r="G79" s="95">
        <f t="shared" si="1"/>
        <v>193.40000000000006</v>
      </c>
      <c r="H79" s="96"/>
      <c r="I79" s="96"/>
    </row>
    <row r="80" spans="1:9" ht="18" customHeight="1" x14ac:dyDescent="0.25">
      <c r="A80" s="58"/>
      <c r="B80" s="59"/>
      <c r="C80" s="66" t="s">
        <v>107</v>
      </c>
      <c r="D80" s="61" t="s">
        <v>19</v>
      </c>
      <c r="E80" s="62"/>
      <c r="F80" s="282"/>
      <c r="G80" s="95">
        <f t="shared" si="1"/>
        <v>193.40000000000006</v>
      </c>
      <c r="H80" s="96"/>
      <c r="I80" s="96"/>
    </row>
    <row r="81" spans="1:9" ht="18" customHeight="1" x14ac:dyDescent="0.25">
      <c r="A81" s="58"/>
      <c r="B81" s="59"/>
      <c r="C81" s="66" t="s">
        <v>107</v>
      </c>
      <c r="D81" s="61" t="s">
        <v>19</v>
      </c>
      <c r="E81" s="62"/>
      <c r="F81" s="282"/>
      <c r="G81" s="95">
        <f t="shared" si="1"/>
        <v>193.40000000000006</v>
      </c>
      <c r="H81" s="96"/>
      <c r="I81" s="96"/>
    </row>
    <row r="82" spans="1:9" ht="18" customHeight="1" x14ac:dyDescent="0.25">
      <c r="A82" s="58"/>
      <c r="B82" s="59"/>
      <c r="C82" s="66" t="s">
        <v>107</v>
      </c>
      <c r="D82" s="61" t="s">
        <v>19</v>
      </c>
      <c r="E82" s="62"/>
      <c r="F82" s="282"/>
      <c r="G82" s="95">
        <f t="shared" si="1"/>
        <v>193.40000000000006</v>
      </c>
      <c r="H82" s="96"/>
      <c r="I82" s="96"/>
    </row>
    <row r="83" spans="1:9" ht="18" customHeight="1" x14ac:dyDescent="0.25">
      <c r="A83" s="58"/>
      <c r="B83" s="59"/>
      <c r="C83" s="66" t="s">
        <v>107</v>
      </c>
      <c r="D83" s="61" t="s">
        <v>19</v>
      </c>
      <c r="E83" s="62"/>
      <c r="F83" s="282"/>
      <c r="G83" s="95">
        <f t="shared" si="1"/>
        <v>193.40000000000006</v>
      </c>
      <c r="H83" s="96"/>
      <c r="I83" s="96"/>
    </row>
    <row r="84" spans="1:9" s="297" customFormat="1" ht="18" customHeight="1" x14ac:dyDescent="0.25">
      <c r="A84" s="291"/>
      <c r="B84" s="292"/>
      <c r="C84" s="66" t="s">
        <v>107</v>
      </c>
      <c r="D84" s="293" t="s">
        <v>19</v>
      </c>
      <c r="E84" s="294"/>
      <c r="F84" s="295"/>
      <c r="G84" s="95">
        <f t="shared" si="1"/>
        <v>193.40000000000006</v>
      </c>
      <c r="H84" s="96"/>
      <c r="I84" s="296"/>
    </row>
    <row r="85" spans="1:9" ht="18" customHeight="1" x14ac:dyDescent="0.25">
      <c r="A85" s="58"/>
      <c r="B85" s="59"/>
      <c r="C85" s="66" t="s">
        <v>107</v>
      </c>
      <c r="D85" s="61" t="s">
        <v>19</v>
      </c>
      <c r="E85" s="62"/>
      <c r="F85" s="282"/>
      <c r="G85" s="95">
        <f t="shared" si="1"/>
        <v>193.40000000000006</v>
      </c>
      <c r="H85" s="96"/>
      <c r="I85" s="296"/>
    </row>
    <row r="86" spans="1:9" ht="18" customHeight="1" x14ac:dyDescent="0.25">
      <c r="A86" s="58"/>
      <c r="B86" s="59"/>
      <c r="C86" s="66" t="s">
        <v>107</v>
      </c>
      <c r="D86" s="61" t="s">
        <v>19</v>
      </c>
      <c r="E86" s="62"/>
      <c r="F86" s="282"/>
      <c r="G86" s="95">
        <f t="shared" si="1"/>
        <v>193.40000000000006</v>
      </c>
      <c r="H86" s="96"/>
      <c r="I86" s="96"/>
    </row>
    <row r="87" spans="1:9" ht="18" customHeight="1" x14ac:dyDescent="0.25">
      <c r="A87" s="58"/>
      <c r="B87" s="59"/>
      <c r="C87" s="66" t="s">
        <v>107</v>
      </c>
      <c r="D87" s="61" t="s">
        <v>19</v>
      </c>
      <c r="E87" s="62"/>
      <c r="F87" s="282"/>
      <c r="G87" s="95">
        <f t="shared" si="1"/>
        <v>193.40000000000006</v>
      </c>
      <c r="H87" s="96"/>
      <c r="I87" s="96"/>
    </row>
    <row r="88" spans="1:9" ht="18" customHeight="1" x14ac:dyDescent="0.25">
      <c r="A88" s="58"/>
      <c r="B88" s="59"/>
      <c r="C88" s="66" t="s">
        <v>107</v>
      </c>
      <c r="D88" s="61" t="s">
        <v>19</v>
      </c>
      <c r="E88" s="62"/>
      <c r="F88" s="282"/>
      <c r="G88" s="95">
        <f t="shared" si="1"/>
        <v>193.40000000000006</v>
      </c>
      <c r="H88" s="96"/>
      <c r="I88" s="96"/>
    </row>
    <row r="89" spans="1:9" ht="18" customHeight="1" x14ac:dyDescent="0.25">
      <c r="A89" s="58"/>
      <c r="B89" s="59"/>
      <c r="C89" s="66" t="s">
        <v>107</v>
      </c>
      <c r="D89" s="61" t="s">
        <v>19</v>
      </c>
      <c r="E89" s="62"/>
      <c r="F89" s="282"/>
      <c r="G89" s="95">
        <f t="shared" si="1"/>
        <v>193.40000000000006</v>
      </c>
      <c r="H89" s="96"/>
      <c r="I89" s="96"/>
    </row>
    <row r="90" spans="1:9" ht="18" customHeight="1" x14ac:dyDescent="0.25">
      <c r="A90" s="58"/>
      <c r="B90" s="59"/>
      <c r="C90" s="66" t="s">
        <v>107</v>
      </c>
      <c r="D90" s="61" t="s">
        <v>19</v>
      </c>
      <c r="E90" s="62"/>
      <c r="F90" s="282"/>
      <c r="G90" s="95">
        <f t="shared" si="1"/>
        <v>193.40000000000006</v>
      </c>
      <c r="H90" s="96"/>
      <c r="I90" s="96"/>
    </row>
    <row r="91" spans="1:9" ht="18" customHeight="1" x14ac:dyDescent="0.25">
      <c r="A91" s="58"/>
      <c r="B91" s="59"/>
      <c r="C91" s="66" t="s">
        <v>107</v>
      </c>
      <c r="D91" s="61" t="s">
        <v>19</v>
      </c>
      <c r="E91" s="62"/>
      <c r="F91" s="282"/>
      <c r="G91" s="95">
        <f t="shared" si="1"/>
        <v>193.40000000000006</v>
      </c>
      <c r="H91" s="96"/>
      <c r="I91" s="96"/>
    </row>
    <row r="92" spans="1:9" ht="18" customHeight="1" x14ac:dyDescent="0.25">
      <c r="A92" s="58"/>
      <c r="B92" s="59"/>
      <c r="C92" s="66" t="s">
        <v>107</v>
      </c>
      <c r="D92" s="61" t="s">
        <v>19</v>
      </c>
      <c r="E92" s="62"/>
      <c r="F92" s="282"/>
      <c r="G92" s="95">
        <f t="shared" si="1"/>
        <v>193.40000000000006</v>
      </c>
      <c r="H92" s="96"/>
      <c r="I92" s="96"/>
    </row>
    <row r="93" spans="1:9" ht="18" customHeight="1" x14ac:dyDescent="0.25">
      <c r="A93" s="58"/>
      <c r="B93" s="59"/>
      <c r="C93" s="66" t="s">
        <v>107</v>
      </c>
      <c r="D93" s="61" t="s">
        <v>19</v>
      </c>
      <c r="E93" s="62"/>
      <c r="F93" s="282"/>
      <c r="G93" s="95">
        <f t="shared" si="1"/>
        <v>193.40000000000006</v>
      </c>
      <c r="H93" s="96"/>
      <c r="I93" s="96"/>
    </row>
    <row r="94" spans="1:9" ht="18" customHeight="1" x14ac:dyDescent="0.25">
      <c r="A94" s="58"/>
      <c r="B94" s="59"/>
      <c r="C94" s="66" t="s">
        <v>107</v>
      </c>
      <c r="D94" s="61" t="s">
        <v>19</v>
      </c>
      <c r="E94" s="62"/>
      <c r="F94" s="282"/>
      <c r="G94" s="95">
        <f t="shared" si="1"/>
        <v>193.40000000000006</v>
      </c>
      <c r="H94" s="96"/>
      <c r="I94" s="96"/>
    </row>
    <row r="95" spans="1:9" ht="18" customHeight="1" x14ac:dyDescent="0.25">
      <c r="A95" s="58"/>
      <c r="B95" s="59"/>
      <c r="C95" s="66" t="s">
        <v>107</v>
      </c>
      <c r="D95" s="61" t="s">
        <v>19</v>
      </c>
      <c r="E95" s="62"/>
      <c r="F95" s="282"/>
      <c r="G95" s="95">
        <f t="shared" si="1"/>
        <v>193.40000000000006</v>
      </c>
      <c r="H95" s="96"/>
      <c r="I95" s="96"/>
    </row>
    <row r="96" spans="1:9" ht="18" customHeight="1" x14ac:dyDescent="0.25">
      <c r="A96" s="58"/>
      <c r="B96" s="59"/>
      <c r="C96" s="66" t="s">
        <v>107</v>
      </c>
      <c r="D96" s="61" t="s">
        <v>19</v>
      </c>
      <c r="E96" s="62"/>
      <c r="F96" s="282"/>
      <c r="G96" s="95">
        <f t="shared" si="1"/>
        <v>193.40000000000006</v>
      </c>
      <c r="H96" s="96"/>
      <c r="I96" s="96"/>
    </row>
    <row r="97" spans="1:9" ht="18" customHeight="1" x14ac:dyDescent="0.25">
      <c r="A97" s="58"/>
      <c r="B97" s="59"/>
      <c r="C97" s="66" t="s">
        <v>107</v>
      </c>
      <c r="D97" s="61" t="s">
        <v>19</v>
      </c>
      <c r="E97" s="62"/>
      <c r="F97" s="282"/>
      <c r="G97" s="95">
        <f t="shared" si="1"/>
        <v>193.40000000000006</v>
      </c>
      <c r="H97" s="96"/>
      <c r="I97" s="96"/>
    </row>
    <row r="98" spans="1:9" ht="18" customHeight="1" x14ac:dyDescent="0.25">
      <c r="A98" s="58"/>
      <c r="B98" s="59"/>
      <c r="C98" s="66" t="s">
        <v>107</v>
      </c>
      <c r="D98" s="61" t="s">
        <v>19</v>
      </c>
      <c r="E98" s="62"/>
      <c r="F98" s="282"/>
      <c r="G98" s="95">
        <f t="shared" si="1"/>
        <v>193.40000000000006</v>
      </c>
      <c r="H98" s="96"/>
      <c r="I98" s="96"/>
    </row>
    <row r="99" spans="1:9" ht="18" customHeight="1" x14ac:dyDescent="0.25">
      <c r="A99" s="58"/>
      <c r="B99" s="59"/>
      <c r="C99" s="66" t="s">
        <v>107</v>
      </c>
      <c r="D99" s="61" t="s">
        <v>19</v>
      </c>
      <c r="E99" s="62"/>
      <c r="F99" s="282"/>
      <c r="G99" s="95">
        <f t="shared" si="1"/>
        <v>193.40000000000006</v>
      </c>
      <c r="H99" s="96"/>
      <c r="I99" s="96"/>
    </row>
    <row r="100" spans="1:9" ht="18" customHeight="1" x14ac:dyDescent="0.25">
      <c r="A100" s="58"/>
      <c r="B100" s="59"/>
      <c r="C100" s="66" t="s">
        <v>107</v>
      </c>
      <c r="D100" s="61" t="s">
        <v>19</v>
      </c>
      <c r="E100" s="62"/>
      <c r="F100" s="282"/>
      <c r="G100" s="95">
        <f t="shared" si="1"/>
        <v>193.40000000000006</v>
      </c>
      <c r="H100" s="96"/>
      <c r="I100" s="96"/>
    </row>
    <row r="101" spans="1:9" ht="18" customHeight="1" x14ac:dyDescent="0.25">
      <c r="A101" s="58"/>
      <c r="B101" s="59"/>
      <c r="C101" s="66" t="s">
        <v>107</v>
      </c>
      <c r="D101" s="61" t="s">
        <v>19</v>
      </c>
      <c r="E101" s="62"/>
      <c r="F101" s="282"/>
      <c r="G101" s="95">
        <f t="shared" si="1"/>
        <v>193.40000000000006</v>
      </c>
      <c r="H101" s="96"/>
      <c r="I101" s="99"/>
    </row>
    <row r="102" spans="1:9" ht="18" customHeight="1" x14ac:dyDescent="0.25">
      <c r="A102" s="58"/>
      <c r="B102" s="59"/>
      <c r="C102" s="66" t="s">
        <v>107</v>
      </c>
      <c r="D102" s="61" t="s">
        <v>19</v>
      </c>
      <c r="E102" s="62"/>
      <c r="F102" s="282"/>
      <c r="G102" s="95">
        <f t="shared" si="1"/>
        <v>193.40000000000006</v>
      </c>
      <c r="H102" s="96"/>
      <c r="I102" s="99"/>
    </row>
    <row r="103" spans="1:9" ht="18" customHeight="1" x14ac:dyDescent="0.25">
      <c r="A103" s="58"/>
      <c r="B103" s="59"/>
      <c r="C103" s="66" t="s">
        <v>107</v>
      </c>
      <c r="D103" s="61" t="s">
        <v>19</v>
      </c>
      <c r="E103" s="62"/>
      <c r="F103" s="282"/>
      <c r="G103" s="95">
        <f t="shared" si="1"/>
        <v>193.40000000000006</v>
      </c>
      <c r="H103" s="96"/>
      <c r="I103" s="99"/>
    </row>
    <row r="104" spans="1:9" ht="18" customHeight="1" x14ac:dyDescent="0.25">
      <c r="A104" s="58"/>
      <c r="B104" s="59"/>
      <c r="C104" s="66" t="s">
        <v>107</v>
      </c>
      <c r="D104" s="61" t="s">
        <v>19</v>
      </c>
      <c r="E104" s="62"/>
      <c r="F104" s="282"/>
      <c r="G104" s="95">
        <f t="shared" si="1"/>
        <v>193.40000000000006</v>
      </c>
      <c r="H104" s="96"/>
      <c r="I104" s="99"/>
    </row>
    <row r="105" spans="1:9" ht="18" customHeight="1" x14ac:dyDescent="0.25">
      <c r="A105" s="58"/>
      <c r="B105" s="59"/>
      <c r="C105" s="66" t="s">
        <v>107</v>
      </c>
      <c r="D105" s="61" t="s">
        <v>19</v>
      </c>
      <c r="E105" s="62"/>
      <c r="F105" s="282"/>
      <c r="G105" s="95">
        <f t="shared" si="1"/>
        <v>193.40000000000006</v>
      </c>
      <c r="H105" s="96"/>
      <c r="I105" s="99"/>
    </row>
    <row r="106" spans="1:9" ht="18" customHeight="1" x14ac:dyDescent="0.25">
      <c r="A106" s="58"/>
      <c r="B106" s="59"/>
      <c r="C106" s="66" t="s">
        <v>107</v>
      </c>
      <c r="D106" s="61" t="s">
        <v>19</v>
      </c>
      <c r="E106" s="62"/>
      <c r="F106" s="282"/>
      <c r="G106" s="95">
        <f t="shared" si="1"/>
        <v>193.40000000000006</v>
      </c>
      <c r="H106" s="96"/>
      <c r="I106" s="99"/>
    </row>
    <row r="107" spans="1:9" ht="18" customHeight="1" x14ac:dyDescent="0.25">
      <c r="A107" s="58"/>
      <c r="B107" s="59"/>
      <c r="C107" s="66" t="s">
        <v>107</v>
      </c>
      <c r="D107" s="61" t="s">
        <v>19</v>
      </c>
      <c r="E107" s="62"/>
      <c r="F107" s="282"/>
      <c r="G107" s="95">
        <f t="shared" si="1"/>
        <v>193.40000000000006</v>
      </c>
      <c r="H107" s="96"/>
      <c r="I107" s="99"/>
    </row>
    <row r="108" spans="1:9" ht="18" customHeight="1" x14ac:dyDescent="0.25">
      <c r="A108" s="58"/>
      <c r="B108" s="59"/>
      <c r="C108" s="66" t="s">
        <v>107</v>
      </c>
      <c r="D108" s="61" t="s">
        <v>19</v>
      </c>
      <c r="E108" s="62"/>
      <c r="F108" s="282"/>
      <c r="G108" s="95">
        <f t="shared" si="1"/>
        <v>193.40000000000006</v>
      </c>
      <c r="H108" s="96"/>
      <c r="I108" s="99"/>
    </row>
    <row r="109" spans="1:9" ht="18" customHeight="1" x14ac:dyDescent="0.25">
      <c r="A109" s="58"/>
      <c r="B109" s="59"/>
      <c r="C109" s="66" t="s">
        <v>107</v>
      </c>
      <c r="D109" s="61" t="s">
        <v>19</v>
      </c>
      <c r="E109" s="62"/>
      <c r="F109" s="282"/>
      <c r="G109" s="95">
        <f t="shared" si="1"/>
        <v>193.40000000000006</v>
      </c>
      <c r="H109" s="96"/>
      <c r="I109" s="99"/>
    </row>
    <row r="110" spans="1:9" ht="18" customHeight="1" x14ac:dyDescent="0.25">
      <c r="A110" s="58"/>
      <c r="B110" s="59"/>
      <c r="C110" s="66" t="s">
        <v>107</v>
      </c>
      <c r="D110" s="61" t="s">
        <v>19</v>
      </c>
      <c r="E110" s="62"/>
      <c r="F110" s="282"/>
      <c r="G110" s="95">
        <f t="shared" si="1"/>
        <v>193.40000000000006</v>
      </c>
      <c r="H110" s="96"/>
      <c r="I110" s="99"/>
    </row>
    <row r="111" spans="1:9" ht="18" customHeight="1" x14ac:dyDescent="0.25">
      <c r="A111" s="58"/>
      <c r="B111" s="59"/>
      <c r="C111" s="66" t="s">
        <v>107</v>
      </c>
      <c r="D111" s="61" t="s">
        <v>19</v>
      </c>
      <c r="E111" s="62"/>
      <c r="F111" s="282"/>
      <c r="G111" s="95">
        <f t="shared" si="1"/>
        <v>193.40000000000006</v>
      </c>
      <c r="H111" s="96"/>
      <c r="I111" s="99"/>
    </row>
    <row r="112" spans="1:9" ht="18" customHeight="1" x14ac:dyDescent="0.25">
      <c r="A112" s="58"/>
      <c r="B112" s="59"/>
      <c r="C112" s="66" t="s">
        <v>107</v>
      </c>
      <c r="D112" s="61" t="s">
        <v>19</v>
      </c>
      <c r="E112" s="62"/>
      <c r="F112" s="282"/>
      <c r="G112" s="95">
        <f t="shared" si="1"/>
        <v>193.40000000000006</v>
      </c>
      <c r="H112" s="96"/>
      <c r="I112" s="99"/>
    </row>
    <row r="113" spans="1:9" ht="18" customHeight="1" x14ac:dyDescent="0.25">
      <c r="A113" s="58"/>
      <c r="B113" s="59"/>
      <c r="C113" s="66" t="s">
        <v>107</v>
      </c>
      <c r="D113" s="61" t="s">
        <v>19</v>
      </c>
      <c r="E113" s="62"/>
      <c r="F113" s="282"/>
      <c r="G113" s="95">
        <f t="shared" si="1"/>
        <v>193.40000000000006</v>
      </c>
      <c r="H113" s="96"/>
      <c r="I113" s="99"/>
    </row>
    <row r="114" spans="1:9" ht="18" customHeight="1" x14ac:dyDescent="0.25">
      <c r="A114" s="58"/>
      <c r="B114" s="59"/>
      <c r="C114" s="66" t="s">
        <v>107</v>
      </c>
      <c r="D114" s="61" t="s">
        <v>19</v>
      </c>
      <c r="E114" s="62"/>
      <c r="F114" s="282"/>
      <c r="G114" s="95">
        <f t="shared" si="1"/>
        <v>193.40000000000006</v>
      </c>
      <c r="H114" s="96"/>
      <c r="I114" s="99"/>
    </row>
    <row r="115" spans="1:9" ht="18" customHeight="1" x14ac:dyDescent="0.25">
      <c r="A115" s="58"/>
      <c r="B115" s="59"/>
      <c r="C115" s="66" t="s">
        <v>107</v>
      </c>
      <c r="D115" s="61" t="s">
        <v>19</v>
      </c>
      <c r="E115" s="62"/>
      <c r="F115" s="282"/>
      <c r="G115" s="95">
        <f t="shared" si="1"/>
        <v>193.40000000000006</v>
      </c>
      <c r="H115" s="96"/>
      <c r="I115" s="99"/>
    </row>
    <row r="116" spans="1:9" ht="18" customHeight="1" x14ac:dyDescent="0.25">
      <c r="A116" s="58"/>
      <c r="B116" s="59"/>
      <c r="C116" s="66" t="s">
        <v>107</v>
      </c>
      <c r="D116" s="61" t="s">
        <v>19</v>
      </c>
      <c r="E116" s="62"/>
      <c r="F116" s="282"/>
      <c r="G116" s="95">
        <f t="shared" si="1"/>
        <v>193.40000000000006</v>
      </c>
      <c r="H116" s="96"/>
      <c r="I116" s="99"/>
    </row>
    <row r="117" spans="1:9" ht="18" customHeight="1" x14ac:dyDescent="0.25">
      <c r="A117" s="58"/>
      <c r="B117" s="59"/>
      <c r="C117" s="66" t="s">
        <v>107</v>
      </c>
      <c r="D117" s="61" t="s">
        <v>19</v>
      </c>
      <c r="E117" s="62"/>
      <c r="F117" s="282"/>
      <c r="G117" s="95">
        <f t="shared" si="1"/>
        <v>193.40000000000006</v>
      </c>
      <c r="H117" s="96"/>
      <c r="I117" s="99"/>
    </row>
    <row r="118" spans="1:9" ht="18" customHeight="1" x14ac:dyDescent="0.25">
      <c r="A118" s="58"/>
      <c r="B118" s="59"/>
      <c r="C118" s="66" t="s">
        <v>107</v>
      </c>
      <c r="D118" s="61" t="s">
        <v>19</v>
      </c>
      <c r="E118" s="62"/>
      <c r="F118" s="282"/>
      <c r="G118" s="95">
        <f t="shared" si="1"/>
        <v>193.40000000000006</v>
      </c>
      <c r="H118" s="96"/>
      <c r="I118" s="99"/>
    </row>
    <row r="119" spans="1:9" ht="18" customHeight="1" x14ac:dyDescent="0.25">
      <c r="A119" s="58"/>
      <c r="B119" s="59"/>
      <c r="C119" s="66" t="s">
        <v>107</v>
      </c>
      <c r="D119" s="61" t="s">
        <v>19</v>
      </c>
      <c r="E119" s="62"/>
      <c r="F119" s="282"/>
      <c r="G119" s="95">
        <f t="shared" si="1"/>
        <v>193.40000000000006</v>
      </c>
      <c r="H119" s="96"/>
      <c r="I119" s="99"/>
    </row>
    <row r="120" spans="1:9" ht="18" customHeight="1" x14ac:dyDescent="0.25">
      <c r="A120" s="58"/>
      <c r="B120" s="59"/>
      <c r="C120" s="66" t="s">
        <v>107</v>
      </c>
      <c r="D120" s="61" t="s">
        <v>19</v>
      </c>
      <c r="E120" s="62"/>
      <c r="F120" s="282"/>
      <c r="G120" s="95">
        <f t="shared" si="1"/>
        <v>193.40000000000006</v>
      </c>
      <c r="H120" s="96"/>
      <c r="I120" s="99"/>
    </row>
    <row r="121" spans="1:9" ht="18" customHeight="1" x14ac:dyDescent="0.25">
      <c r="A121" s="58"/>
      <c r="B121" s="59"/>
      <c r="C121" s="66" t="s">
        <v>107</v>
      </c>
      <c r="D121" s="61" t="s">
        <v>19</v>
      </c>
      <c r="E121" s="62"/>
      <c r="F121" s="282"/>
      <c r="G121" s="95">
        <f t="shared" si="1"/>
        <v>193.40000000000006</v>
      </c>
      <c r="H121" s="96"/>
      <c r="I121" s="99"/>
    </row>
    <row r="122" spans="1:9" ht="18" customHeight="1" x14ac:dyDescent="0.25">
      <c r="A122" s="58"/>
      <c r="B122" s="59"/>
      <c r="C122" s="66" t="s">
        <v>107</v>
      </c>
      <c r="D122" s="61" t="s">
        <v>19</v>
      </c>
      <c r="E122" s="62"/>
      <c r="F122" s="282"/>
      <c r="G122" s="95">
        <f t="shared" si="1"/>
        <v>193.40000000000006</v>
      </c>
      <c r="H122" s="96"/>
      <c r="I122" s="99"/>
    </row>
    <row r="123" spans="1:9" ht="18" customHeight="1" x14ac:dyDescent="0.25">
      <c r="A123" s="58"/>
      <c r="B123" s="59"/>
      <c r="C123" s="66" t="s">
        <v>107</v>
      </c>
      <c r="D123" s="61" t="s">
        <v>19</v>
      </c>
      <c r="E123" s="62"/>
      <c r="F123" s="282"/>
      <c r="G123" s="95">
        <f t="shared" si="1"/>
        <v>193.40000000000006</v>
      </c>
      <c r="H123" s="96"/>
      <c r="I123" s="99"/>
    </row>
    <row r="124" spans="1:9" ht="18" customHeight="1" x14ac:dyDescent="0.25">
      <c r="A124" s="58"/>
      <c r="B124" s="59"/>
      <c r="C124" s="66" t="s">
        <v>107</v>
      </c>
      <c r="D124" s="61" t="s">
        <v>19</v>
      </c>
      <c r="E124" s="62"/>
      <c r="F124" s="282"/>
      <c r="G124" s="95">
        <f t="shared" si="1"/>
        <v>193.40000000000006</v>
      </c>
      <c r="H124" s="96"/>
      <c r="I124" s="99"/>
    </row>
    <row r="125" spans="1:9" ht="18" customHeight="1" x14ac:dyDescent="0.25">
      <c r="A125" s="58"/>
      <c r="B125" s="59"/>
      <c r="C125" s="66" t="s">
        <v>107</v>
      </c>
      <c r="D125" s="61" t="s">
        <v>19</v>
      </c>
      <c r="E125" s="62"/>
      <c r="F125" s="282"/>
      <c r="G125" s="95">
        <f t="shared" si="1"/>
        <v>193.40000000000006</v>
      </c>
      <c r="H125" s="96"/>
      <c r="I125" s="99"/>
    </row>
    <row r="126" spans="1:9" ht="18" customHeight="1" x14ac:dyDescent="0.25">
      <c r="A126" s="58"/>
      <c r="B126" s="59"/>
      <c r="C126" s="66" t="s">
        <v>107</v>
      </c>
      <c r="D126" s="61" t="s">
        <v>19</v>
      </c>
      <c r="E126" s="62"/>
      <c r="F126" s="282"/>
      <c r="G126" s="95">
        <f t="shared" si="1"/>
        <v>193.40000000000006</v>
      </c>
      <c r="H126" s="96"/>
      <c r="I126" s="99"/>
    </row>
    <row r="127" spans="1:9" ht="18" customHeight="1" x14ac:dyDescent="0.25">
      <c r="A127" s="58"/>
      <c r="B127" s="59"/>
      <c r="C127" s="66" t="s">
        <v>107</v>
      </c>
      <c r="D127" s="61" t="s">
        <v>19</v>
      </c>
      <c r="E127" s="62"/>
      <c r="F127" s="282"/>
      <c r="G127" s="95">
        <f t="shared" si="1"/>
        <v>193.40000000000006</v>
      </c>
      <c r="H127" s="96"/>
      <c r="I127" s="99"/>
    </row>
    <row r="128" spans="1:9" ht="18" customHeight="1" x14ac:dyDescent="0.25">
      <c r="A128" s="58"/>
      <c r="B128" s="59"/>
      <c r="C128" s="66" t="s">
        <v>107</v>
      </c>
      <c r="D128" s="61" t="s">
        <v>19</v>
      </c>
      <c r="E128" s="62"/>
      <c r="F128" s="282"/>
      <c r="G128" s="95">
        <f t="shared" si="1"/>
        <v>193.40000000000006</v>
      </c>
      <c r="H128" s="96"/>
      <c r="I128" s="99"/>
    </row>
    <row r="129" spans="1:9" ht="18" customHeight="1" x14ac:dyDescent="0.25">
      <c r="A129" s="58"/>
      <c r="B129" s="59"/>
      <c r="C129" s="66" t="s">
        <v>107</v>
      </c>
      <c r="D129" s="61" t="s">
        <v>19</v>
      </c>
      <c r="E129" s="62"/>
      <c r="F129" s="282"/>
      <c r="G129" s="95">
        <f t="shared" si="1"/>
        <v>193.40000000000006</v>
      </c>
      <c r="H129" s="96"/>
      <c r="I129" s="99"/>
    </row>
    <row r="130" spans="1:9" ht="18" customHeight="1" x14ac:dyDescent="0.25">
      <c r="A130" s="58"/>
      <c r="B130" s="59"/>
      <c r="C130" s="66" t="s">
        <v>107</v>
      </c>
      <c r="D130" s="61" t="s">
        <v>19</v>
      </c>
      <c r="E130" s="62"/>
      <c r="F130" s="282"/>
      <c r="G130" s="95">
        <f t="shared" si="1"/>
        <v>193.40000000000006</v>
      </c>
      <c r="H130" s="96"/>
      <c r="I130" s="99"/>
    </row>
    <row r="131" spans="1:9" ht="18" customHeight="1" x14ac:dyDescent="0.25">
      <c r="A131" s="58"/>
      <c r="B131" s="59"/>
      <c r="C131" s="66" t="s">
        <v>107</v>
      </c>
      <c r="D131" s="61" t="s">
        <v>19</v>
      </c>
      <c r="E131" s="62"/>
      <c r="F131" s="282"/>
      <c r="G131" s="95">
        <f t="shared" si="1"/>
        <v>193.40000000000006</v>
      </c>
      <c r="H131" s="96"/>
      <c r="I131" s="99"/>
    </row>
    <row r="132" spans="1:9" ht="18" customHeight="1" x14ac:dyDescent="0.25">
      <c r="A132" s="58"/>
      <c r="B132" s="59"/>
      <c r="C132" s="66" t="s">
        <v>107</v>
      </c>
      <c r="D132" s="61" t="s">
        <v>19</v>
      </c>
      <c r="E132" s="62"/>
      <c r="F132" s="282"/>
      <c r="G132" s="95">
        <f t="shared" si="1"/>
        <v>193.40000000000006</v>
      </c>
      <c r="H132" s="96"/>
      <c r="I132" s="99"/>
    </row>
    <row r="133" spans="1:9" ht="18" customHeight="1" x14ac:dyDescent="0.25">
      <c r="A133" s="58"/>
      <c r="B133" s="59"/>
      <c r="C133" s="66" t="s">
        <v>107</v>
      </c>
      <c r="D133" s="61" t="s">
        <v>19</v>
      </c>
      <c r="E133" s="62"/>
      <c r="F133" s="282"/>
      <c r="G133" s="95">
        <f t="shared" si="1"/>
        <v>193.40000000000006</v>
      </c>
      <c r="H133" s="96"/>
      <c r="I133" s="99"/>
    </row>
    <row r="134" spans="1:9" ht="18" customHeight="1" x14ac:dyDescent="0.25">
      <c r="A134" s="58"/>
      <c r="B134" s="59"/>
      <c r="C134" s="66" t="s">
        <v>107</v>
      </c>
      <c r="D134" s="61" t="s">
        <v>19</v>
      </c>
      <c r="E134" s="62"/>
      <c r="F134" s="282"/>
      <c r="G134" s="95">
        <f t="shared" si="1"/>
        <v>193.40000000000006</v>
      </c>
      <c r="H134" s="96"/>
      <c r="I134" s="99"/>
    </row>
    <row r="135" spans="1:9" ht="18" customHeight="1" x14ac:dyDescent="0.25">
      <c r="A135" s="58"/>
      <c r="B135" s="59"/>
      <c r="C135" s="66" t="s">
        <v>107</v>
      </c>
      <c r="D135" s="61" t="s">
        <v>19</v>
      </c>
      <c r="E135" s="62"/>
      <c r="F135" s="282"/>
      <c r="G135" s="95">
        <f t="shared" si="1"/>
        <v>193.40000000000006</v>
      </c>
      <c r="H135" s="96"/>
      <c r="I135" s="99"/>
    </row>
    <row r="136" spans="1:9" ht="18" customHeight="1" x14ac:dyDescent="0.25">
      <c r="A136" s="58"/>
      <c r="B136" s="59"/>
      <c r="C136" s="66" t="s">
        <v>107</v>
      </c>
      <c r="D136" s="61" t="s">
        <v>19</v>
      </c>
      <c r="E136" s="62"/>
      <c r="F136" s="282"/>
      <c r="G136" s="95">
        <f t="shared" si="1"/>
        <v>193.40000000000006</v>
      </c>
      <c r="H136" s="96"/>
      <c r="I136" s="99"/>
    </row>
    <row r="137" spans="1:9" ht="18" customHeight="1" x14ac:dyDescent="0.25">
      <c r="A137" s="58"/>
      <c r="B137" s="59"/>
      <c r="C137" s="66" t="s">
        <v>107</v>
      </c>
      <c r="D137" s="61" t="s">
        <v>19</v>
      </c>
      <c r="E137" s="62"/>
      <c r="F137" s="282"/>
      <c r="G137" s="95">
        <f t="shared" si="1"/>
        <v>193.40000000000006</v>
      </c>
      <c r="H137" s="96"/>
      <c r="I137" s="99"/>
    </row>
    <row r="138" spans="1:9" ht="18" customHeight="1" x14ac:dyDescent="0.25">
      <c r="A138" s="58"/>
      <c r="B138" s="59"/>
      <c r="C138" s="66" t="s">
        <v>107</v>
      </c>
      <c r="D138" s="65" t="s">
        <v>19</v>
      </c>
      <c r="E138" s="62"/>
      <c r="F138" s="282"/>
      <c r="G138" s="95">
        <f t="shared" si="1"/>
        <v>193.40000000000006</v>
      </c>
      <c r="H138" s="96"/>
      <c r="I138" s="99"/>
    </row>
    <row r="139" spans="1:9" ht="18" customHeight="1" x14ac:dyDescent="0.25">
      <c r="A139" s="58"/>
      <c r="B139" s="59"/>
      <c r="C139" s="66" t="s">
        <v>107</v>
      </c>
      <c r="D139" s="65" t="s">
        <v>19</v>
      </c>
      <c r="E139" s="62"/>
      <c r="F139" s="282"/>
      <c r="G139" s="95">
        <f t="shared" si="1"/>
        <v>193.40000000000006</v>
      </c>
      <c r="H139" s="96"/>
      <c r="I139" s="99"/>
    </row>
    <row r="140" spans="1:9" ht="18" customHeight="1" x14ac:dyDescent="0.25">
      <c r="A140" s="58"/>
      <c r="B140" s="59"/>
      <c r="C140" s="66"/>
      <c r="D140" s="65" t="s">
        <v>19</v>
      </c>
      <c r="E140" s="62"/>
      <c r="F140" s="282"/>
      <c r="G140" s="95">
        <f t="shared" si="1"/>
        <v>193.40000000000006</v>
      </c>
      <c r="H140" s="96"/>
      <c r="I140" s="99"/>
    </row>
    <row r="141" spans="1:9" ht="18" customHeight="1" x14ac:dyDescent="0.25">
      <c r="A141" s="58"/>
      <c r="B141" s="59"/>
      <c r="C141" s="66"/>
      <c r="D141" s="65" t="s">
        <v>19</v>
      </c>
      <c r="E141" s="62"/>
      <c r="F141" s="282"/>
      <c r="G141" s="95">
        <f t="shared" ref="G141:G154" si="2">+G140+E141-F141</f>
        <v>193.40000000000006</v>
      </c>
      <c r="H141" s="96"/>
      <c r="I141" s="99"/>
    </row>
    <row r="142" spans="1:9" ht="18" customHeight="1" x14ac:dyDescent="0.25">
      <c r="A142" s="58"/>
      <c r="B142" s="59"/>
      <c r="C142" s="66"/>
      <c r="D142" s="65" t="s">
        <v>19</v>
      </c>
      <c r="E142" s="62"/>
      <c r="F142" s="282"/>
      <c r="G142" s="95">
        <f t="shared" si="2"/>
        <v>193.40000000000006</v>
      </c>
      <c r="H142" s="96"/>
      <c r="I142" s="99"/>
    </row>
    <row r="143" spans="1:9" ht="18" customHeight="1" x14ac:dyDescent="0.25">
      <c r="A143" s="58"/>
      <c r="B143" s="59"/>
      <c r="C143" s="66"/>
      <c r="D143" s="65" t="s">
        <v>19</v>
      </c>
      <c r="E143" s="62"/>
      <c r="F143" s="282"/>
      <c r="G143" s="95">
        <f t="shared" si="2"/>
        <v>193.40000000000006</v>
      </c>
      <c r="H143" s="96"/>
      <c r="I143" s="99"/>
    </row>
    <row r="144" spans="1:9" ht="18" customHeight="1" x14ac:dyDescent="0.25">
      <c r="A144" s="58"/>
      <c r="B144" s="59"/>
      <c r="C144" s="66"/>
      <c r="D144" s="65" t="s">
        <v>19</v>
      </c>
      <c r="E144" s="62"/>
      <c r="F144" s="282"/>
      <c r="G144" s="95">
        <f t="shared" si="2"/>
        <v>193.40000000000006</v>
      </c>
      <c r="H144" s="96"/>
      <c r="I144" s="99"/>
    </row>
    <row r="145" spans="1:9" ht="18" customHeight="1" x14ac:dyDescent="0.25">
      <c r="A145" s="58"/>
      <c r="B145" s="59"/>
      <c r="C145" s="66"/>
      <c r="D145" s="65" t="s">
        <v>19</v>
      </c>
      <c r="E145" s="62"/>
      <c r="F145" s="282"/>
      <c r="G145" s="95">
        <f t="shared" si="2"/>
        <v>193.40000000000006</v>
      </c>
      <c r="H145" s="96"/>
      <c r="I145" s="99"/>
    </row>
    <row r="146" spans="1:9" ht="18" customHeight="1" x14ac:dyDescent="0.25">
      <c r="A146" s="58"/>
      <c r="B146" s="59"/>
      <c r="C146" s="66"/>
      <c r="D146" s="65" t="s">
        <v>19</v>
      </c>
      <c r="E146" s="62"/>
      <c r="F146" s="282"/>
      <c r="G146" s="95">
        <f t="shared" si="2"/>
        <v>193.40000000000006</v>
      </c>
      <c r="H146" s="96"/>
      <c r="I146" s="99"/>
    </row>
    <row r="147" spans="1:9" ht="18" customHeight="1" x14ac:dyDescent="0.25">
      <c r="A147" s="58"/>
      <c r="B147" s="59"/>
      <c r="C147" s="66"/>
      <c r="D147" s="65" t="s">
        <v>19</v>
      </c>
      <c r="E147" s="62"/>
      <c r="F147" s="282"/>
      <c r="G147" s="95">
        <f t="shared" si="2"/>
        <v>193.40000000000006</v>
      </c>
      <c r="H147" s="96"/>
      <c r="I147" s="99"/>
    </row>
    <row r="148" spans="1:9" ht="18" customHeight="1" x14ac:dyDescent="0.25">
      <c r="A148" s="58"/>
      <c r="B148" s="59"/>
      <c r="C148" s="66"/>
      <c r="D148" s="65" t="s">
        <v>19</v>
      </c>
      <c r="E148" s="62"/>
      <c r="F148" s="282"/>
      <c r="G148" s="95">
        <f t="shared" si="2"/>
        <v>193.40000000000006</v>
      </c>
      <c r="H148" s="96"/>
      <c r="I148" s="99"/>
    </row>
    <row r="149" spans="1:9" ht="18" customHeight="1" x14ac:dyDescent="0.25">
      <c r="A149" s="58"/>
      <c r="B149" s="59"/>
      <c r="C149" s="66"/>
      <c r="D149" s="65" t="s">
        <v>19</v>
      </c>
      <c r="E149" s="62"/>
      <c r="F149" s="282"/>
      <c r="G149" s="95">
        <f t="shared" si="2"/>
        <v>193.40000000000006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193.40000000000006</v>
      </c>
      <c r="H150" s="96"/>
      <c r="I150" s="99"/>
    </row>
    <row r="151" spans="1:9" ht="18" customHeight="1" x14ac:dyDescent="0.25">
      <c r="A151" s="58"/>
      <c r="B151" s="59"/>
      <c r="C151" s="66"/>
      <c r="D151" s="65" t="s">
        <v>19</v>
      </c>
      <c r="E151" s="62"/>
      <c r="F151" s="282"/>
      <c r="G151" s="95">
        <f t="shared" si="2"/>
        <v>193.40000000000006</v>
      </c>
      <c r="H151" s="96"/>
      <c r="I151" s="99"/>
    </row>
    <row r="152" spans="1:9" ht="18" customHeight="1" x14ac:dyDescent="0.25">
      <c r="A152" s="58"/>
      <c r="B152" s="59"/>
      <c r="C152" s="66"/>
      <c r="D152" s="65" t="s">
        <v>19</v>
      </c>
      <c r="E152" s="62"/>
      <c r="F152" s="282"/>
      <c r="G152" s="95">
        <f t="shared" si="2"/>
        <v>193.40000000000006</v>
      </c>
      <c r="H152" s="104"/>
      <c r="I152" s="99"/>
    </row>
    <row r="153" spans="1:9" x14ac:dyDescent="0.25">
      <c r="A153" s="65"/>
      <c r="B153" s="59"/>
      <c r="C153" s="105"/>
      <c r="D153" s="65" t="s">
        <v>19</v>
      </c>
      <c r="E153" s="289"/>
      <c r="F153" s="283"/>
      <c r="G153" s="95">
        <f t="shared" si="2"/>
        <v>193.40000000000006</v>
      </c>
      <c r="H153" s="106"/>
      <c r="I153" s="86"/>
    </row>
    <row r="154" spans="1:9" x14ac:dyDescent="0.25">
      <c r="A154" s="65"/>
      <c r="B154" s="73"/>
      <c r="C154" s="58"/>
      <c r="D154" s="65" t="s">
        <v>19</v>
      </c>
      <c r="E154" s="290"/>
      <c r="F154" s="284"/>
      <c r="G154" s="95">
        <f t="shared" si="2"/>
        <v>193.40000000000006</v>
      </c>
      <c r="H154" s="107"/>
      <c r="I154" s="86"/>
    </row>
    <row r="155" spans="1:9" x14ac:dyDescent="0.25">
      <c r="A155" s="58"/>
      <c r="B155" s="58"/>
      <c r="C155" s="81" t="s">
        <v>13</v>
      </c>
      <c r="D155" s="65"/>
      <c r="E155" s="285">
        <f>SUM(E9:E154)</f>
        <v>0</v>
      </c>
      <c r="F155" s="285">
        <f>SUM(F9:F154)</f>
        <v>181.59999999999994</v>
      </c>
      <c r="G155" s="320">
        <f>E155-F155+G8</f>
        <v>193.40000000000006</v>
      </c>
      <c r="H155" s="108"/>
      <c r="I155" s="109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D784-9565-43BF-9507-76015A6D9575}">
  <sheetPr codeName="Sheet12"/>
  <dimension ref="A1:P153"/>
  <sheetViews>
    <sheetView topLeftCell="A40" workbookViewId="0">
      <selection activeCell="E65" sqref="E65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21.57031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27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>
        <v>552</v>
      </c>
      <c r="H8" s="92"/>
      <c r="I8" s="93"/>
    </row>
    <row r="9" spans="1:10" ht="18" customHeight="1" x14ac:dyDescent="0.25">
      <c r="A9" s="58"/>
      <c r="B9" s="59">
        <v>45670</v>
      </c>
      <c r="C9" s="66" t="s">
        <v>189</v>
      </c>
      <c r="D9" s="61" t="s">
        <v>19</v>
      </c>
      <c r="E9" s="62"/>
      <c r="F9" s="62">
        <v>1.6</v>
      </c>
      <c r="G9" s="95">
        <f>+G8+E9-F9</f>
        <v>550.4</v>
      </c>
      <c r="H9" s="96" t="s">
        <v>129</v>
      </c>
      <c r="I9" s="96" t="s">
        <v>90</v>
      </c>
    </row>
    <row r="10" spans="1:10" ht="18" customHeight="1" x14ac:dyDescent="0.25">
      <c r="A10" s="58"/>
      <c r="B10" s="59">
        <v>45671</v>
      </c>
      <c r="C10" s="66" t="s">
        <v>189</v>
      </c>
      <c r="D10" s="61" t="s">
        <v>19</v>
      </c>
      <c r="E10" s="62"/>
      <c r="F10" s="97">
        <v>4.5</v>
      </c>
      <c r="G10" s="95">
        <f t="shared" ref="G10:G73" si="0">+G9+E10-F10</f>
        <v>545.9</v>
      </c>
      <c r="H10" s="96" t="s">
        <v>129</v>
      </c>
      <c r="I10" s="96" t="s">
        <v>90</v>
      </c>
    </row>
    <row r="11" spans="1:10" ht="18" customHeight="1" x14ac:dyDescent="0.25">
      <c r="A11" s="58"/>
      <c r="B11" s="70">
        <v>45672</v>
      </c>
      <c r="C11" s="66" t="s">
        <v>189</v>
      </c>
      <c r="D11" s="61" t="s">
        <v>19</v>
      </c>
      <c r="E11" s="62"/>
      <c r="F11" s="97">
        <v>3.3</v>
      </c>
      <c r="G11" s="95">
        <f t="shared" si="0"/>
        <v>542.6</v>
      </c>
      <c r="H11" s="96" t="s">
        <v>129</v>
      </c>
      <c r="I11" s="96" t="s">
        <v>90</v>
      </c>
    </row>
    <row r="12" spans="1:10" ht="18" customHeight="1" x14ac:dyDescent="0.25">
      <c r="A12" s="58"/>
      <c r="B12" s="59">
        <v>45673</v>
      </c>
      <c r="C12" s="66" t="s">
        <v>189</v>
      </c>
      <c r="D12" s="61" t="s">
        <v>19</v>
      </c>
      <c r="E12" s="62"/>
      <c r="F12" s="97">
        <v>6.2</v>
      </c>
      <c r="G12" s="95">
        <f t="shared" si="0"/>
        <v>536.4</v>
      </c>
      <c r="H12" s="96" t="s">
        <v>129</v>
      </c>
      <c r="I12" s="96" t="s">
        <v>90</v>
      </c>
    </row>
    <row r="13" spans="1:10" ht="18" customHeight="1" x14ac:dyDescent="0.25">
      <c r="A13" s="58"/>
      <c r="B13" s="59">
        <v>45674</v>
      </c>
      <c r="C13" s="66" t="s">
        <v>189</v>
      </c>
      <c r="D13" s="61" t="s">
        <v>19</v>
      </c>
      <c r="E13" s="62"/>
      <c r="F13" s="97">
        <v>1.8</v>
      </c>
      <c r="G13" s="95">
        <f t="shared" si="0"/>
        <v>534.6</v>
      </c>
      <c r="H13" s="96" t="s">
        <v>129</v>
      </c>
      <c r="I13" s="96" t="s">
        <v>90</v>
      </c>
    </row>
    <row r="14" spans="1:10" ht="18" customHeight="1" x14ac:dyDescent="0.25">
      <c r="A14" s="58"/>
      <c r="B14" s="59">
        <v>45681</v>
      </c>
      <c r="C14" s="66" t="s">
        <v>189</v>
      </c>
      <c r="D14" s="61" t="s">
        <v>19</v>
      </c>
      <c r="E14" s="62"/>
      <c r="F14" s="97">
        <v>1</v>
      </c>
      <c r="G14" s="95">
        <f t="shared" si="0"/>
        <v>533.6</v>
      </c>
      <c r="H14" s="96" t="s">
        <v>129</v>
      </c>
      <c r="I14" s="96" t="s">
        <v>90</v>
      </c>
    </row>
    <row r="15" spans="1:10" ht="18" customHeight="1" x14ac:dyDescent="0.25">
      <c r="A15" s="58"/>
      <c r="B15" s="59">
        <v>45690</v>
      </c>
      <c r="C15" s="66" t="s">
        <v>189</v>
      </c>
      <c r="D15" s="61" t="s">
        <v>19</v>
      </c>
      <c r="E15" s="62"/>
      <c r="F15" s="97">
        <v>0.8</v>
      </c>
      <c r="G15" s="95">
        <f t="shared" si="0"/>
        <v>532.80000000000007</v>
      </c>
      <c r="H15" s="96" t="s">
        <v>129</v>
      </c>
      <c r="I15" s="96" t="s">
        <v>90</v>
      </c>
    </row>
    <row r="16" spans="1:10" ht="18" customHeight="1" x14ac:dyDescent="0.25">
      <c r="A16" s="58"/>
      <c r="B16" s="59">
        <v>45691</v>
      </c>
      <c r="C16" s="66" t="s">
        <v>189</v>
      </c>
      <c r="D16" s="61" t="s">
        <v>19</v>
      </c>
      <c r="E16" s="62"/>
      <c r="F16" s="97">
        <v>3.6</v>
      </c>
      <c r="G16" s="95">
        <f t="shared" si="0"/>
        <v>529.20000000000005</v>
      </c>
      <c r="H16" s="96" t="s">
        <v>129</v>
      </c>
      <c r="I16" s="96" t="s">
        <v>90</v>
      </c>
      <c r="J16" s="72"/>
    </row>
    <row r="17" spans="1:10" ht="18" customHeight="1" x14ac:dyDescent="0.25">
      <c r="A17" s="58"/>
      <c r="B17" s="98">
        <v>45692</v>
      </c>
      <c r="C17" s="66" t="s">
        <v>189</v>
      </c>
      <c r="D17" s="61" t="s">
        <v>19</v>
      </c>
      <c r="E17" s="62"/>
      <c r="F17" s="62">
        <v>5.5</v>
      </c>
      <c r="G17" s="95">
        <f t="shared" si="0"/>
        <v>523.70000000000005</v>
      </c>
      <c r="H17" s="96" t="s">
        <v>129</v>
      </c>
      <c r="I17" s="96" t="s">
        <v>90</v>
      </c>
      <c r="J17" s="72"/>
    </row>
    <row r="18" spans="1:10" ht="18" customHeight="1" x14ac:dyDescent="0.25">
      <c r="A18" s="100"/>
      <c r="B18" s="101">
        <v>45706</v>
      </c>
      <c r="C18" s="350" t="s">
        <v>189</v>
      </c>
      <c r="D18" s="351" t="s">
        <v>19</v>
      </c>
      <c r="E18" s="288"/>
      <c r="F18" s="281">
        <v>6.7</v>
      </c>
      <c r="G18" s="352">
        <f t="shared" si="0"/>
        <v>517</v>
      </c>
      <c r="H18" s="353" t="s">
        <v>129</v>
      </c>
      <c r="I18" s="354" t="s">
        <v>248</v>
      </c>
      <c r="J18" s="72"/>
    </row>
    <row r="19" spans="1:10" ht="18" customHeight="1" x14ac:dyDescent="0.25">
      <c r="A19" s="58"/>
      <c r="B19" s="59">
        <v>45707</v>
      </c>
      <c r="C19" s="66" t="s">
        <v>189</v>
      </c>
      <c r="D19" s="61" t="s">
        <v>19</v>
      </c>
      <c r="E19" s="62"/>
      <c r="F19" s="97">
        <v>6.4</v>
      </c>
      <c r="G19" s="95">
        <f t="shared" si="0"/>
        <v>510.6</v>
      </c>
      <c r="H19" s="96" t="s">
        <v>129</v>
      </c>
      <c r="I19" s="96" t="s">
        <v>90</v>
      </c>
      <c r="J19" s="72"/>
    </row>
    <row r="20" spans="1:10" ht="18" customHeight="1" x14ac:dyDescent="0.25">
      <c r="A20" s="58"/>
      <c r="B20" s="59">
        <v>45708</v>
      </c>
      <c r="C20" s="66" t="s">
        <v>189</v>
      </c>
      <c r="D20" s="61" t="s">
        <v>19</v>
      </c>
      <c r="E20" s="62"/>
      <c r="F20" s="97">
        <v>5.2</v>
      </c>
      <c r="G20" s="95">
        <f t="shared" si="0"/>
        <v>505.40000000000003</v>
      </c>
      <c r="H20" s="96" t="s">
        <v>129</v>
      </c>
      <c r="I20" s="96" t="s">
        <v>90</v>
      </c>
      <c r="J20" s="72"/>
    </row>
    <row r="21" spans="1:10" ht="18" customHeight="1" x14ac:dyDescent="0.25">
      <c r="A21" s="58"/>
      <c r="B21" s="59">
        <v>45709</v>
      </c>
      <c r="C21" s="66" t="s">
        <v>189</v>
      </c>
      <c r="D21" s="61" t="s">
        <v>19</v>
      </c>
      <c r="E21" s="62"/>
      <c r="F21" s="97">
        <v>2.2999999999999998</v>
      </c>
      <c r="G21" s="95">
        <f t="shared" si="0"/>
        <v>503.1</v>
      </c>
      <c r="H21" s="96" t="s">
        <v>129</v>
      </c>
      <c r="I21" s="96" t="s">
        <v>90</v>
      </c>
      <c r="J21" s="72"/>
    </row>
    <row r="22" spans="1:10" ht="18" customHeight="1" x14ac:dyDescent="0.25">
      <c r="A22" s="58"/>
      <c r="B22" s="59">
        <v>45730</v>
      </c>
      <c r="C22" s="66" t="s">
        <v>189</v>
      </c>
      <c r="D22" s="61" t="s">
        <v>19</v>
      </c>
      <c r="E22" s="62"/>
      <c r="F22" s="62">
        <v>6.8</v>
      </c>
      <c r="G22" s="95">
        <f t="shared" si="0"/>
        <v>496.3</v>
      </c>
      <c r="H22" s="96" t="s">
        <v>129</v>
      </c>
      <c r="I22" s="460" t="s">
        <v>374</v>
      </c>
      <c r="J22" s="461"/>
    </row>
    <row r="23" spans="1:10" ht="18" customHeight="1" x14ac:dyDescent="0.25">
      <c r="A23" s="58"/>
      <c r="B23" s="59">
        <v>45757</v>
      </c>
      <c r="C23" s="66" t="s">
        <v>189</v>
      </c>
      <c r="D23" s="61" t="s">
        <v>19</v>
      </c>
      <c r="E23" s="62"/>
      <c r="F23" s="97">
        <v>4.0999999999999996</v>
      </c>
      <c r="G23" s="95">
        <f t="shared" si="0"/>
        <v>492.2</v>
      </c>
      <c r="H23" s="96" t="s">
        <v>129</v>
      </c>
      <c r="I23" s="96" t="s">
        <v>90</v>
      </c>
      <c r="J23" s="72"/>
    </row>
    <row r="24" spans="1:10" ht="18" customHeight="1" x14ac:dyDescent="0.25">
      <c r="A24" s="58"/>
      <c r="B24" s="59">
        <v>45758</v>
      </c>
      <c r="C24" s="66" t="s">
        <v>189</v>
      </c>
      <c r="D24" s="61" t="s">
        <v>19</v>
      </c>
      <c r="E24" s="62"/>
      <c r="F24" s="97">
        <v>5.9</v>
      </c>
      <c r="G24" s="95">
        <f t="shared" si="0"/>
        <v>486.3</v>
      </c>
      <c r="H24" s="96" t="s">
        <v>129</v>
      </c>
      <c r="I24" s="96" t="s">
        <v>257</v>
      </c>
    </row>
    <row r="25" spans="1:10" ht="18" customHeight="1" x14ac:dyDescent="0.25">
      <c r="A25" s="58"/>
      <c r="B25" s="59">
        <v>45759</v>
      </c>
      <c r="C25" s="66" t="s">
        <v>189</v>
      </c>
      <c r="D25" s="61" t="s">
        <v>19</v>
      </c>
      <c r="E25" s="62"/>
      <c r="F25" s="97">
        <v>8.8000000000000007</v>
      </c>
      <c r="G25" s="95">
        <f t="shared" si="0"/>
        <v>477.5</v>
      </c>
      <c r="H25" s="96" t="s">
        <v>129</v>
      </c>
      <c r="I25" s="96" t="s">
        <v>90</v>
      </c>
    </row>
    <row r="26" spans="1:10" ht="18" customHeight="1" x14ac:dyDescent="0.25">
      <c r="A26" s="58"/>
      <c r="B26" s="59">
        <v>45761</v>
      </c>
      <c r="C26" s="66" t="s">
        <v>189</v>
      </c>
      <c r="D26" s="61" t="s">
        <v>19</v>
      </c>
      <c r="E26" s="62"/>
      <c r="F26" s="97">
        <v>7.5</v>
      </c>
      <c r="G26" s="95">
        <f t="shared" si="0"/>
        <v>470</v>
      </c>
      <c r="H26" s="96" t="s">
        <v>129</v>
      </c>
      <c r="I26" s="96" t="s">
        <v>90</v>
      </c>
    </row>
    <row r="27" spans="1:10" s="102" customFormat="1" ht="18" customHeight="1" x14ac:dyDescent="0.25">
      <c r="A27" s="100"/>
      <c r="B27" s="101">
        <v>45771</v>
      </c>
      <c r="C27" s="66" t="s">
        <v>189</v>
      </c>
      <c r="D27" s="61" t="s">
        <v>19</v>
      </c>
      <c r="E27" s="288"/>
      <c r="F27" s="281">
        <v>7.5</v>
      </c>
      <c r="G27" s="95">
        <f t="shared" si="0"/>
        <v>462.5</v>
      </c>
      <c r="H27" s="96" t="s">
        <v>129</v>
      </c>
      <c r="I27" s="96" t="s">
        <v>90</v>
      </c>
    </row>
    <row r="28" spans="1:10" ht="18" customHeight="1" x14ac:dyDescent="0.25">
      <c r="A28" s="58"/>
      <c r="B28" s="59">
        <v>45773</v>
      </c>
      <c r="C28" s="66" t="s">
        <v>189</v>
      </c>
      <c r="D28" s="61" t="s">
        <v>19</v>
      </c>
      <c r="E28" s="62"/>
      <c r="F28" s="97">
        <v>4.8</v>
      </c>
      <c r="G28" s="95">
        <f t="shared" si="0"/>
        <v>457.7</v>
      </c>
      <c r="H28" s="96" t="s">
        <v>129</v>
      </c>
      <c r="I28" s="96" t="s">
        <v>90</v>
      </c>
    </row>
    <row r="29" spans="1:10" ht="18" customHeight="1" x14ac:dyDescent="0.25">
      <c r="A29" s="58"/>
      <c r="B29" s="59">
        <v>45775</v>
      </c>
      <c r="C29" s="66" t="s">
        <v>189</v>
      </c>
      <c r="D29" s="61" t="s">
        <v>19</v>
      </c>
      <c r="E29" s="62"/>
      <c r="F29" s="62">
        <v>7.5</v>
      </c>
      <c r="G29" s="95">
        <f t="shared" si="0"/>
        <v>450.2</v>
      </c>
      <c r="H29" s="96" t="s">
        <v>129</v>
      </c>
      <c r="I29" s="96" t="s">
        <v>90</v>
      </c>
    </row>
    <row r="30" spans="1:10" ht="18" customHeight="1" x14ac:dyDescent="0.25">
      <c r="A30" s="58"/>
      <c r="B30" s="59">
        <v>45776</v>
      </c>
      <c r="C30" s="66" t="s">
        <v>189</v>
      </c>
      <c r="D30" s="61" t="s">
        <v>19</v>
      </c>
      <c r="E30" s="62"/>
      <c r="F30" s="62">
        <v>2</v>
      </c>
      <c r="G30" s="95">
        <f t="shared" si="0"/>
        <v>448.2</v>
      </c>
      <c r="H30" s="96" t="s">
        <v>129</v>
      </c>
      <c r="I30" s="96" t="s">
        <v>90</v>
      </c>
    </row>
    <row r="31" spans="1:10" ht="18" customHeight="1" x14ac:dyDescent="0.25">
      <c r="A31" s="58"/>
      <c r="B31" s="59">
        <v>45783</v>
      </c>
      <c r="C31" s="66" t="s">
        <v>189</v>
      </c>
      <c r="D31" s="61" t="s">
        <v>19</v>
      </c>
      <c r="E31" s="62"/>
      <c r="F31" s="62">
        <v>2.1</v>
      </c>
      <c r="G31" s="95">
        <f t="shared" si="0"/>
        <v>446.09999999999997</v>
      </c>
      <c r="H31" s="96" t="s">
        <v>129</v>
      </c>
      <c r="I31" s="96" t="s">
        <v>90</v>
      </c>
    </row>
    <row r="32" spans="1:10" ht="18" customHeight="1" x14ac:dyDescent="0.25">
      <c r="A32" s="58"/>
      <c r="B32" s="59">
        <v>45784</v>
      </c>
      <c r="C32" s="66" t="s">
        <v>189</v>
      </c>
      <c r="D32" s="61" t="s">
        <v>19</v>
      </c>
      <c r="E32" s="62"/>
      <c r="F32" s="62">
        <v>12.3</v>
      </c>
      <c r="G32" s="95">
        <f t="shared" si="0"/>
        <v>433.79999999999995</v>
      </c>
      <c r="H32" s="96" t="s">
        <v>129</v>
      </c>
      <c r="I32" s="96" t="s">
        <v>90</v>
      </c>
    </row>
    <row r="33" spans="1:16" ht="18" customHeight="1" x14ac:dyDescent="0.25">
      <c r="A33" s="58"/>
      <c r="B33" s="59">
        <v>45786</v>
      </c>
      <c r="C33" s="66" t="s">
        <v>189</v>
      </c>
      <c r="D33" s="61" t="s">
        <v>19</v>
      </c>
      <c r="E33" s="62"/>
      <c r="F33" s="62">
        <v>7.6</v>
      </c>
      <c r="G33" s="95">
        <f t="shared" si="0"/>
        <v>426.19999999999993</v>
      </c>
      <c r="H33" s="96" t="s">
        <v>129</v>
      </c>
      <c r="I33" s="96" t="s">
        <v>90</v>
      </c>
    </row>
    <row r="34" spans="1:16" ht="18" customHeight="1" x14ac:dyDescent="0.25">
      <c r="A34" s="58"/>
      <c r="B34" s="59">
        <v>45787</v>
      </c>
      <c r="C34" s="66" t="s">
        <v>189</v>
      </c>
      <c r="D34" s="61" t="s">
        <v>19</v>
      </c>
      <c r="E34" s="62"/>
      <c r="F34" s="62">
        <v>6.5</v>
      </c>
      <c r="G34" s="95">
        <f t="shared" si="0"/>
        <v>419.69999999999993</v>
      </c>
      <c r="H34" s="96" t="s">
        <v>129</v>
      </c>
      <c r="I34" s="96" t="s">
        <v>90</v>
      </c>
    </row>
    <row r="35" spans="1:16" ht="18" customHeight="1" x14ac:dyDescent="0.25">
      <c r="A35" s="58"/>
      <c r="B35" s="59">
        <v>45790</v>
      </c>
      <c r="C35" s="66" t="s">
        <v>189</v>
      </c>
      <c r="D35" s="61" t="s">
        <v>19</v>
      </c>
      <c r="E35" s="62"/>
      <c r="F35" s="62">
        <v>4.5999999999999996</v>
      </c>
      <c r="G35" s="95">
        <f t="shared" si="0"/>
        <v>415.09999999999991</v>
      </c>
      <c r="H35" s="96" t="s">
        <v>129</v>
      </c>
      <c r="I35" s="96" t="s">
        <v>90</v>
      </c>
    </row>
    <row r="36" spans="1:16" ht="18" customHeight="1" x14ac:dyDescent="0.25">
      <c r="A36" s="58"/>
      <c r="B36" s="59">
        <v>45809</v>
      </c>
      <c r="C36" s="66" t="s">
        <v>189</v>
      </c>
      <c r="D36" s="61" t="s">
        <v>19</v>
      </c>
      <c r="E36" s="62"/>
      <c r="F36" s="62">
        <v>0.7</v>
      </c>
      <c r="G36" s="95">
        <f t="shared" si="0"/>
        <v>414.39999999999992</v>
      </c>
      <c r="H36" s="96" t="s">
        <v>129</v>
      </c>
      <c r="I36" s="96" t="s">
        <v>90</v>
      </c>
    </row>
    <row r="37" spans="1:16" ht="18" customHeight="1" x14ac:dyDescent="0.25">
      <c r="A37" s="58"/>
      <c r="B37" s="59">
        <v>45810</v>
      </c>
      <c r="C37" s="66" t="s">
        <v>189</v>
      </c>
      <c r="D37" s="61" t="s">
        <v>19</v>
      </c>
      <c r="E37" s="62"/>
      <c r="F37" s="62">
        <v>10.6</v>
      </c>
      <c r="G37" s="95">
        <f t="shared" si="0"/>
        <v>403.7999999999999</v>
      </c>
      <c r="H37" s="96" t="s">
        <v>129</v>
      </c>
      <c r="I37" s="96" t="s">
        <v>90</v>
      </c>
    </row>
    <row r="38" spans="1:16" ht="18" customHeight="1" x14ac:dyDescent="0.25">
      <c r="A38" s="58"/>
      <c r="B38" s="59">
        <v>45824</v>
      </c>
      <c r="C38" s="66" t="s">
        <v>189</v>
      </c>
      <c r="D38" s="61" t="s">
        <v>19</v>
      </c>
      <c r="E38" s="62"/>
      <c r="F38" s="62">
        <v>5.4</v>
      </c>
      <c r="G38" s="95">
        <f t="shared" si="0"/>
        <v>398.39999999999992</v>
      </c>
      <c r="H38" s="96" t="s">
        <v>129</v>
      </c>
      <c r="I38" s="96" t="s">
        <v>90</v>
      </c>
    </row>
    <row r="39" spans="1:16" ht="18" customHeight="1" x14ac:dyDescent="0.25">
      <c r="A39" s="58"/>
      <c r="B39" s="59">
        <v>45825</v>
      </c>
      <c r="C39" s="66" t="s">
        <v>189</v>
      </c>
      <c r="D39" s="61" t="s">
        <v>19</v>
      </c>
      <c r="E39" s="62"/>
      <c r="F39" s="62">
        <v>2</v>
      </c>
      <c r="G39" s="95">
        <f t="shared" si="0"/>
        <v>396.39999999999992</v>
      </c>
      <c r="H39" s="96" t="s">
        <v>129</v>
      </c>
      <c r="I39" s="96" t="s">
        <v>90</v>
      </c>
    </row>
    <row r="40" spans="1:16" ht="18" customHeight="1" x14ac:dyDescent="0.25">
      <c r="A40" s="58"/>
      <c r="B40" s="59">
        <v>45834</v>
      </c>
      <c r="C40" s="66" t="s">
        <v>189</v>
      </c>
      <c r="D40" s="61" t="s">
        <v>19</v>
      </c>
      <c r="E40" s="62"/>
      <c r="F40" s="103">
        <v>8.3000000000000007</v>
      </c>
      <c r="G40" s="352">
        <f t="shared" si="0"/>
        <v>388.09999999999991</v>
      </c>
      <c r="H40" s="96" t="s">
        <v>93</v>
      </c>
      <c r="I40" s="96" t="s">
        <v>90</v>
      </c>
    </row>
    <row r="41" spans="1:16" ht="18" customHeight="1" x14ac:dyDescent="0.25">
      <c r="A41" s="58"/>
      <c r="B41" s="59">
        <v>45835</v>
      </c>
      <c r="C41" s="66" t="s">
        <v>189</v>
      </c>
      <c r="D41" s="61" t="s">
        <v>19</v>
      </c>
      <c r="E41" s="62"/>
      <c r="F41" s="103">
        <v>7.7</v>
      </c>
      <c r="G41" s="95">
        <f t="shared" si="0"/>
        <v>380.39999999999992</v>
      </c>
      <c r="H41" s="96" t="s">
        <v>93</v>
      </c>
      <c r="I41" s="96" t="s">
        <v>90</v>
      </c>
    </row>
    <row r="42" spans="1:16" ht="18" customHeight="1" x14ac:dyDescent="0.25">
      <c r="A42" s="58"/>
      <c r="B42" s="59">
        <v>45843</v>
      </c>
      <c r="C42" s="66" t="s">
        <v>189</v>
      </c>
      <c r="D42" s="61" t="s">
        <v>19</v>
      </c>
      <c r="E42" s="62"/>
      <c r="F42" s="103">
        <v>5.6</v>
      </c>
      <c r="G42" s="95">
        <f t="shared" si="0"/>
        <v>374.7999999999999</v>
      </c>
      <c r="H42" s="96" t="s">
        <v>93</v>
      </c>
      <c r="I42" s="96" t="s">
        <v>90</v>
      </c>
    </row>
    <row r="43" spans="1:16" ht="18" customHeight="1" x14ac:dyDescent="0.25">
      <c r="A43" s="58"/>
      <c r="B43" s="59">
        <v>45845</v>
      </c>
      <c r="C43" s="66" t="s">
        <v>189</v>
      </c>
      <c r="D43" s="61" t="s">
        <v>19</v>
      </c>
      <c r="E43" s="62"/>
      <c r="F43" s="103">
        <v>9.5</v>
      </c>
      <c r="G43" s="95">
        <f t="shared" si="0"/>
        <v>365.2999999999999</v>
      </c>
      <c r="H43" s="96" t="s">
        <v>93</v>
      </c>
      <c r="I43" s="96" t="s">
        <v>90</v>
      </c>
    </row>
    <row r="44" spans="1:16" ht="18" customHeight="1" x14ac:dyDescent="0.25">
      <c r="A44" s="58"/>
      <c r="B44" s="59">
        <v>45846</v>
      </c>
      <c r="C44" s="66" t="s">
        <v>189</v>
      </c>
      <c r="D44" s="61" t="s">
        <v>19</v>
      </c>
      <c r="E44" s="62"/>
      <c r="F44" s="103">
        <v>9.6999999999999993</v>
      </c>
      <c r="G44" s="95">
        <f t="shared" si="0"/>
        <v>355.59999999999991</v>
      </c>
      <c r="H44" s="96" t="s">
        <v>93</v>
      </c>
      <c r="I44" s="96" t="s">
        <v>90</v>
      </c>
      <c r="P44" s="55">
        <f>32*88</f>
        <v>2816</v>
      </c>
    </row>
    <row r="45" spans="1:16" ht="18" customHeight="1" x14ac:dyDescent="0.25">
      <c r="A45" s="58"/>
      <c r="B45" s="59">
        <v>45857</v>
      </c>
      <c r="C45" s="66" t="s">
        <v>189</v>
      </c>
      <c r="D45" s="61" t="s">
        <v>19</v>
      </c>
      <c r="E45" s="62"/>
      <c r="F45" s="103">
        <v>5.4</v>
      </c>
      <c r="G45" s="95">
        <f t="shared" si="0"/>
        <v>350.19999999999993</v>
      </c>
      <c r="H45" s="96" t="s">
        <v>93</v>
      </c>
      <c r="I45" s="96" t="s">
        <v>90</v>
      </c>
    </row>
    <row r="46" spans="1:16" ht="18" customHeight="1" x14ac:dyDescent="0.25">
      <c r="A46" s="58"/>
      <c r="B46" s="59">
        <v>45859</v>
      </c>
      <c r="C46" s="66" t="s">
        <v>189</v>
      </c>
      <c r="D46" s="61" t="s">
        <v>19</v>
      </c>
      <c r="E46" s="62"/>
      <c r="F46" s="103">
        <v>4.0999999999999996</v>
      </c>
      <c r="G46" s="95">
        <f t="shared" si="0"/>
        <v>346.09999999999991</v>
      </c>
      <c r="H46" s="96" t="s">
        <v>93</v>
      </c>
      <c r="I46" s="96" t="s">
        <v>90</v>
      </c>
    </row>
    <row r="47" spans="1:16" ht="18" customHeight="1" x14ac:dyDescent="0.25">
      <c r="A47" s="58"/>
      <c r="B47" s="59">
        <v>45860</v>
      </c>
      <c r="C47" s="66" t="s">
        <v>189</v>
      </c>
      <c r="D47" s="61" t="s">
        <v>19</v>
      </c>
      <c r="E47" s="62"/>
      <c r="F47" s="103">
        <v>13.5</v>
      </c>
      <c r="G47" s="95">
        <f t="shared" si="0"/>
        <v>332.59999999999991</v>
      </c>
      <c r="H47" s="96" t="s">
        <v>93</v>
      </c>
      <c r="I47" s="96" t="s">
        <v>90</v>
      </c>
    </row>
    <row r="48" spans="1:16" ht="18" customHeight="1" x14ac:dyDescent="0.25">
      <c r="A48" s="58"/>
      <c r="B48" s="59">
        <v>45868</v>
      </c>
      <c r="C48" s="66" t="s">
        <v>189</v>
      </c>
      <c r="D48" s="61" t="s">
        <v>19</v>
      </c>
      <c r="E48" s="62"/>
      <c r="F48" s="103">
        <v>13.8</v>
      </c>
      <c r="G48" s="95">
        <f t="shared" si="0"/>
        <v>318.7999999999999</v>
      </c>
      <c r="H48" s="96" t="s">
        <v>93</v>
      </c>
      <c r="I48" s="96" t="s">
        <v>90</v>
      </c>
    </row>
    <row r="49" spans="1:9" ht="18" customHeight="1" x14ac:dyDescent="0.25">
      <c r="A49" s="58"/>
      <c r="B49" s="59">
        <v>45878</v>
      </c>
      <c r="C49" s="66" t="s">
        <v>189</v>
      </c>
      <c r="D49" s="61" t="s">
        <v>19</v>
      </c>
      <c r="E49" s="62"/>
      <c r="F49" s="103">
        <v>5</v>
      </c>
      <c r="G49" s="95">
        <f t="shared" si="0"/>
        <v>313.7999999999999</v>
      </c>
      <c r="H49" s="96" t="s">
        <v>93</v>
      </c>
      <c r="I49" s="96" t="s">
        <v>90</v>
      </c>
    </row>
    <row r="50" spans="1:9" ht="18" customHeight="1" x14ac:dyDescent="0.25">
      <c r="A50" s="58"/>
      <c r="B50" s="59">
        <v>45880</v>
      </c>
      <c r="C50" s="66" t="s">
        <v>189</v>
      </c>
      <c r="D50" s="61" t="s">
        <v>19</v>
      </c>
      <c r="E50" s="62"/>
      <c r="F50" s="103">
        <v>6.3</v>
      </c>
      <c r="G50" s="95">
        <f t="shared" si="0"/>
        <v>307.49999999999989</v>
      </c>
      <c r="H50" s="96" t="s">
        <v>93</v>
      </c>
      <c r="I50" s="96" t="s">
        <v>90</v>
      </c>
    </row>
    <row r="51" spans="1:9" ht="18" customHeight="1" x14ac:dyDescent="0.25">
      <c r="A51" s="58"/>
      <c r="B51" s="59">
        <v>45881</v>
      </c>
      <c r="C51" s="66" t="s">
        <v>189</v>
      </c>
      <c r="D51" s="61" t="s">
        <v>19</v>
      </c>
      <c r="E51" s="62"/>
      <c r="F51" s="103">
        <v>9.8000000000000007</v>
      </c>
      <c r="G51" s="95">
        <f t="shared" si="0"/>
        <v>297.69999999999987</v>
      </c>
      <c r="H51" s="96" t="s">
        <v>93</v>
      </c>
      <c r="I51" s="96" t="s">
        <v>90</v>
      </c>
    </row>
    <row r="52" spans="1:9" ht="18" customHeight="1" x14ac:dyDescent="0.25">
      <c r="A52" s="58"/>
      <c r="B52" s="59">
        <v>45882</v>
      </c>
      <c r="C52" s="66" t="s">
        <v>189</v>
      </c>
      <c r="D52" s="61" t="s">
        <v>19</v>
      </c>
      <c r="E52" s="62"/>
      <c r="F52" s="103">
        <v>9.1</v>
      </c>
      <c r="G52" s="95">
        <f t="shared" si="0"/>
        <v>288.59999999999985</v>
      </c>
      <c r="H52" s="96" t="s">
        <v>93</v>
      </c>
      <c r="I52" s="96" t="s">
        <v>90</v>
      </c>
    </row>
    <row r="53" spans="1:9" ht="18" customHeight="1" x14ac:dyDescent="0.25">
      <c r="A53" s="58"/>
      <c r="B53" s="59">
        <v>45890</v>
      </c>
      <c r="C53" s="66" t="s">
        <v>189</v>
      </c>
      <c r="D53" s="61" t="s">
        <v>19</v>
      </c>
      <c r="E53" s="62"/>
      <c r="F53" s="103">
        <v>10</v>
      </c>
      <c r="G53" s="95">
        <f t="shared" si="0"/>
        <v>278.59999999999985</v>
      </c>
      <c r="H53" s="96" t="s">
        <v>93</v>
      </c>
      <c r="I53" s="96" t="s">
        <v>90</v>
      </c>
    </row>
    <row r="54" spans="1:9" ht="18" customHeight="1" x14ac:dyDescent="0.25">
      <c r="A54" s="58"/>
      <c r="B54" s="59">
        <v>45891</v>
      </c>
      <c r="C54" s="66" t="s">
        <v>189</v>
      </c>
      <c r="D54" s="61" t="s">
        <v>19</v>
      </c>
      <c r="E54" s="62"/>
      <c r="F54" s="103">
        <v>6</v>
      </c>
      <c r="G54" s="95">
        <f t="shared" si="0"/>
        <v>272.59999999999985</v>
      </c>
      <c r="H54" s="96" t="s">
        <v>93</v>
      </c>
      <c r="I54" s="96" t="s">
        <v>90</v>
      </c>
    </row>
    <row r="55" spans="1:9" ht="18" customHeight="1" x14ac:dyDescent="0.25">
      <c r="A55" s="58"/>
      <c r="B55" s="59">
        <v>45892</v>
      </c>
      <c r="C55" s="66" t="s">
        <v>189</v>
      </c>
      <c r="D55" s="61" t="s">
        <v>19</v>
      </c>
      <c r="E55" s="62"/>
      <c r="F55" s="103">
        <v>3</v>
      </c>
      <c r="G55" s="95">
        <f t="shared" si="0"/>
        <v>269.59999999999985</v>
      </c>
      <c r="H55" s="96" t="s">
        <v>93</v>
      </c>
      <c r="I55" s="96" t="s">
        <v>90</v>
      </c>
    </row>
    <row r="56" spans="1:9" ht="18" customHeight="1" x14ac:dyDescent="0.25">
      <c r="A56" s="58"/>
      <c r="B56" s="59">
        <v>45894</v>
      </c>
      <c r="C56" s="66" t="s">
        <v>189</v>
      </c>
      <c r="D56" s="61" t="s">
        <v>19</v>
      </c>
      <c r="E56" s="62"/>
      <c r="F56" s="103">
        <v>9.4</v>
      </c>
      <c r="G56" s="95">
        <f t="shared" si="0"/>
        <v>260.19999999999987</v>
      </c>
      <c r="H56" s="96" t="s">
        <v>93</v>
      </c>
      <c r="I56" s="96" t="s">
        <v>90</v>
      </c>
    </row>
    <row r="57" spans="1:9" ht="18" customHeight="1" x14ac:dyDescent="0.25">
      <c r="A57" s="58"/>
      <c r="B57" s="59">
        <v>45895</v>
      </c>
      <c r="C57" s="66" t="s">
        <v>189</v>
      </c>
      <c r="D57" s="61" t="s">
        <v>19</v>
      </c>
      <c r="E57" s="62"/>
      <c r="F57" s="103">
        <v>13.2</v>
      </c>
      <c r="G57" s="95">
        <f t="shared" si="0"/>
        <v>246.99999999999989</v>
      </c>
      <c r="H57" s="96" t="s">
        <v>93</v>
      </c>
      <c r="I57" s="96" t="s">
        <v>90</v>
      </c>
    </row>
    <row r="58" spans="1:9" ht="18" customHeight="1" x14ac:dyDescent="0.25">
      <c r="A58" s="58"/>
      <c r="B58" s="59">
        <v>45896</v>
      </c>
      <c r="C58" s="66" t="s">
        <v>189</v>
      </c>
      <c r="D58" s="61" t="s">
        <v>19</v>
      </c>
      <c r="E58" s="62"/>
      <c r="F58" s="282">
        <v>12.5</v>
      </c>
      <c r="G58" s="95">
        <f t="shared" si="0"/>
        <v>234.49999999999989</v>
      </c>
      <c r="H58" s="96" t="s">
        <v>93</v>
      </c>
      <c r="I58" s="96" t="s">
        <v>90</v>
      </c>
    </row>
    <row r="59" spans="1:9" ht="18" customHeight="1" x14ac:dyDescent="0.25">
      <c r="A59" s="58"/>
      <c r="B59" s="59">
        <v>45897</v>
      </c>
      <c r="C59" s="66" t="s">
        <v>189</v>
      </c>
      <c r="D59" s="61" t="s">
        <v>19</v>
      </c>
      <c r="E59" s="62"/>
      <c r="F59" s="282">
        <v>10</v>
      </c>
      <c r="G59" s="95">
        <f t="shared" si="0"/>
        <v>224.49999999999989</v>
      </c>
      <c r="H59" s="96" t="s">
        <v>93</v>
      </c>
      <c r="I59" s="96" t="s">
        <v>90</v>
      </c>
    </row>
    <row r="60" spans="1:9" ht="18" customHeight="1" x14ac:dyDescent="0.25">
      <c r="A60" s="58"/>
      <c r="B60" s="59">
        <v>45899</v>
      </c>
      <c r="C60" s="66" t="s">
        <v>189</v>
      </c>
      <c r="D60" s="61" t="s">
        <v>19</v>
      </c>
      <c r="E60" s="62"/>
      <c r="F60" s="282">
        <v>4</v>
      </c>
      <c r="G60" s="95">
        <f t="shared" si="0"/>
        <v>220.49999999999989</v>
      </c>
      <c r="H60" s="96" t="s">
        <v>93</v>
      </c>
      <c r="I60" s="96" t="s">
        <v>90</v>
      </c>
    </row>
    <row r="61" spans="1:9" ht="18" customHeight="1" x14ac:dyDescent="0.25">
      <c r="A61" s="58"/>
      <c r="B61" s="59">
        <v>45903</v>
      </c>
      <c r="C61" s="66" t="s">
        <v>189</v>
      </c>
      <c r="D61" s="61" t="s">
        <v>19</v>
      </c>
      <c r="E61" s="62"/>
      <c r="F61" s="282">
        <v>4</v>
      </c>
      <c r="G61" s="95">
        <f t="shared" si="0"/>
        <v>216.49999999999989</v>
      </c>
      <c r="H61" s="96" t="s">
        <v>93</v>
      </c>
      <c r="I61" s="96" t="s">
        <v>90</v>
      </c>
    </row>
    <row r="62" spans="1:9" ht="18" customHeight="1" x14ac:dyDescent="0.25">
      <c r="A62" s="58"/>
      <c r="B62" s="59">
        <v>45910</v>
      </c>
      <c r="C62" s="66" t="s">
        <v>189</v>
      </c>
      <c r="D62" s="61" t="s">
        <v>19</v>
      </c>
      <c r="E62" s="62"/>
      <c r="F62" s="282">
        <v>13.3</v>
      </c>
      <c r="G62" s="95">
        <f t="shared" si="0"/>
        <v>203.19999999999987</v>
      </c>
      <c r="H62" s="96" t="s">
        <v>93</v>
      </c>
      <c r="I62" s="96" t="s">
        <v>90</v>
      </c>
    </row>
    <row r="63" spans="1:9" ht="18" customHeight="1" x14ac:dyDescent="0.25">
      <c r="A63" s="58"/>
      <c r="B63" s="59">
        <v>45911</v>
      </c>
      <c r="C63" s="66" t="s">
        <v>189</v>
      </c>
      <c r="D63" s="61" t="s">
        <v>19</v>
      </c>
      <c r="E63" s="62"/>
      <c r="F63" s="282">
        <v>8.6999999999999993</v>
      </c>
      <c r="G63" s="95">
        <f t="shared" si="0"/>
        <v>194.49999999999989</v>
      </c>
      <c r="H63" s="96" t="s">
        <v>93</v>
      </c>
      <c r="I63" s="96" t="s">
        <v>90</v>
      </c>
    </row>
    <row r="64" spans="1:9" ht="18" customHeight="1" x14ac:dyDescent="0.25">
      <c r="A64" s="58"/>
      <c r="B64" s="59">
        <v>45915</v>
      </c>
      <c r="C64" s="66" t="s">
        <v>189</v>
      </c>
      <c r="D64" s="61" t="s">
        <v>19</v>
      </c>
      <c r="E64" s="62">
        <v>176.3</v>
      </c>
      <c r="F64" s="282"/>
      <c r="G64" s="95">
        <f t="shared" si="0"/>
        <v>370.7999999999999</v>
      </c>
      <c r="H64" s="96" t="s">
        <v>93</v>
      </c>
      <c r="I64" s="96" t="s">
        <v>90</v>
      </c>
    </row>
    <row r="65" spans="1:9" ht="18" customHeight="1" x14ac:dyDescent="0.25">
      <c r="A65" s="58"/>
      <c r="B65" s="59"/>
      <c r="C65" s="66" t="s">
        <v>189</v>
      </c>
      <c r="D65" s="61" t="s">
        <v>19</v>
      </c>
      <c r="E65" s="62"/>
      <c r="F65" s="282"/>
      <c r="G65" s="95">
        <f t="shared" si="0"/>
        <v>370.7999999999999</v>
      </c>
      <c r="H65" s="96" t="s">
        <v>93</v>
      </c>
      <c r="I65" s="96" t="s">
        <v>90</v>
      </c>
    </row>
    <row r="66" spans="1:9" ht="18" customHeight="1" x14ac:dyDescent="0.25">
      <c r="A66" s="58"/>
      <c r="B66" s="59"/>
      <c r="C66" s="66" t="s">
        <v>189</v>
      </c>
      <c r="D66" s="61" t="s">
        <v>19</v>
      </c>
      <c r="E66" s="62"/>
      <c r="F66" s="282"/>
      <c r="G66" s="95">
        <f t="shared" si="0"/>
        <v>370.7999999999999</v>
      </c>
      <c r="H66" s="96" t="s">
        <v>93</v>
      </c>
      <c r="I66" s="96" t="s">
        <v>90</v>
      </c>
    </row>
    <row r="67" spans="1:9" ht="18" customHeight="1" x14ac:dyDescent="0.25">
      <c r="A67" s="58"/>
      <c r="B67" s="59"/>
      <c r="C67" s="66" t="s">
        <v>189</v>
      </c>
      <c r="D67" s="61" t="s">
        <v>19</v>
      </c>
      <c r="E67" s="62"/>
      <c r="F67" s="282"/>
      <c r="G67" s="95">
        <f t="shared" si="0"/>
        <v>370.7999999999999</v>
      </c>
      <c r="H67" s="96" t="s">
        <v>93</v>
      </c>
      <c r="I67" s="96" t="s">
        <v>90</v>
      </c>
    </row>
    <row r="68" spans="1:9" ht="18" customHeight="1" x14ac:dyDescent="0.25">
      <c r="A68" s="58"/>
      <c r="B68" s="59"/>
      <c r="C68" s="66" t="s">
        <v>189</v>
      </c>
      <c r="D68" s="61" t="s">
        <v>19</v>
      </c>
      <c r="E68" s="62"/>
      <c r="F68" s="282"/>
      <c r="G68" s="95">
        <f t="shared" si="0"/>
        <v>370.7999999999999</v>
      </c>
      <c r="H68" s="96" t="s">
        <v>93</v>
      </c>
      <c r="I68" s="96" t="s">
        <v>90</v>
      </c>
    </row>
    <row r="69" spans="1:9" ht="18" customHeight="1" x14ac:dyDescent="0.25">
      <c r="A69" s="58"/>
      <c r="B69" s="59"/>
      <c r="C69" s="66" t="s">
        <v>189</v>
      </c>
      <c r="D69" s="61" t="s">
        <v>19</v>
      </c>
      <c r="E69" s="62"/>
      <c r="F69" s="282"/>
      <c r="G69" s="95">
        <f t="shared" si="0"/>
        <v>370.7999999999999</v>
      </c>
      <c r="H69" s="96" t="s">
        <v>93</v>
      </c>
      <c r="I69" s="96" t="s">
        <v>90</v>
      </c>
    </row>
    <row r="70" spans="1:9" ht="18" customHeight="1" x14ac:dyDescent="0.25">
      <c r="A70" s="58"/>
      <c r="B70" s="59"/>
      <c r="C70" s="66" t="s">
        <v>189</v>
      </c>
      <c r="D70" s="61" t="s">
        <v>19</v>
      </c>
      <c r="E70" s="62"/>
      <c r="F70" s="282"/>
      <c r="G70" s="95">
        <f t="shared" si="0"/>
        <v>370.7999999999999</v>
      </c>
      <c r="H70" s="96" t="s">
        <v>93</v>
      </c>
      <c r="I70" s="96" t="s">
        <v>90</v>
      </c>
    </row>
    <row r="71" spans="1:9" ht="18" customHeight="1" x14ac:dyDescent="0.25">
      <c r="A71" s="58"/>
      <c r="B71" s="59"/>
      <c r="C71" s="66" t="s">
        <v>189</v>
      </c>
      <c r="D71" s="61" t="s">
        <v>19</v>
      </c>
      <c r="E71" s="62"/>
      <c r="F71" s="282"/>
      <c r="G71" s="95">
        <f t="shared" si="0"/>
        <v>370.7999999999999</v>
      </c>
      <c r="H71" s="96" t="s">
        <v>93</v>
      </c>
      <c r="I71" s="96" t="s">
        <v>90</v>
      </c>
    </row>
    <row r="72" spans="1:9" ht="18" customHeight="1" x14ac:dyDescent="0.25">
      <c r="A72" s="58"/>
      <c r="B72" s="59"/>
      <c r="C72" s="66" t="s">
        <v>189</v>
      </c>
      <c r="D72" s="61" t="s">
        <v>19</v>
      </c>
      <c r="E72" s="62"/>
      <c r="F72" s="282"/>
      <c r="G72" s="95">
        <f t="shared" si="0"/>
        <v>370.7999999999999</v>
      </c>
      <c r="H72" s="96" t="s">
        <v>93</v>
      </c>
      <c r="I72" s="96" t="s">
        <v>90</v>
      </c>
    </row>
    <row r="73" spans="1:9" ht="18" customHeight="1" x14ac:dyDescent="0.25">
      <c r="A73" s="58"/>
      <c r="B73" s="59"/>
      <c r="C73" s="66" t="s">
        <v>189</v>
      </c>
      <c r="D73" s="61" t="s">
        <v>19</v>
      </c>
      <c r="E73" s="62"/>
      <c r="F73" s="282"/>
      <c r="G73" s="95">
        <f t="shared" si="0"/>
        <v>370.7999999999999</v>
      </c>
      <c r="H73" s="96" t="s">
        <v>93</v>
      </c>
      <c r="I73" s="96" t="s">
        <v>90</v>
      </c>
    </row>
    <row r="74" spans="1:9" ht="18" customHeight="1" x14ac:dyDescent="0.25">
      <c r="A74" s="58"/>
      <c r="B74" s="59"/>
      <c r="C74" s="66" t="s">
        <v>189</v>
      </c>
      <c r="D74" s="61" t="s">
        <v>19</v>
      </c>
      <c r="E74" s="62"/>
      <c r="F74" s="282"/>
      <c r="G74" s="95">
        <f t="shared" ref="G74:G137" si="1">+G73+E74-F74</f>
        <v>370.7999999999999</v>
      </c>
      <c r="H74" s="96" t="s">
        <v>93</v>
      </c>
      <c r="I74" s="96" t="s">
        <v>90</v>
      </c>
    </row>
    <row r="75" spans="1:9" ht="18" customHeight="1" x14ac:dyDescent="0.25">
      <c r="A75" s="58"/>
      <c r="B75" s="59"/>
      <c r="C75" s="66" t="s">
        <v>189</v>
      </c>
      <c r="D75" s="61" t="s">
        <v>19</v>
      </c>
      <c r="E75" s="62"/>
      <c r="F75" s="282"/>
      <c r="G75" s="95">
        <f t="shared" si="1"/>
        <v>370.7999999999999</v>
      </c>
      <c r="H75" s="96"/>
      <c r="I75" s="96"/>
    </row>
    <row r="76" spans="1:9" ht="18" customHeight="1" x14ac:dyDescent="0.25">
      <c r="A76" s="58"/>
      <c r="B76" s="59"/>
      <c r="C76" s="66" t="s">
        <v>189</v>
      </c>
      <c r="D76" s="61" t="s">
        <v>19</v>
      </c>
      <c r="E76" s="62"/>
      <c r="F76" s="282"/>
      <c r="G76" s="95">
        <f t="shared" si="1"/>
        <v>370.7999999999999</v>
      </c>
      <c r="H76" s="96"/>
      <c r="I76" s="96"/>
    </row>
    <row r="77" spans="1:9" ht="18" customHeight="1" x14ac:dyDescent="0.25">
      <c r="A77" s="58"/>
      <c r="B77" s="59"/>
      <c r="C77" s="66" t="s">
        <v>189</v>
      </c>
      <c r="D77" s="61" t="s">
        <v>19</v>
      </c>
      <c r="E77" s="62"/>
      <c r="F77" s="282"/>
      <c r="G77" s="95">
        <f t="shared" si="1"/>
        <v>370.7999999999999</v>
      </c>
      <c r="H77" s="96"/>
      <c r="I77" s="96"/>
    </row>
    <row r="78" spans="1:9" ht="18" customHeight="1" x14ac:dyDescent="0.25">
      <c r="A78" s="58"/>
      <c r="B78" s="59"/>
      <c r="C78" s="66" t="s">
        <v>189</v>
      </c>
      <c r="D78" s="61" t="s">
        <v>19</v>
      </c>
      <c r="E78" s="62"/>
      <c r="F78" s="282"/>
      <c r="G78" s="95">
        <f t="shared" si="1"/>
        <v>370.7999999999999</v>
      </c>
      <c r="H78" s="96"/>
      <c r="I78" s="96"/>
    </row>
    <row r="79" spans="1:9" ht="18" customHeight="1" x14ac:dyDescent="0.25">
      <c r="A79" s="58"/>
      <c r="B79" s="59"/>
      <c r="C79" s="66" t="s">
        <v>189</v>
      </c>
      <c r="D79" s="61" t="s">
        <v>19</v>
      </c>
      <c r="E79" s="62"/>
      <c r="F79" s="282"/>
      <c r="G79" s="95">
        <f t="shared" si="1"/>
        <v>370.7999999999999</v>
      </c>
      <c r="H79" s="96"/>
      <c r="I79" s="96"/>
    </row>
    <row r="80" spans="1:9" ht="18" customHeight="1" x14ac:dyDescent="0.25">
      <c r="A80" s="58"/>
      <c r="B80" s="59"/>
      <c r="C80" s="66" t="s">
        <v>189</v>
      </c>
      <c r="D80" s="61" t="s">
        <v>19</v>
      </c>
      <c r="E80" s="62"/>
      <c r="F80" s="282"/>
      <c r="G80" s="95">
        <f t="shared" si="1"/>
        <v>370.7999999999999</v>
      </c>
      <c r="H80" s="96"/>
      <c r="I80" s="96"/>
    </row>
    <row r="81" spans="1:9" ht="18" customHeight="1" x14ac:dyDescent="0.25">
      <c r="A81" s="58"/>
      <c r="B81" s="59"/>
      <c r="C81" s="66" t="s">
        <v>189</v>
      </c>
      <c r="D81" s="61" t="s">
        <v>19</v>
      </c>
      <c r="E81" s="62"/>
      <c r="F81" s="282"/>
      <c r="G81" s="95">
        <f t="shared" si="1"/>
        <v>370.7999999999999</v>
      </c>
      <c r="H81" s="96"/>
      <c r="I81" s="96"/>
    </row>
    <row r="82" spans="1:9" s="297" customFormat="1" ht="18" customHeight="1" x14ac:dyDescent="0.25">
      <c r="A82" s="291"/>
      <c r="B82" s="292"/>
      <c r="C82" s="66" t="s">
        <v>189</v>
      </c>
      <c r="D82" s="293" t="s">
        <v>19</v>
      </c>
      <c r="E82" s="294"/>
      <c r="F82" s="295"/>
      <c r="G82" s="95">
        <f t="shared" si="1"/>
        <v>370.7999999999999</v>
      </c>
      <c r="H82" s="96"/>
      <c r="I82" s="296"/>
    </row>
    <row r="83" spans="1:9" ht="18" customHeight="1" x14ac:dyDescent="0.25">
      <c r="A83" s="58"/>
      <c r="B83" s="59"/>
      <c r="C83" s="66" t="s">
        <v>189</v>
      </c>
      <c r="D83" s="61" t="s">
        <v>19</v>
      </c>
      <c r="E83" s="62"/>
      <c r="F83" s="282"/>
      <c r="G83" s="95">
        <f t="shared" si="1"/>
        <v>370.7999999999999</v>
      </c>
      <c r="H83" s="96"/>
      <c r="I83" s="296"/>
    </row>
    <row r="84" spans="1:9" ht="18" customHeight="1" x14ac:dyDescent="0.25">
      <c r="A84" s="58"/>
      <c r="B84" s="59"/>
      <c r="C84" s="66" t="s">
        <v>189</v>
      </c>
      <c r="D84" s="61" t="s">
        <v>19</v>
      </c>
      <c r="E84" s="62"/>
      <c r="F84" s="282"/>
      <c r="G84" s="95">
        <f t="shared" si="1"/>
        <v>370.7999999999999</v>
      </c>
      <c r="H84" s="96"/>
      <c r="I84" s="96"/>
    </row>
    <row r="85" spans="1:9" ht="18" customHeight="1" x14ac:dyDescent="0.25">
      <c r="A85" s="58"/>
      <c r="B85" s="59"/>
      <c r="C85" s="66" t="s">
        <v>189</v>
      </c>
      <c r="D85" s="61" t="s">
        <v>19</v>
      </c>
      <c r="E85" s="62"/>
      <c r="F85" s="282"/>
      <c r="G85" s="95">
        <f t="shared" si="1"/>
        <v>370.7999999999999</v>
      </c>
      <c r="H85" s="96"/>
      <c r="I85" s="96"/>
    </row>
    <row r="86" spans="1:9" ht="18" customHeight="1" x14ac:dyDescent="0.25">
      <c r="A86" s="58"/>
      <c r="B86" s="59"/>
      <c r="C86" s="66" t="s">
        <v>189</v>
      </c>
      <c r="D86" s="61" t="s">
        <v>19</v>
      </c>
      <c r="E86" s="62"/>
      <c r="F86" s="282"/>
      <c r="G86" s="95">
        <f t="shared" si="1"/>
        <v>370.7999999999999</v>
      </c>
      <c r="H86" s="96"/>
      <c r="I86" s="96"/>
    </row>
    <row r="87" spans="1:9" ht="18" customHeight="1" x14ac:dyDescent="0.25">
      <c r="A87" s="58"/>
      <c r="B87" s="59"/>
      <c r="C87" s="66" t="s">
        <v>189</v>
      </c>
      <c r="D87" s="61" t="s">
        <v>19</v>
      </c>
      <c r="E87" s="62"/>
      <c r="F87" s="282"/>
      <c r="G87" s="95">
        <f t="shared" si="1"/>
        <v>370.7999999999999</v>
      </c>
      <c r="H87" s="96"/>
      <c r="I87" s="96"/>
    </row>
    <row r="88" spans="1:9" ht="18" customHeight="1" x14ac:dyDescent="0.25">
      <c r="A88" s="58"/>
      <c r="B88" s="59"/>
      <c r="C88" s="66" t="s">
        <v>189</v>
      </c>
      <c r="D88" s="61" t="s">
        <v>19</v>
      </c>
      <c r="E88" s="62"/>
      <c r="F88" s="282"/>
      <c r="G88" s="95">
        <f t="shared" si="1"/>
        <v>370.7999999999999</v>
      </c>
      <c r="H88" s="96"/>
      <c r="I88" s="96"/>
    </row>
    <row r="89" spans="1:9" ht="18" customHeight="1" x14ac:dyDescent="0.25">
      <c r="A89" s="58"/>
      <c r="B89" s="59"/>
      <c r="C89" s="66" t="s">
        <v>189</v>
      </c>
      <c r="D89" s="61" t="s">
        <v>19</v>
      </c>
      <c r="E89" s="62"/>
      <c r="F89" s="282"/>
      <c r="G89" s="95">
        <f t="shared" si="1"/>
        <v>370.7999999999999</v>
      </c>
      <c r="H89" s="96"/>
      <c r="I89" s="96"/>
    </row>
    <row r="90" spans="1:9" ht="18" customHeight="1" x14ac:dyDescent="0.25">
      <c r="A90" s="58"/>
      <c r="B90" s="59"/>
      <c r="C90" s="66" t="s">
        <v>189</v>
      </c>
      <c r="D90" s="61" t="s">
        <v>19</v>
      </c>
      <c r="E90" s="62"/>
      <c r="F90" s="282"/>
      <c r="G90" s="95">
        <f t="shared" si="1"/>
        <v>370.7999999999999</v>
      </c>
      <c r="H90" s="96"/>
      <c r="I90" s="96"/>
    </row>
    <row r="91" spans="1:9" ht="18" customHeight="1" x14ac:dyDescent="0.25">
      <c r="A91" s="58"/>
      <c r="B91" s="59"/>
      <c r="C91" s="66" t="s">
        <v>189</v>
      </c>
      <c r="D91" s="61" t="s">
        <v>19</v>
      </c>
      <c r="E91" s="62"/>
      <c r="F91" s="282"/>
      <c r="G91" s="95">
        <f t="shared" si="1"/>
        <v>370.7999999999999</v>
      </c>
      <c r="H91" s="96"/>
      <c r="I91" s="96"/>
    </row>
    <row r="92" spans="1:9" ht="18" customHeight="1" x14ac:dyDescent="0.25">
      <c r="A92" s="58"/>
      <c r="B92" s="59"/>
      <c r="C92" s="66" t="s">
        <v>189</v>
      </c>
      <c r="D92" s="61" t="s">
        <v>19</v>
      </c>
      <c r="E92" s="62"/>
      <c r="F92" s="282"/>
      <c r="G92" s="95">
        <f t="shared" si="1"/>
        <v>370.7999999999999</v>
      </c>
      <c r="H92" s="96"/>
      <c r="I92" s="96"/>
    </row>
    <row r="93" spans="1:9" ht="18" customHeight="1" x14ac:dyDescent="0.25">
      <c r="A93" s="58"/>
      <c r="B93" s="59"/>
      <c r="C93" s="66" t="s">
        <v>189</v>
      </c>
      <c r="D93" s="61" t="s">
        <v>19</v>
      </c>
      <c r="E93" s="62"/>
      <c r="F93" s="282"/>
      <c r="G93" s="95">
        <f t="shared" si="1"/>
        <v>370.7999999999999</v>
      </c>
      <c r="H93" s="96"/>
      <c r="I93" s="96"/>
    </row>
    <row r="94" spans="1:9" ht="18" customHeight="1" x14ac:dyDescent="0.25">
      <c r="A94" s="58"/>
      <c r="B94" s="59"/>
      <c r="C94" s="66" t="s">
        <v>189</v>
      </c>
      <c r="D94" s="61" t="s">
        <v>19</v>
      </c>
      <c r="E94" s="62"/>
      <c r="F94" s="282"/>
      <c r="G94" s="95">
        <f t="shared" si="1"/>
        <v>370.7999999999999</v>
      </c>
      <c r="H94" s="96"/>
      <c r="I94" s="96"/>
    </row>
    <row r="95" spans="1:9" ht="18" customHeight="1" x14ac:dyDescent="0.25">
      <c r="A95" s="58"/>
      <c r="B95" s="59"/>
      <c r="C95" s="66" t="s">
        <v>189</v>
      </c>
      <c r="D95" s="61" t="s">
        <v>19</v>
      </c>
      <c r="E95" s="62"/>
      <c r="F95" s="282"/>
      <c r="G95" s="95">
        <f t="shared" si="1"/>
        <v>370.7999999999999</v>
      </c>
      <c r="H95" s="96"/>
      <c r="I95" s="96"/>
    </row>
    <row r="96" spans="1:9" ht="18" customHeight="1" x14ac:dyDescent="0.25">
      <c r="A96" s="58"/>
      <c r="B96" s="59"/>
      <c r="C96" s="66" t="s">
        <v>189</v>
      </c>
      <c r="D96" s="61" t="s">
        <v>19</v>
      </c>
      <c r="E96" s="62"/>
      <c r="F96" s="282"/>
      <c r="G96" s="95">
        <f t="shared" si="1"/>
        <v>370.7999999999999</v>
      </c>
      <c r="H96" s="96"/>
      <c r="I96" s="96"/>
    </row>
    <row r="97" spans="1:9" ht="18" customHeight="1" x14ac:dyDescent="0.25">
      <c r="A97" s="58"/>
      <c r="B97" s="59"/>
      <c r="C97" s="66" t="s">
        <v>189</v>
      </c>
      <c r="D97" s="61" t="s">
        <v>19</v>
      </c>
      <c r="E97" s="62"/>
      <c r="F97" s="282"/>
      <c r="G97" s="95">
        <f t="shared" si="1"/>
        <v>370.7999999999999</v>
      </c>
      <c r="H97" s="96"/>
      <c r="I97" s="96"/>
    </row>
    <row r="98" spans="1:9" ht="18" customHeight="1" x14ac:dyDescent="0.25">
      <c r="A98" s="58"/>
      <c r="B98" s="59"/>
      <c r="C98" s="66" t="s">
        <v>189</v>
      </c>
      <c r="D98" s="61" t="s">
        <v>19</v>
      </c>
      <c r="E98" s="62"/>
      <c r="F98" s="282"/>
      <c r="G98" s="95">
        <f t="shared" si="1"/>
        <v>370.7999999999999</v>
      </c>
      <c r="H98" s="96"/>
      <c r="I98" s="96"/>
    </row>
    <row r="99" spans="1:9" ht="18" customHeight="1" x14ac:dyDescent="0.25">
      <c r="A99" s="58"/>
      <c r="B99" s="59"/>
      <c r="C99" s="66" t="s">
        <v>189</v>
      </c>
      <c r="D99" s="61" t="s">
        <v>19</v>
      </c>
      <c r="E99" s="62"/>
      <c r="F99" s="282"/>
      <c r="G99" s="95">
        <f t="shared" si="1"/>
        <v>370.7999999999999</v>
      </c>
      <c r="H99" s="96"/>
      <c r="I99" s="99"/>
    </row>
    <row r="100" spans="1:9" ht="18" customHeight="1" x14ac:dyDescent="0.25">
      <c r="A100" s="58"/>
      <c r="B100" s="59"/>
      <c r="C100" s="66" t="s">
        <v>189</v>
      </c>
      <c r="D100" s="61" t="s">
        <v>19</v>
      </c>
      <c r="E100" s="62"/>
      <c r="F100" s="282"/>
      <c r="G100" s="95">
        <f t="shared" si="1"/>
        <v>370.7999999999999</v>
      </c>
      <c r="H100" s="96"/>
      <c r="I100" s="99"/>
    </row>
    <row r="101" spans="1:9" ht="18" customHeight="1" x14ac:dyDescent="0.25">
      <c r="A101" s="58"/>
      <c r="B101" s="59"/>
      <c r="C101" s="66" t="s">
        <v>189</v>
      </c>
      <c r="D101" s="61" t="s">
        <v>19</v>
      </c>
      <c r="E101" s="62"/>
      <c r="F101" s="282"/>
      <c r="G101" s="95">
        <f t="shared" si="1"/>
        <v>370.7999999999999</v>
      </c>
      <c r="H101" s="96"/>
      <c r="I101" s="99"/>
    </row>
    <row r="102" spans="1:9" ht="18" customHeight="1" x14ac:dyDescent="0.25">
      <c r="A102" s="58"/>
      <c r="B102" s="59"/>
      <c r="C102" s="66" t="s">
        <v>189</v>
      </c>
      <c r="D102" s="61" t="s">
        <v>19</v>
      </c>
      <c r="E102" s="62"/>
      <c r="F102" s="282"/>
      <c r="G102" s="95">
        <f t="shared" si="1"/>
        <v>370.7999999999999</v>
      </c>
      <c r="H102" s="96"/>
      <c r="I102" s="99"/>
    </row>
    <row r="103" spans="1:9" ht="18" customHeight="1" x14ac:dyDescent="0.25">
      <c r="A103" s="58"/>
      <c r="B103" s="59"/>
      <c r="C103" s="66" t="s">
        <v>189</v>
      </c>
      <c r="D103" s="61" t="s">
        <v>19</v>
      </c>
      <c r="E103" s="62"/>
      <c r="F103" s="282"/>
      <c r="G103" s="95">
        <f t="shared" si="1"/>
        <v>370.7999999999999</v>
      </c>
      <c r="H103" s="96"/>
      <c r="I103" s="99"/>
    </row>
    <row r="104" spans="1:9" ht="18" customHeight="1" x14ac:dyDescent="0.25">
      <c r="A104" s="58"/>
      <c r="B104" s="59"/>
      <c r="C104" s="66" t="s">
        <v>189</v>
      </c>
      <c r="D104" s="61" t="s">
        <v>19</v>
      </c>
      <c r="E104" s="62"/>
      <c r="F104" s="282"/>
      <c r="G104" s="95">
        <f t="shared" si="1"/>
        <v>370.7999999999999</v>
      </c>
      <c r="H104" s="96"/>
      <c r="I104" s="99"/>
    </row>
    <row r="105" spans="1:9" ht="18" customHeight="1" x14ac:dyDescent="0.25">
      <c r="A105" s="58"/>
      <c r="B105" s="59"/>
      <c r="C105" s="66" t="s">
        <v>189</v>
      </c>
      <c r="D105" s="61" t="s">
        <v>19</v>
      </c>
      <c r="E105" s="62"/>
      <c r="F105" s="282"/>
      <c r="G105" s="95">
        <f t="shared" si="1"/>
        <v>370.7999999999999</v>
      </c>
      <c r="H105" s="96"/>
      <c r="I105" s="99"/>
    </row>
    <row r="106" spans="1:9" ht="18" customHeight="1" x14ac:dyDescent="0.25">
      <c r="A106" s="58"/>
      <c r="B106" s="59"/>
      <c r="C106" s="66" t="s">
        <v>189</v>
      </c>
      <c r="D106" s="61" t="s">
        <v>19</v>
      </c>
      <c r="E106" s="62"/>
      <c r="F106" s="282"/>
      <c r="G106" s="95">
        <f t="shared" si="1"/>
        <v>370.7999999999999</v>
      </c>
      <c r="H106" s="96"/>
      <c r="I106" s="99"/>
    </row>
    <row r="107" spans="1:9" ht="18" customHeight="1" x14ac:dyDescent="0.25">
      <c r="A107" s="58"/>
      <c r="B107" s="59"/>
      <c r="C107" s="66" t="s">
        <v>189</v>
      </c>
      <c r="D107" s="61" t="s">
        <v>19</v>
      </c>
      <c r="E107" s="62"/>
      <c r="F107" s="282"/>
      <c r="G107" s="95">
        <f t="shared" si="1"/>
        <v>370.7999999999999</v>
      </c>
      <c r="H107" s="96"/>
      <c r="I107" s="99"/>
    </row>
    <row r="108" spans="1:9" ht="18" customHeight="1" x14ac:dyDescent="0.25">
      <c r="A108" s="58"/>
      <c r="B108" s="59"/>
      <c r="C108" s="66" t="s">
        <v>189</v>
      </c>
      <c r="D108" s="61" t="s">
        <v>19</v>
      </c>
      <c r="E108" s="62"/>
      <c r="F108" s="282"/>
      <c r="G108" s="95">
        <f t="shared" si="1"/>
        <v>370.7999999999999</v>
      </c>
      <c r="H108" s="96"/>
      <c r="I108" s="99"/>
    </row>
    <row r="109" spans="1:9" ht="18" customHeight="1" x14ac:dyDescent="0.25">
      <c r="A109" s="58"/>
      <c r="B109" s="59"/>
      <c r="C109" s="66" t="s">
        <v>189</v>
      </c>
      <c r="D109" s="61" t="s">
        <v>19</v>
      </c>
      <c r="E109" s="62"/>
      <c r="F109" s="282"/>
      <c r="G109" s="95">
        <f t="shared" si="1"/>
        <v>370.7999999999999</v>
      </c>
      <c r="H109" s="96"/>
      <c r="I109" s="99"/>
    </row>
    <row r="110" spans="1:9" ht="18" customHeight="1" x14ac:dyDescent="0.25">
      <c r="A110" s="58"/>
      <c r="B110" s="59"/>
      <c r="C110" s="66" t="s">
        <v>189</v>
      </c>
      <c r="D110" s="61" t="s">
        <v>19</v>
      </c>
      <c r="E110" s="62"/>
      <c r="F110" s="282"/>
      <c r="G110" s="95">
        <f t="shared" si="1"/>
        <v>370.7999999999999</v>
      </c>
      <c r="H110" s="96"/>
      <c r="I110" s="99"/>
    </row>
    <row r="111" spans="1:9" ht="18" customHeight="1" x14ac:dyDescent="0.25">
      <c r="A111" s="58"/>
      <c r="B111" s="59"/>
      <c r="C111" s="66" t="s">
        <v>189</v>
      </c>
      <c r="D111" s="61" t="s">
        <v>19</v>
      </c>
      <c r="E111" s="62"/>
      <c r="F111" s="282"/>
      <c r="G111" s="95">
        <f t="shared" si="1"/>
        <v>370.7999999999999</v>
      </c>
      <c r="H111" s="96"/>
      <c r="I111" s="99"/>
    </row>
    <row r="112" spans="1:9" ht="18" customHeight="1" x14ac:dyDescent="0.25">
      <c r="A112" s="58"/>
      <c r="B112" s="59"/>
      <c r="C112" s="66" t="s">
        <v>189</v>
      </c>
      <c r="D112" s="61" t="s">
        <v>19</v>
      </c>
      <c r="E112" s="62"/>
      <c r="F112" s="282"/>
      <c r="G112" s="95">
        <f t="shared" si="1"/>
        <v>370.7999999999999</v>
      </c>
      <c r="H112" s="96"/>
      <c r="I112" s="99"/>
    </row>
    <row r="113" spans="1:9" ht="18" customHeight="1" x14ac:dyDescent="0.25">
      <c r="A113" s="58"/>
      <c r="B113" s="59"/>
      <c r="C113" s="66" t="s">
        <v>189</v>
      </c>
      <c r="D113" s="61" t="s">
        <v>19</v>
      </c>
      <c r="E113" s="62"/>
      <c r="F113" s="282"/>
      <c r="G113" s="95">
        <f t="shared" si="1"/>
        <v>370.7999999999999</v>
      </c>
      <c r="H113" s="96"/>
      <c r="I113" s="99"/>
    </row>
    <row r="114" spans="1:9" ht="18" customHeight="1" x14ac:dyDescent="0.25">
      <c r="A114" s="58"/>
      <c r="B114" s="59"/>
      <c r="C114" s="66" t="s">
        <v>189</v>
      </c>
      <c r="D114" s="61" t="s">
        <v>19</v>
      </c>
      <c r="E114" s="62"/>
      <c r="F114" s="282"/>
      <c r="G114" s="95">
        <f t="shared" si="1"/>
        <v>370.7999999999999</v>
      </c>
      <c r="H114" s="96"/>
      <c r="I114" s="99"/>
    </row>
    <row r="115" spans="1:9" ht="18" customHeight="1" x14ac:dyDescent="0.25">
      <c r="A115" s="58"/>
      <c r="B115" s="59"/>
      <c r="C115" s="66" t="s">
        <v>189</v>
      </c>
      <c r="D115" s="61" t="s">
        <v>19</v>
      </c>
      <c r="E115" s="62"/>
      <c r="F115" s="282"/>
      <c r="G115" s="95">
        <f t="shared" si="1"/>
        <v>370.7999999999999</v>
      </c>
      <c r="H115" s="96"/>
      <c r="I115" s="99"/>
    </row>
    <row r="116" spans="1:9" ht="18" customHeight="1" x14ac:dyDescent="0.25">
      <c r="A116" s="58"/>
      <c r="B116" s="59"/>
      <c r="C116" s="66" t="s">
        <v>189</v>
      </c>
      <c r="D116" s="61" t="s">
        <v>19</v>
      </c>
      <c r="E116" s="62"/>
      <c r="F116" s="282"/>
      <c r="G116" s="95">
        <f t="shared" si="1"/>
        <v>370.7999999999999</v>
      </c>
      <c r="H116" s="96"/>
      <c r="I116" s="99"/>
    </row>
    <row r="117" spans="1:9" ht="18" customHeight="1" x14ac:dyDescent="0.25">
      <c r="A117" s="58"/>
      <c r="B117" s="59"/>
      <c r="C117" s="66" t="s">
        <v>189</v>
      </c>
      <c r="D117" s="61" t="s">
        <v>19</v>
      </c>
      <c r="E117" s="62"/>
      <c r="F117" s="282"/>
      <c r="G117" s="95">
        <f t="shared" si="1"/>
        <v>370.7999999999999</v>
      </c>
      <c r="H117" s="96"/>
      <c r="I117" s="99"/>
    </row>
    <row r="118" spans="1:9" ht="18" customHeight="1" x14ac:dyDescent="0.25">
      <c r="A118" s="58"/>
      <c r="B118" s="59"/>
      <c r="C118" s="66" t="s">
        <v>189</v>
      </c>
      <c r="D118" s="61" t="s">
        <v>19</v>
      </c>
      <c r="E118" s="62"/>
      <c r="F118" s="282"/>
      <c r="G118" s="95">
        <f t="shared" si="1"/>
        <v>370.7999999999999</v>
      </c>
      <c r="H118" s="96"/>
      <c r="I118" s="99"/>
    </row>
    <row r="119" spans="1:9" ht="18" customHeight="1" x14ac:dyDescent="0.25">
      <c r="A119" s="58"/>
      <c r="B119" s="59"/>
      <c r="C119" s="66" t="s">
        <v>189</v>
      </c>
      <c r="D119" s="61" t="s">
        <v>19</v>
      </c>
      <c r="E119" s="62"/>
      <c r="F119" s="282"/>
      <c r="G119" s="95">
        <f t="shared" si="1"/>
        <v>370.7999999999999</v>
      </c>
      <c r="H119" s="96"/>
      <c r="I119" s="99"/>
    </row>
    <row r="120" spans="1:9" ht="18" customHeight="1" x14ac:dyDescent="0.25">
      <c r="A120" s="58"/>
      <c r="B120" s="59"/>
      <c r="C120" s="66" t="s">
        <v>189</v>
      </c>
      <c r="D120" s="61" t="s">
        <v>19</v>
      </c>
      <c r="E120" s="62"/>
      <c r="F120" s="282"/>
      <c r="G120" s="95">
        <f t="shared" si="1"/>
        <v>370.7999999999999</v>
      </c>
      <c r="H120" s="96"/>
      <c r="I120" s="99"/>
    </row>
    <row r="121" spans="1:9" ht="18" customHeight="1" x14ac:dyDescent="0.25">
      <c r="A121" s="58"/>
      <c r="B121" s="59"/>
      <c r="C121" s="66" t="s">
        <v>189</v>
      </c>
      <c r="D121" s="61" t="s">
        <v>19</v>
      </c>
      <c r="E121" s="62"/>
      <c r="F121" s="282"/>
      <c r="G121" s="95">
        <f t="shared" si="1"/>
        <v>370.7999999999999</v>
      </c>
      <c r="H121" s="96"/>
      <c r="I121" s="99"/>
    </row>
    <row r="122" spans="1:9" ht="18" customHeight="1" x14ac:dyDescent="0.25">
      <c r="A122" s="58"/>
      <c r="B122" s="59"/>
      <c r="C122" s="66" t="s">
        <v>189</v>
      </c>
      <c r="D122" s="61" t="s">
        <v>19</v>
      </c>
      <c r="E122" s="62"/>
      <c r="F122" s="282"/>
      <c r="G122" s="95">
        <f t="shared" si="1"/>
        <v>370.7999999999999</v>
      </c>
      <c r="H122" s="96"/>
      <c r="I122" s="99"/>
    </row>
    <row r="123" spans="1:9" ht="18" customHeight="1" x14ac:dyDescent="0.25">
      <c r="A123" s="58"/>
      <c r="B123" s="59"/>
      <c r="C123" s="66" t="s">
        <v>189</v>
      </c>
      <c r="D123" s="61" t="s">
        <v>19</v>
      </c>
      <c r="E123" s="62"/>
      <c r="F123" s="282"/>
      <c r="G123" s="95">
        <f t="shared" si="1"/>
        <v>370.7999999999999</v>
      </c>
      <c r="H123" s="96"/>
      <c r="I123" s="99"/>
    </row>
    <row r="124" spans="1:9" ht="18" customHeight="1" x14ac:dyDescent="0.25">
      <c r="A124" s="58"/>
      <c r="B124" s="59"/>
      <c r="C124" s="66" t="s">
        <v>189</v>
      </c>
      <c r="D124" s="61" t="s">
        <v>19</v>
      </c>
      <c r="E124" s="62"/>
      <c r="F124" s="282"/>
      <c r="G124" s="95">
        <f t="shared" si="1"/>
        <v>370.7999999999999</v>
      </c>
      <c r="H124" s="96"/>
      <c r="I124" s="99"/>
    </row>
    <row r="125" spans="1:9" ht="18" customHeight="1" x14ac:dyDescent="0.25">
      <c r="A125" s="58"/>
      <c r="B125" s="59"/>
      <c r="C125" s="66" t="s">
        <v>189</v>
      </c>
      <c r="D125" s="61" t="s">
        <v>19</v>
      </c>
      <c r="E125" s="62"/>
      <c r="F125" s="282"/>
      <c r="G125" s="95">
        <f t="shared" si="1"/>
        <v>370.7999999999999</v>
      </c>
      <c r="H125" s="96"/>
      <c r="I125" s="99"/>
    </row>
    <row r="126" spans="1:9" ht="18" customHeight="1" x14ac:dyDescent="0.25">
      <c r="A126" s="58"/>
      <c r="B126" s="59"/>
      <c r="C126" s="66" t="s">
        <v>189</v>
      </c>
      <c r="D126" s="61" t="s">
        <v>19</v>
      </c>
      <c r="E126" s="62"/>
      <c r="F126" s="282"/>
      <c r="G126" s="95">
        <f t="shared" si="1"/>
        <v>370.7999999999999</v>
      </c>
      <c r="H126" s="96"/>
      <c r="I126" s="99"/>
    </row>
    <row r="127" spans="1:9" ht="18" customHeight="1" x14ac:dyDescent="0.25">
      <c r="A127" s="58"/>
      <c r="B127" s="59"/>
      <c r="C127" s="66" t="s">
        <v>189</v>
      </c>
      <c r="D127" s="61" t="s">
        <v>19</v>
      </c>
      <c r="E127" s="62"/>
      <c r="F127" s="282"/>
      <c r="G127" s="95">
        <f t="shared" si="1"/>
        <v>370.7999999999999</v>
      </c>
      <c r="H127" s="96"/>
      <c r="I127" s="99"/>
    </row>
    <row r="128" spans="1:9" ht="18" customHeight="1" x14ac:dyDescent="0.25">
      <c r="A128" s="58"/>
      <c r="B128" s="59"/>
      <c r="C128" s="66" t="s">
        <v>189</v>
      </c>
      <c r="D128" s="61" t="s">
        <v>19</v>
      </c>
      <c r="E128" s="62"/>
      <c r="F128" s="282"/>
      <c r="G128" s="95">
        <f t="shared" si="1"/>
        <v>370.7999999999999</v>
      </c>
      <c r="H128" s="96"/>
      <c r="I128" s="99"/>
    </row>
    <row r="129" spans="1:9" ht="18" customHeight="1" x14ac:dyDescent="0.25">
      <c r="A129" s="58"/>
      <c r="B129" s="59"/>
      <c r="C129" s="66" t="s">
        <v>189</v>
      </c>
      <c r="D129" s="61" t="s">
        <v>19</v>
      </c>
      <c r="E129" s="62"/>
      <c r="F129" s="282"/>
      <c r="G129" s="95">
        <f t="shared" si="1"/>
        <v>370.7999999999999</v>
      </c>
      <c r="H129" s="96"/>
      <c r="I129" s="99"/>
    </row>
    <row r="130" spans="1:9" ht="18" customHeight="1" x14ac:dyDescent="0.25">
      <c r="A130" s="58"/>
      <c r="B130" s="59"/>
      <c r="C130" s="66" t="s">
        <v>189</v>
      </c>
      <c r="D130" s="61" t="s">
        <v>19</v>
      </c>
      <c r="E130" s="62"/>
      <c r="F130" s="282"/>
      <c r="G130" s="95">
        <f t="shared" si="1"/>
        <v>370.7999999999999</v>
      </c>
      <c r="H130" s="96"/>
      <c r="I130" s="99"/>
    </row>
    <row r="131" spans="1:9" ht="18" customHeight="1" x14ac:dyDescent="0.25">
      <c r="A131" s="58"/>
      <c r="B131" s="59"/>
      <c r="C131" s="66" t="s">
        <v>189</v>
      </c>
      <c r="D131" s="61" t="s">
        <v>19</v>
      </c>
      <c r="E131" s="62"/>
      <c r="F131" s="282"/>
      <c r="G131" s="95">
        <f t="shared" si="1"/>
        <v>370.7999999999999</v>
      </c>
      <c r="H131" s="96"/>
      <c r="I131" s="99"/>
    </row>
    <row r="132" spans="1:9" ht="18" customHeight="1" x14ac:dyDescent="0.25">
      <c r="A132" s="58"/>
      <c r="B132" s="59"/>
      <c r="C132" s="66" t="s">
        <v>189</v>
      </c>
      <c r="D132" s="61" t="s">
        <v>19</v>
      </c>
      <c r="E132" s="62"/>
      <c r="F132" s="282"/>
      <c r="G132" s="95">
        <f t="shared" si="1"/>
        <v>370.7999999999999</v>
      </c>
      <c r="H132" s="96"/>
      <c r="I132" s="99"/>
    </row>
    <row r="133" spans="1:9" ht="18" customHeight="1" x14ac:dyDescent="0.25">
      <c r="A133" s="58"/>
      <c r="B133" s="59"/>
      <c r="C133" s="66" t="s">
        <v>189</v>
      </c>
      <c r="D133" s="61" t="s">
        <v>19</v>
      </c>
      <c r="E133" s="62"/>
      <c r="F133" s="282"/>
      <c r="G133" s="95">
        <f t="shared" si="1"/>
        <v>370.7999999999999</v>
      </c>
      <c r="H133" s="96"/>
      <c r="I133" s="99"/>
    </row>
    <row r="134" spans="1:9" ht="18" customHeight="1" x14ac:dyDescent="0.25">
      <c r="A134" s="58"/>
      <c r="B134" s="59"/>
      <c r="C134" s="66" t="s">
        <v>189</v>
      </c>
      <c r="D134" s="61" t="s">
        <v>19</v>
      </c>
      <c r="E134" s="62"/>
      <c r="F134" s="282"/>
      <c r="G134" s="95">
        <f t="shared" si="1"/>
        <v>370.7999999999999</v>
      </c>
      <c r="H134" s="96"/>
      <c r="I134" s="99"/>
    </row>
    <row r="135" spans="1:9" ht="18" customHeight="1" x14ac:dyDescent="0.25">
      <c r="A135" s="58"/>
      <c r="B135" s="59"/>
      <c r="C135" s="66" t="s">
        <v>189</v>
      </c>
      <c r="D135" s="61" t="s">
        <v>19</v>
      </c>
      <c r="E135" s="62"/>
      <c r="F135" s="282"/>
      <c r="G135" s="95">
        <f t="shared" si="1"/>
        <v>370.7999999999999</v>
      </c>
      <c r="H135" s="96"/>
      <c r="I135" s="99"/>
    </row>
    <row r="136" spans="1:9" ht="18" customHeight="1" x14ac:dyDescent="0.25">
      <c r="A136" s="58"/>
      <c r="B136" s="59"/>
      <c r="C136" s="66" t="s">
        <v>189</v>
      </c>
      <c r="D136" s="65" t="s">
        <v>19</v>
      </c>
      <c r="E136" s="62"/>
      <c r="F136" s="282"/>
      <c r="G136" s="95">
        <f t="shared" si="1"/>
        <v>370.7999999999999</v>
      </c>
      <c r="H136" s="96"/>
      <c r="I136" s="99"/>
    </row>
    <row r="137" spans="1:9" ht="18" customHeight="1" x14ac:dyDescent="0.25">
      <c r="A137" s="58"/>
      <c r="B137" s="59"/>
      <c r="C137" s="66" t="s">
        <v>189</v>
      </c>
      <c r="D137" s="65" t="s">
        <v>19</v>
      </c>
      <c r="E137" s="62"/>
      <c r="F137" s="282"/>
      <c r="G137" s="95">
        <f t="shared" si="1"/>
        <v>370.7999999999999</v>
      </c>
      <c r="H137" s="96"/>
      <c r="I137" s="99"/>
    </row>
    <row r="138" spans="1:9" ht="18" customHeight="1" x14ac:dyDescent="0.25">
      <c r="A138" s="58"/>
      <c r="B138" s="59"/>
      <c r="C138" s="66" t="s">
        <v>189</v>
      </c>
      <c r="D138" s="65" t="s">
        <v>19</v>
      </c>
      <c r="E138" s="62"/>
      <c r="F138" s="282"/>
      <c r="G138" s="95">
        <f t="shared" ref="G138:G152" si="2">+G137+E138-F138</f>
        <v>370.7999999999999</v>
      </c>
      <c r="H138" s="96"/>
      <c r="I138" s="99"/>
    </row>
    <row r="139" spans="1:9" ht="18" customHeight="1" x14ac:dyDescent="0.25">
      <c r="A139" s="58"/>
      <c r="B139" s="59"/>
      <c r="C139" s="66" t="s">
        <v>189</v>
      </c>
      <c r="D139" s="65" t="s">
        <v>19</v>
      </c>
      <c r="E139" s="62"/>
      <c r="F139" s="282"/>
      <c r="G139" s="95">
        <f t="shared" si="2"/>
        <v>370.7999999999999</v>
      </c>
      <c r="H139" s="96"/>
      <c r="I139" s="99"/>
    </row>
    <row r="140" spans="1:9" ht="18" customHeight="1" x14ac:dyDescent="0.25">
      <c r="A140" s="58"/>
      <c r="B140" s="59"/>
      <c r="C140" s="66" t="s">
        <v>189</v>
      </c>
      <c r="D140" s="65" t="s">
        <v>19</v>
      </c>
      <c r="E140" s="62"/>
      <c r="F140" s="282"/>
      <c r="G140" s="95">
        <f t="shared" si="2"/>
        <v>370.7999999999999</v>
      </c>
      <c r="H140" s="96"/>
      <c r="I140" s="99"/>
    </row>
    <row r="141" spans="1:9" ht="18" customHeight="1" x14ac:dyDescent="0.25">
      <c r="A141" s="58"/>
      <c r="B141" s="59"/>
      <c r="C141" s="66" t="s">
        <v>189</v>
      </c>
      <c r="D141" s="65" t="s">
        <v>19</v>
      </c>
      <c r="E141" s="62"/>
      <c r="F141" s="282"/>
      <c r="G141" s="95">
        <f t="shared" si="2"/>
        <v>370.7999999999999</v>
      </c>
      <c r="H141" s="96"/>
      <c r="I141" s="99"/>
    </row>
    <row r="142" spans="1:9" ht="18" customHeight="1" x14ac:dyDescent="0.25">
      <c r="A142" s="58"/>
      <c r="B142" s="59"/>
      <c r="C142" s="66" t="s">
        <v>189</v>
      </c>
      <c r="D142" s="65" t="s">
        <v>19</v>
      </c>
      <c r="E142" s="62"/>
      <c r="F142" s="282"/>
      <c r="G142" s="95">
        <f t="shared" si="2"/>
        <v>370.7999999999999</v>
      </c>
      <c r="H142" s="96"/>
      <c r="I142" s="99"/>
    </row>
    <row r="143" spans="1:9" ht="18" customHeight="1" x14ac:dyDescent="0.25">
      <c r="A143" s="58"/>
      <c r="B143" s="59"/>
      <c r="C143" s="66" t="s">
        <v>189</v>
      </c>
      <c r="D143" s="65" t="s">
        <v>19</v>
      </c>
      <c r="E143" s="62"/>
      <c r="F143" s="282"/>
      <c r="G143" s="95">
        <f t="shared" si="2"/>
        <v>370.7999999999999</v>
      </c>
      <c r="H143" s="96"/>
      <c r="I143" s="99"/>
    </row>
    <row r="144" spans="1:9" ht="18" customHeight="1" x14ac:dyDescent="0.25">
      <c r="A144" s="58"/>
      <c r="B144" s="59"/>
      <c r="C144" s="66" t="s">
        <v>189</v>
      </c>
      <c r="D144" s="65" t="s">
        <v>19</v>
      </c>
      <c r="E144" s="62"/>
      <c r="F144" s="282"/>
      <c r="G144" s="95">
        <f t="shared" si="2"/>
        <v>370.7999999999999</v>
      </c>
      <c r="H144" s="96"/>
      <c r="I144" s="99"/>
    </row>
    <row r="145" spans="1:9" ht="18" customHeight="1" x14ac:dyDescent="0.25">
      <c r="A145" s="58"/>
      <c r="B145" s="59"/>
      <c r="C145" s="66" t="s">
        <v>189</v>
      </c>
      <c r="D145" s="65" t="s">
        <v>19</v>
      </c>
      <c r="E145" s="62"/>
      <c r="F145" s="282"/>
      <c r="G145" s="95">
        <f t="shared" si="2"/>
        <v>370.7999999999999</v>
      </c>
      <c r="H145" s="96"/>
      <c r="I145" s="99"/>
    </row>
    <row r="146" spans="1:9" ht="18" customHeight="1" x14ac:dyDescent="0.25">
      <c r="A146" s="58"/>
      <c r="B146" s="59"/>
      <c r="C146" s="66" t="s">
        <v>189</v>
      </c>
      <c r="D146" s="65" t="s">
        <v>19</v>
      </c>
      <c r="E146" s="62"/>
      <c r="F146" s="282"/>
      <c r="G146" s="95">
        <f t="shared" si="2"/>
        <v>370.7999999999999</v>
      </c>
      <c r="H146" s="96"/>
      <c r="I146" s="99"/>
    </row>
    <row r="147" spans="1:9" ht="18" customHeight="1" x14ac:dyDescent="0.25">
      <c r="A147" s="58"/>
      <c r="B147" s="59"/>
      <c r="C147" s="66" t="s">
        <v>189</v>
      </c>
      <c r="D147" s="65" t="s">
        <v>19</v>
      </c>
      <c r="E147" s="62"/>
      <c r="F147" s="282"/>
      <c r="G147" s="95">
        <f t="shared" si="2"/>
        <v>370.7999999999999</v>
      </c>
      <c r="H147" s="96"/>
      <c r="I147" s="99"/>
    </row>
    <row r="148" spans="1:9" ht="18" customHeight="1" x14ac:dyDescent="0.25">
      <c r="A148" s="58"/>
      <c r="B148" s="59"/>
      <c r="C148" s="66" t="s">
        <v>189</v>
      </c>
      <c r="D148" s="65" t="s">
        <v>19</v>
      </c>
      <c r="E148" s="62"/>
      <c r="F148" s="282"/>
      <c r="G148" s="95">
        <f t="shared" si="2"/>
        <v>370.7999999999999</v>
      </c>
      <c r="H148" s="96"/>
      <c r="I148" s="99"/>
    </row>
    <row r="149" spans="1:9" ht="18" customHeight="1" x14ac:dyDescent="0.25">
      <c r="A149" s="58"/>
      <c r="B149" s="59"/>
      <c r="C149" s="66" t="s">
        <v>189</v>
      </c>
      <c r="D149" s="65" t="s">
        <v>19</v>
      </c>
      <c r="E149" s="62"/>
      <c r="F149" s="282"/>
      <c r="G149" s="95">
        <f t="shared" si="2"/>
        <v>370.7999999999999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370.7999999999999</v>
      </c>
      <c r="H150" s="104"/>
      <c r="I150" s="99"/>
    </row>
    <row r="151" spans="1:9" x14ac:dyDescent="0.25">
      <c r="A151" s="65"/>
      <c r="B151" s="59"/>
      <c r="C151" s="105"/>
      <c r="D151" s="65" t="s">
        <v>19</v>
      </c>
      <c r="E151" s="289"/>
      <c r="F151" s="283"/>
      <c r="G151" s="95">
        <f t="shared" si="2"/>
        <v>370.7999999999999</v>
      </c>
      <c r="H151" s="106"/>
      <c r="I151" s="86"/>
    </row>
    <row r="152" spans="1:9" x14ac:dyDescent="0.25">
      <c r="A152" s="65"/>
      <c r="B152" s="73"/>
      <c r="C152" s="58"/>
      <c r="D152" s="65" t="s">
        <v>19</v>
      </c>
      <c r="E152" s="290"/>
      <c r="F152" s="284"/>
      <c r="G152" s="95">
        <f t="shared" si="2"/>
        <v>370.7999999999999</v>
      </c>
      <c r="H152" s="107"/>
      <c r="I152" s="86"/>
    </row>
    <row r="153" spans="1:9" x14ac:dyDescent="0.25">
      <c r="A153" s="58"/>
      <c r="B153" s="58"/>
      <c r="C153" s="81" t="s">
        <v>13</v>
      </c>
      <c r="D153" s="65"/>
      <c r="E153" s="285">
        <f>SUM(E9:E152)</f>
        <v>176.3</v>
      </c>
      <c r="F153" s="285">
        <f>SUM(F9:F152)</f>
        <v>357.49999999999994</v>
      </c>
      <c r="G153" s="320">
        <f>E153-F153+G8</f>
        <v>370.80000000000007</v>
      </c>
      <c r="H153" s="108"/>
      <c r="I153" s="109"/>
    </row>
  </sheetData>
  <mergeCells count="2">
    <mergeCell ref="A4:I5"/>
    <mergeCell ref="I22:J22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FFA6-5CC7-42F0-A80F-36458F3EAECA}">
  <sheetPr codeName="Sheet13"/>
  <dimension ref="A1:L153"/>
  <sheetViews>
    <sheetView topLeftCell="A20" workbookViewId="0">
      <selection activeCell="F35" sqref="F35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21.57031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27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>
        <v>119</v>
      </c>
      <c r="H8" s="92"/>
      <c r="I8" s="93"/>
    </row>
    <row r="9" spans="1:10" ht="18" customHeight="1" x14ac:dyDescent="0.25">
      <c r="A9" s="58"/>
      <c r="B9" s="59">
        <v>45700</v>
      </c>
      <c r="C9" s="66" t="s">
        <v>327</v>
      </c>
      <c r="D9" s="61" t="s">
        <v>19</v>
      </c>
      <c r="E9" s="62"/>
      <c r="F9" s="62">
        <v>4.5</v>
      </c>
      <c r="G9" s="95">
        <f>+G8+E9-F9</f>
        <v>114.5</v>
      </c>
      <c r="H9" s="96" t="s">
        <v>129</v>
      </c>
      <c r="I9" s="96" t="s">
        <v>90</v>
      </c>
    </row>
    <row r="10" spans="1:10" ht="18" customHeight="1" x14ac:dyDescent="0.25">
      <c r="A10" s="58"/>
      <c r="B10" s="59">
        <v>45701</v>
      </c>
      <c r="C10" s="66" t="s">
        <v>189</v>
      </c>
      <c r="D10" s="61" t="s">
        <v>19</v>
      </c>
      <c r="E10" s="62"/>
      <c r="F10" s="97">
        <v>12.1</v>
      </c>
      <c r="G10" s="95">
        <f t="shared" ref="G10:G73" si="0">+G9+E10-F10</f>
        <v>102.4</v>
      </c>
      <c r="H10" s="96" t="s">
        <v>129</v>
      </c>
      <c r="I10" s="96" t="s">
        <v>90</v>
      </c>
    </row>
    <row r="11" spans="1:10" ht="18" customHeight="1" x14ac:dyDescent="0.25">
      <c r="A11" s="58"/>
      <c r="B11" s="70">
        <v>45741</v>
      </c>
      <c r="C11" s="66" t="s">
        <v>189</v>
      </c>
      <c r="D11" s="61" t="s">
        <v>19</v>
      </c>
      <c r="E11" s="62"/>
      <c r="F11" s="97">
        <v>6.5</v>
      </c>
      <c r="G11" s="95">
        <f t="shared" si="0"/>
        <v>95.9</v>
      </c>
      <c r="H11" s="96" t="s">
        <v>129</v>
      </c>
      <c r="I11" s="96" t="s">
        <v>90</v>
      </c>
    </row>
    <row r="12" spans="1:10" ht="18" customHeight="1" x14ac:dyDescent="0.25">
      <c r="A12" s="58"/>
      <c r="B12" s="59">
        <v>45742</v>
      </c>
      <c r="C12" s="66" t="s">
        <v>189</v>
      </c>
      <c r="D12" s="61" t="s">
        <v>19</v>
      </c>
      <c r="E12" s="62"/>
      <c r="F12" s="97">
        <v>10.7</v>
      </c>
      <c r="G12" s="95">
        <f t="shared" si="0"/>
        <v>85.2</v>
      </c>
      <c r="H12" s="96" t="s">
        <v>129</v>
      </c>
      <c r="I12" s="96" t="s">
        <v>90</v>
      </c>
    </row>
    <row r="13" spans="1:10" ht="18" customHeight="1" x14ac:dyDescent="0.25">
      <c r="A13" s="58"/>
      <c r="B13" s="59">
        <v>45791</v>
      </c>
      <c r="C13" s="66" t="s">
        <v>189</v>
      </c>
      <c r="D13" s="61" t="s">
        <v>19</v>
      </c>
      <c r="E13" s="62"/>
      <c r="F13" s="97">
        <v>12</v>
      </c>
      <c r="G13" s="95">
        <f t="shared" si="0"/>
        <v>73.2</v>
      </c>
      <c r="H13" s="96" t="s">
        <v>129</v>
      </c>
      <c r="I13" s="96" t="s">
        <v>90</v>
      </c>
    </row>
    <row r="14" spans="1:10" ht="18" customHeight="1" x14ac:dyDescent="0.25">
      <c r="A14" s="58"/>
      <c r="B14" s="59">
        <v>45800</v>
      </c>
      <c r="C14" s="66" t="s">
        <v>189</v>
      </c>
      <c r="D14" s="61" t="s">
        <v>19</v>
      </c>
      <c r="E14" s="62"/>
      <c r="F14" s="97">
        <v>6</v>
      </c>
      <c r="G14" s="95">
        <f t="shared" si="0"/>
        <v>67.2</v>
      </c>
      <c r="H14" s="96" t="s">
        <v>129</v>
      </c>
      <c r="I14" s="96" t="s">
        <v>394</v>
      </c>
    </row>
    <row r="15" spans="1:10" ht="18" customHeight="1" x14ac:dyDescent="0.25">
      <c r="A15" s="58"/>
      <c r="B15" s="59">
        <v>45809</v>
      </c>
      <c r="C15" s="66" t="s">
        <v>189</v>
      </c>
      <c r="D15" s="61" t="s">
        <v>19</v>
      </c>
      <c r="E15" s="62"/>
      <c r="F15" s="97">
        <v>0.5</v>
      </c>
      <c r="G15" s="95">
        <f t="shared" si="0"/>
        <v>66.7</v>
      </c>
      <c r="H15" s="96" t="s">
        <v>129</v>
      </c>
      <c r="I15" s="96" t="s">
        <v>398</v>
      </c>
    </row>
    <row r="16" spans="1:10" ht="18" customHeight="1" x14ac:dyDescent="0.25">
      <c r="A16" s="58"/>
      <c r="B16" s="59">
        <v>45812</v>
      </c>
      <c r="C16" s="66" t="s">
        <v>189</v>
      </c>
      <c r="D16" s="61" t="s">
        <v>19</v>
      </c>
      <c r="E16" s="62"/>
      <c r="F16" s="97">
        <v>19</v>
      </c>
      <c r="G16" s="95">
        <f t="shared" si="0"/>
        <v>47.7</v>
      </c>
      <c r="H16" s="96" t="s">
        <v>129</v>
      </c>
      <c r="I16" s="96" t="s">
        <v>90</v>
      </c>
      <c r="J16" s="72"/>
    </row>
    <row r="17" spans="1:12" ht="18" customHeight="1" x14ac:dyDescent="0.25">
      <c r="A17" s="58"/>
      <c r="B17" s="98">
        <v>45824</v>
      </c>
      <c r="C17" s="66" t="s">
        <v>189</v>
      </c>
      <c r="D17" s="61" t="s">
        <v>19</v>
      </c>
      <c r="E17" s="62"/>
      <c r="F17" s="62">
        <v>20</v>
      </c>
      <c r="G17" s="95">
        <f t="shared" si="0"/>
        <v>27.700000000000003</v>
      </c>
      <c r="H17" s="96" t="s">
        <v>129</v>
      </c>
      <c r="I17" s="96" t="s">
        <v>90</v>
      </c>
      <c r="J17" s="72"/>
    </row>
    <row r="18" spans="1:12" ht="18" customHeight="1" x14ac:dyDescent="0.25">
      <c r="A18" s="100"/>
      <c r="B18" s="101">
        <v>45834</v>
      </c>
      <c r="C18" s="350" t="s">
        <v>189</v>
      </c>
      <c r="D18" s="351" t="s">
        <v>19</v>
      </c>
      <c r="E18" s="288"/>
      <c r="F18" s="281">
        <v>6.5</v>
      </c>
      <c r="G18" s="352">
        <f t="shared" si="0"/>
        <v>21.200000000000003</v>
      </c>
      <c r="H18" s="353" t="s">
        <v>129</v>
      </c>
      <c r="I18" s="354" t="s">
        <v>248</v>
      </c>
      <c r="J18" s="72"/>
    </row>
    <row r="19" spans="1:12" ht="18" customHeight="1" x14ac:dyDescent="0.25">
      <c r="A19" s="58"/>
      <c r="B19" s="59">
        <v>45835</v>
      </c>
      <c r="C19" s="66" t="s">
        <v>189</v>
      </c>
      <c r="D19" s="61" t="s">
        <v>19</v>
      </c>
      <c r="E19" s="62"/>
      <c r="F19" s="97">
        <v>9</v>
      </c>
      <c r="G19" s="95">
        <f t="shared" si="0"/>
        <v>12.200000000000003</v>
      </c>
      <c r="H19" s="96" t="s">
        <v>129</v>
      </c>
      <c r="I19" s="96" t="s">
        <v>90</v>
      </c>
      <c r="J19" s="72"/>
    </row>
    <row r="20" spans="1:12" ht="18" customHeight="1" x14ac:dyDescent="0.25">
      <c r="A20" s="58"/>
      <c r="B20" s="59">
        <v>45839</v>
      </c>
      <c r="C20" s="66" t="s">
        <v>189</v>
      </c>
      <c r="D20" s="61" t="s">
        <v>19</v>
      </c>
      <c r="E20" s="62"/>
      <c r="F20" s="97">
        <v>8.4</v>
      </c>
      <c r="G20" s="95">
        <f t="shared" si="0"/>
        <v>3.8000000000000025</v>
      </c>
      <c r="H20" s="96" t="s">
        <v>129</v>
      </c>
      <c r="I20" s="96" t="s">
        <v>90</v>
      </c>
      <c r="J20" s="72"/>
    </row>
    <row r="21" spans="1:12" ht="18" customHeight="1" x14ac:dyDescent="0.25">
      <c r="A21" s="58"/>
      <c r="B21" s="59">
        <v>45849</v>
      </c>
      <c r="C21" s="66" t="s">
        <v>189</v>
      </c>
      <c r="D21" s="61" t="s">
        <v>19</v>
      </c>
      <c r="E21" s="62">
        <v>219</v>
      </c>
      <c r="F21" s="97"/>
      <c r="G21" s="95">
        <f t="shared" si="0"/>
        <v>222.8</v>
      </c>
      <c r="H21" s="96" t="s">
        <v>129</v>
      </c>
      <c r="I21" s="96" t="s">
        <v>90</v>
      </c>
      <c r="J21" s="72"/>
    </row>
    <row r="22" spans="1:12" ht="18" customHeight="1" x14ac:dyDescent="0.25">
      <c r="A22" s="58"/>
      <c r="B22" s="59">
        <v>45850</v>
      </c>
      <c r="C22" s="66" t="s">
        <v>189</v>
      </c>
      <c r="D22" s="61" t="s">
        <v>19</v>
      </c>
      <c r="E22" s="62"/>
      <c r="F22" s="62">
        <v>11</v>
      </c>
      <c r="G22" s="95">
        <f t="shared" si="0"/>
        <v>211.8</v>
      </c>
      <c r="H22" s="96" t="s">
        <v>129</v>
      </c>
      <c r="I22" s="96" t="s">
        <v>90</v>
      </c>
      <c r="J22" s="72"/>
    </row>
    <row r="23" spans="1:12" ht="18" customHeight="1" x14ac:dyDescent="0.25">
      <c r="A23" s="58"/>
      <c r="B23" s="59">
        <v>45869</v>
      </c>
      <c r="C23" s="66" t="s">
        <v>189</v>
      </c>
      <c r="D23" s="61" t="s">
        <v>19</v>
      </c>
      <c r="E23" s="62"/>
      <c r="F23" s="62">
        <v>12.8</v>
      </c>
      <c r="G23" s="95">
        <f t="shared" si="0"/>
        <v>199</v>
      </c>
      <c r="H23" s="96" t="s">
        <v>129</v>
      </c>
      <c r="I23" s="96" t="s">
        <v>90</v>
      </c>
      <c r="J23" s="72"/>
    </row>
    <row r="24" spans="1:12" ht="18" customHeight="1" x14ac:dyDescent="0.25">
      <c r="A24" s="58"/>
      <c r="B24" s="59">
        <v>45870</v>
      </c>
      <c r="C24" s="66" t="s">
        <v>189</v>
      </c>
      <c r="D24" s="61" t="s">
        <v>19</v>
      </c>
      <c r="E24" s="62"/>
      <c r="F24" s="97">
        <v>17.2</v>
      </c>
      <c r="G24" s="95">
        <f t="shared" si="0"/>
        <v>181.8</v>
      </c>
      <c r="H24" s="96" t="s">
        <v>129</v>
      </c>
      <c r="I24" s="96" t="s">
        <v>257</v>
      </c>
    </row>
    <row r="25" spans="1:12" ht="18" customHeight="1" x14ac:dyDescent="0.25">
      <c r="A25" s="58"/>
      <c r="B25" s="59">
        <v>45875</v>
      </c>
      <c r="C25" s="66" t="s">
        <v>189</v>
      </c>
      <c r="D25" s="61" t="s">
        <v>19</v>
      </c>
      <c r="E25" s="62"/>
      <c r="F25" s="97">
        <v>5.5</v>
      </c>
      <c r="G25" s="95">
        <f t="shared" si="0"/>
        <v>176.3</v>
      </c>
      <c r="H25" s="96" t="s">
        <v>129</v>
      </c>
      <c r="I25" s="96" t="s">
        <v>90</v>
      </c>
    </row>
    <row r="26" spans="1:12" ht="18" customHeight="1" x14ac:dyDescent="0.25">
      <c r="A26" s="58"/>
      <c r="B26" s="59">
        <v>45915</v>
      </c>
      <c r="C26" s="66" t="s">
        <v>189</v>
      </c>
      <c r="D26" s="61" t="s">
        <v>19</v>
      </c>
      <c r="E26" s="62"/>
      <c r="F26" s="97">
        <v>176.3</v>
      </c>
      <c r="G26" s="95">
        <f t="shared" si="0"/>
        <v>0</v>
      </c>
      <c r="H26" s="96" t="s">
        <v>129</v>
      </c>
      <c r="I26" s="96" t="s">
        <v>443</v>
      </c>
    </row>
    <row r="27" spans="1:12" s="102" customFormat="1" ht="18" customHeight="1" x14ac:dyDescent="0.25">
      <c r="A27" s="100"/>
      <c r="B27" s="101">
        <v>45916</v>
      </c>
      <c r="C27" s="66" t="s">
        <v>189</v>
      </c>
      <c r="D27" s="61" t="s">
        <v>19</v>
      </c>
      <c r="E27" s="288">
        <v>50</v>
      </c>
      <c r="F27" s="281"/>
      <c r="G27" s="95">
        <f t="shared" si="0"/>
        <v>50</v>
      </c>
      <c r="H27" s="96" t="s">
        <v>129</v>
      </c>
      <c r="I27" s="96" t="s">
        <v>90</v>
      </c>
    </row>
    <row r="28" spans="1:12" ht="18" customHeight="1" x14ac:dyDescent="0.25">
      <c r="A28" s="58"/>
      <c r="B28" s="59">
        <v>45917</v>
      </c>
      <c r="C28" s="66" t="s">
        <v>189</v>
      </c>
      <c r="D28" s="61" t="s">
        <v>19</v>
      </c>
      <c r="E28" s="62"/>
      <c r="F28" s="97">
        <v>10.8</v>
      </c>
      <c r="G28" s="95">
        <f t="shared" si="0"/>
        <v>39.200000000000003</v>
      </c>
      <c r="H28" s="96" t="s">
        <v>129</v>
      </c>
      <c r="I28" s="96" t="s">
        <v>90</v>
      </c>
    </row>
    <row r="29" spans="1:12" ht="18" customHeight="1" x14ac:dyDescent="0.25">
      <c r="A29" s="58"/>
      <c r="B29" s="59">
        <v>45918</v>
      </c>
      <c r="C29" s="66" t="s">
        <v>189</v>
      </c>
      <c r="D29" s="61" t="s">
        <v>19</v>
      </c>
      <c r="E29" s="62"/>
      <c r="F29" s="62">
        <v>3.7</v>
      </c>
      <c r="G29" s="95">
        <f t="shared" si="0"/>
        <v>35.5</v>
      </c>
      <c r="H29" s="96" t="s">
        <v>129</v>
      </c>
      <c r="I29" s="96" t="s">
        <v>90</v>
      </c>
    </row>
    <row r="30" spans="1:12" ht="18" customHeight="1" x14ac:dyDescent="0.25">
      <c r="A30" s="58"/>
      <c r="B30" s="59">
        <v>45924</v>
      </c>
      <c r="C30" s="66" t="s">
        <v>189</v>
      </c>
      <c r="D30" s="61" t="s">
        <v>19</v>
      </c>
      <c r="E30" s="62"/>
      <c r="F30" s="62">
        <v>8.8000000000000007</v>
      </c>
      <c r="G30" s="95">
        <f t="shared" si="0"/>
        <v>26.7</v>
      </c>
      <c r="H30" s="96" t="s">
        <v>129</v>
      </c>
      <c r="I30" s="96" t="s">
        <v>90</v>
      </c>
    </row>
    <row r="31" spans="1:12" ht="18" customHeight="1" x14ac:dyDescent="0.25">
      <c r="A31" s="58"/>
      <c r="B31" s="59">
        <v>45925</v>
      </c>
      <c r="C31" s="66" t="s">
        <v>189</v>
      </c>
      <c r="D31" s="61" t="s">
        <v>19</v>
      </c>
      <c r="E31" s="62"/>
      <c r="F31" s="62">
        <v>7.8</v>
      </c>
      <c r="G31" s="95">
        <f t="shared" si="0"/>
        <v>18.899999999999999</v>
      </c>
      <c r="H31" s="96" t="s">
        <v>129</v>
      </c>
      <c r="I31" s="96" t="s">
        <v>90</v>
      </c>
      <c r="L31" s="429"/>
    </row>
    <row r="32" spans="1:12" ht="18" customHeight="1" x14ac:dyDescent="0.25">
      <c r="A32" s="58"/>
      <c r="B32" s="59">
        <v>45926</v>
      </c>
      <c r="C32" s="66" t="s">
        <v>189</v>
      </c>
      <c r="D32" s="61" t="s">
        <v>19</v>
      </c>
      <c r="E32" s="62"/>
      <c r="F32" s="62">
        <v>7.7</v>
      </c>
      <c r="G32" s="95">
        <f t="shared" si="0"/>
        <v>11.2</v>
      </c>
      <c r="H32" s="96" t="s">
        <v>129</v>
      </c>
      <c r="I32" s="96" t="s">
        <v>90</v>
      </c>
    </row>
    <row r="33" spans="1:9" ht="18" customHeight="1" x14ac:dyDescent="0.25">
      <c r="A33" s="58"/>
      <c r="B33" s="59">
        <v>45927</v>
      </c>
      <c r="C33" s="66" t="s">
        <v>189</v>
      </c>
      <c r="D33" s="61" t="s">
        <v>19</v>
      </c>
      <c r="E33" s="62"/>
      <c r="F33" s="62">
        <v>2.2999999999999998</v>
      </c>
      <c r="G33" s="95">
        <f t="shared" si="0"/>
        <v>8.8999999999999986</v>
      </c>
      <c r="H33" s="96" t="s">
        <v>129</v>
      </c>
      <c r="I33" s="96" t="s">
        <v>90</v>
      </c>
    </row>
    <row r="34" spans="1:9" ht="18" customHeight="1" x14ac:dyDescent="0.25">
      <c r="A34" s="58"/>
      <c r="B34" s="59">
        <v>45930</v>
      </c>
      <c r="C34" s="66" t="s">
        <v>189</v>
      </c>
      <c r="D34" s="61" t="s">
        <v>19</v>
      </c>
      <c r="E34" s="62">
        <f>8*25+5</f>
        <v>205</v>
      </c>
      <c r="F34" s="62">
        <v>10</v>
      </c>
      <c r="G34" s="95">
        <f t="shared" si="0"/>
        <v>203.9</v>
      </c>
      <c r="H34" s="96" t="s">
        <v>129</v>
      </c>
      <c r="I34" s="96" t="s">
        <v>90</v>
      </c>
    </row>
    <row r="35" spans="1:9" ht="18" customHeight="1" x14ac:dyDescent="0.25">
      <c r="A35" s="58"/>
      <c r="B35" s="59">
        <v>45938</v>
      </c>
      <c r="C35" s="66" t="s">
        <v>189</v>
      </c>
      <c r="D35" s="61" t="s">
        <v>19</v>
      </c>
      <c r="E35" s="62"/>
      <c r="F35" s="62">
        <v>5.6</v>
      </c>
      <c r="G35" s="95">
        <f t="shared" si="0"/>
        <v>198.3</v>
      </c>
      <c r="H35" s="96" t="s">
        <v>129</v>
      </c>
      <c r="I35" s="96" t="s">
        <v>90</v>
      </c>
    </row>
    <row r="36" spans="1:9" ht="18" customHeight="1" x14ac:dyDescent="0.25">
      <c r="A36" s="58"/>
      <c r="B36" s="59"/>
      <c r="C36" s="66" t="s">
        <v>189</v>
      </c>
      <c r="D36" s="61" t="s">
        <v>19</v>
      </c>
      <c r="E36" s="62"/>
      <c r="F36" s="62"/>
      <c r="G36" s="95">
        <f t="shared" si="0"/>
        <v>198.3</v>
      </c>
      <c r="H36" s="96" t="s">
        <v>129</v>
      </c>
      <c r="I36" s="96" t="s">
        <v>90</v>
      </c>
    </row>
    <row r="37" spans="1:9" ht="18" customHeight="1" x14ac:dyDescent="0.25">
      <c r="A37" s="58"/>
      <c r="B37" s="59"/>
      <c r="C37" s="66" t="s">
        <v>189</v>
      </c>
      <c r="D37" s="61" t="s">
        <v>19</v>
      </c>
      <c r="E37" s="62"/>
      <c r="F37" s="62"/>
      <c r="G37" s="95">
        <f t="shared" si="0"/>
        <v>198.3</v>
      </c>
      <c r="H37" s="96" t="s">
        <v>129</v>
      </c>
      <c r="I37" s="96" t="s">
        <v>90</v>
      </c>
    </row>
    <row r="38" spans="1:9" ht="18" customHeight="1" x14ac:dyDescent="0.25">
      <c r="A38" s="58"/>
      <c r="B38" s="59"/>
      <c r="C38" s="66" t="s">
        <v>189</v>
      </c>
      <c r="D38" s="61" t="s">
        <v>19</v>
      </c>
      <c r="E38" s="62"/>
      <c r="F38" s="62"/>
      <c r="G38" s="95">
        <f t="shared" si="0"/>
        <v>198.3</v>
      </c>
      <c r="H38" s="96" t="s">
        <v>129</v>
      </c>
      <c r="I38" s="96" t="s">
        <v>90</v>
      </c>
    </row>
    <row r="39" spans="1:9" ht="18" customHeight="1" x14ac:dyDescent="0.25">
      <c r="A39" s="58"/>
      <c r="B39" s="59"/>
      <c r="C39" s="66" t="s">
        <v>189</v>
      </c>
      <c r="D39" s="61" t="s">
        <v>19</v>
      </c>
      <c r="E39" s="62"/>
      <c r="F39" s="62"/>
      <c r="G39" s="95">
        <f t="shared" si="0"/>
        <v>198.3</v>
      </c>
      <c r="H39" s="96" t="s">
        <v>129</v>
      </c>
      <c r="I39" s="96" t="s">
        <v>90</v>
      </c>
    </row>
    <row r="40" spans="1:9" ht="18" customHeight="1" x14ac:dyDescent="0.25">
      <c r="A40" s="58"/>
      <c r="B40" s="59"/>
      <c r="C40" s="66" t="s">
        <v>189</v>
      </c>
      <c r="D40" s="61" t="s">
        <v>19</v>
      </c>
      <c r="E40" s="62"/>
      <c r="F40" s="103"/>
      <c r="G40" s="95">
        <f t="shared" si="0"/>
        <v>198.3</v>
      </c>
      <c r="H40" s="96" t="s">
        <v>93</v>
      </c>
      <c r="I40" s="96" t="s">
        <v>90</v>
      </c>
    </row>
    <row r="41" spans="1:9" ht="18" customHeight="1" x14ac:dyDescent="0.25">
      <c r="A41" s="58"/>
      <c r="B41" s="59"/>
      <c r="C41" s="66" t="s">
        <v>189</v>
      </c>
      <c r="D41" s="61" t="s">
        <v>19</v>
      </c>
      <c r="E41" s="62"/>
      <c r="F41" s="103"/>
      <c r="G41" s="95">
        <f t="shared" si="0"/>
        <v>198.3</v>
      </c>
      <c r="H41" s="96" t="s">
        <v>93</v>
      </c>
      <c r="I41" s="96" t="s">
        <v>90</v>
      </c>
    </row>
    <row r="42" spans="1:9" ht="18" customHeight="1" x14ac:dyDescent="0.25">
      <c r="A42" s="58"/>
      <c r="B42" s="59"/>
      <c r="C42" s="66" t="s">
        <v>189</v>
      </c>
      <c r="D42" s="61" t="s">
        <v>19</v>
      </c>
      <c r="E42" s="62"/>
      <c r="F42" s="103"/>
      <c r="G42" s="95">
        <f t="shared" si="0"/>
        <v>198.3</v>
      </c>
      <c r="H42" s="96" t="s">
        <v>93</v>
      </c>
      <c r="I42" s="96" t="s">
        <v>90</v>
      </c>
    </row>
    <row r="43" spans="1:9" ht="18" customHeight="1" x14ac:dyDescent="0.25">
      <c r="A43" s="58"/>
      <c r="B43" s="59"/>
      <c r="C43" s="66" t="s">
        <v>189</v>
      </c>
      <c r="D43" s="61" t="s">
        <v>19</v>
      </c>
      <c r="E43" s="62"/>
      <c r="F43" s="103"/>
      <c r="G43" s="95">
        <f t="shared" si="0"/>
        <v>198.3</v>
      </c>
      <c r="H43" s="96" t="s">
        <v>93</v>
      </c>
      <c r="I43" s="96" t="s">
        <v>90</v>
      </c>
    </row>
    <row r="44" spans="1:9" ht="18" customHeight="1" x14ac:dyDescent="0.25">
      <c r="A44" s="58"/>
      <c r="B44" s="59"/>
      <c r="C44" s="66" t="s">
        <v>189</v>
      </c>
      <c r="D44" s="61" t="s">
        <v>19</v>
      </c>
      <c r="E44" s="62"/>
      <c r="F44" s="103"/>
      <c r="G44" s="95">
        <f t="shared" si="0"/>
        <v>198.3</v>
      </c>
      <c r="H44" s="96" t="s">
        <v>93</v>
      </c>
      <c r="I44" s="96" t="s">
        <v>90</v>
      </c>
    </row>
    <row r="45" spans="1:9" ht="18" customHeight="1" x14ac:dyDescent="0.25">
      <c r="A45" s="58"/>
      <c r="B45" s="59"/>
      <c r="C45" s="66" t="s">
        <v>189</v>
      </c>
      <c r="D45" s="61" t="s">
        <v>19</v>
      </c>
      <c r="E45" s="62"/>
      <c r="F45" s="103"/>
      <c r="G45" s="95">
        <f t="shared" si="0"/>
        <v>198.3</v>
      </c>
      <c r="H45" s="96" t="s">
        <v>93</v>
      </c>
      <c r="I45" s="96" t="s">
        <v>90</v>
      </c>
    </row>
    <row r="46" spans="1:9" ht="18" customHeight="1" x14ac:dyDescent="0.25">
      <c r="A46" s="58"/>
      <c r="B46" s="59"/>
      <c r="C46" s="66" t="s">
        <v>189</v>
      </c>
      <c r="D46" s="61" t="s">
        <v>19</v>
      </c>
      <c r="E46" s="62"/>
      <c r="F46" s="103"/>
      <c r="G46" s="95">
        <f t="shared" si="0"/>
        <v>198.3</v>
      </c>
      <c r="H46" s="96" t="s">
        <v>93</v>
      </c>
      <c r="I46" s="96" t="s">
        <v>90</v>
      </c>
    </row>
    <row r="47" spans="1:9" ht="18" customHeight="1" x14ac:dyDescent="0.25">
      <c r="A47" s="58"/>
      <c r="B47" s="59"/>
      <c r="C47" s="66" t="s">
        <v>189</v>
      </c>
      <c r="D47" s="61" t="s">
        <v>19</v>
      </c>
      <c r="E47" s="62"/>
      <c r="F47" s="103"/>
      <c r="G47" s="95">
        <f t="shared" si="0"/>
        <v>198.3</v>
      </c>
      <c r="H47" s="96" t="s">
        <v>93</v>
      </c>
      <c r="I47" s="96" t="s">
        <v>90</v>
      </c>
    </row>
    <row r="48" spans="1:9" ht="18" customHeight="1" x14ac:dyDescent="0.25">
      <c r="A48" s="58"/>
      <c r="B48" s="59"/>
      <c r="C48" s="66" t="s">
        <v>189</v>
      </c>
      <c r="D48" s="61" t="s">
        <v>19</v>
      </c>
      <c r="E48" s="62"/>
      <c r="F48" s="103"/>
      <c r="G48" s="95">
        <f t="shared" si="0"/>
        <v>198.3</v>
      </c>
      <c r="H48" s="96" t="s">
        <v>93</v>
      </c>
      <c r="I48" s="96" t="s">
        <v>90</v>
      </c>
    </row>
    <row r="49" spans="1:9" ht="18" customHeight="1" x14ac:dyDescent="0.25">
      <c r="A49" s="58"/>
      <c r="B49" s="59"/>
      <c r="C49" s="66" t="s">
        <v>189</v>
      </c>
      <c r="D49" s="61" t="s">
        <v>19</v>
      </c>
      <c r="E49" s="62"/>
      <c r="F49" s="103"/>
      <c r="G49" s="95">
        <f t="shared" si="0"/>
        <v>198.3</v>
      </c>
      <c r="H49" s="96" t="s">
        <v>93</v>
      </c>
      <c r="I49" s="96" t="s">
        <v>90</v>
      </c>
    </row>
    <row r="50" spans="1:9" ht="18" customHeight="1" x14ac:dyDescent="0.25">
      <c r="A50" s="58"/>
      <c r="B50" s="59"/>
      <c r="C50" s="66" t="s">
        <v>189</v>
      </c>
      <c r="D50" s="61" t="s">
        <v>19</v>
      </c>
      <c r="E50" s="62"/>
      <c r="F50" s="103"/>
      <c r="G50" s="95">
        <f t="shared" si="0"/>
        <v>198.3</v>
      </c>
      <c r="H50" s="96" t="s">
        <v>93</v>
      </c>
      <c r="I50" s="96" t="s">
        <v>90</v>
      </c>
    </row>
    <row r="51" spans="1:9" ht="18" customHeight="1" x14ac:dyDescent="0.25">
      <c r="A51" s="58"/>
      <c r="B51" s="59"/>
      <c r="C51" s="66" t="s">
        <v>189</v>
      </c>
      <c r="D51" s="61" t="s">
        <v>19</v>
      </c>
      <c r="E51" s="62"/>
      <c r="F51" s="103"/>
      <c r="G51" s="95">
        <f t="shared" si="0"/>
        <v>198.3</v>
      </c>
      <c r="H51" s="96" t="s">
        <v>93</v>
      </c>
      <c r="I51" s="96" t="s">
        <v>90</v>
      </c>
    </row>
    <row r="52" spans="1:9" ht="18" customHeight="1" x14ac:dyDescent="0.25">
      <c r="A52" s="58"/>
      <c r="B52" s="59"/>
      <c r="C52" s="66" t="s">
        <v>189</v>
      </c>
      <c r="D52" s="61" t="s">
        <v>19</v>
      </c>
      <c r="E52" s="62"/>
      <c r="F52" s="103"/>
      <c r="G52" s="95">
        <f t="shared" si="0"/>
        <v>198.3</v>
      </c>
      <c r="H52" s="96" t="s">
        <v>93</v>
      </c>
      <c r="I52" s="96" t="s">
        <v>90</v>
      </c>
    </row>
    <row r="53" spans="1:9" ht="18" customHeight="1" x14ac:dyDescent="0.25">
      <c r="A53" s="58"/>
      <c r="B53" s="59"/>
      <c r="C53" s="66" t="s">
        <v>189</v>
      </c>
      <c r="D53" s="61" t="s">
        <v>19</v>
      </c>
      <c r="E53" s="62"/>
      <c r="F53" s="103"/>
      <c r="G53" s="95">
        <f t="shared" si="0"/>
        <v>198.3</v>
      </c>
      <c r="H53" s="96" t="s">
        <v>93</v>
      </c>
      <c r="I53" s="96" t="s">
        <v>90</v>
      </c>
    </row>
    <row r="54" spans="1:9" ht="18" customHeight="1" x14ac:dyDescent="0.25">
      <c r="A54" s="58"/>
      <c r="B54" s="59"/>
      <c r="C54" s="66" t="s">
        <v>189</v>
      </c>
      <c r="D54" s="61" t="s">
        <v>19</v>
      </c>
      <c r="E54" s="62"/>
      <c r="F54" s="103"/>
      <c r="G54" s="95">
        <f t="shared" si="0"/>
        <v>198.3</v>
      </c>
      <c r="H54" s="96" t="s">
        <v>93</v>
      </c>
      <c r="I54" s="96" t="s">
        <v>90</v>
      </c>
    </row>
    <row r="55" spans="1:9" ht="18" customHeight="1" x14ac:dyDescent="0.25">
      <c r="A55" s="58"/>
      <c r="B55" s="59"/>
      <c r="C55" s="66" t="s">
        <v>189</v>
      </c>
      <c r="D55" s="61" t="s">
        <v>19</v>
      </c>
      <c r="E55" s="62"/>
      <c r="F55" s="103"/>
      <c r="G55" s="95">
        <f t="shared" si="0"/>
        <v>198.3</v>
      </c>
      <c r="H55" s="96" t="s">
        <v>93</v>
      </c>
      <c r="I55" s="96" t="s">
        <v>90</v>
      </c>
    </row>
    <row r="56" spans="1:9" ht="18" customHeight="1" x14ac:dyDescent="0.25">
      <c r="A56" s="58"/>
      <c r="B56" s="59"/>
      <c r="C56" s="66" t="s">
        <v>189</v>
      </c>
      <c r="D56" s="61" t="s">
        <v>19</v>
      </c>
      <c r="E56" s="62"/>
      <c r="F56" s="103"/>
      <c r="G56" s="95">
        <f t="shared" si="0"/>
        <v>198.3</v>
      </c>
      <c r="H56" s="96" t="s">
        <v>93</v>
      </c>
      <c r="I56" s="96" t="s">
        <v>90</v>
      </c>
    </row>
    <row r="57" spans="1:9" ht="18" customHeight="1" x14ac:dyDescent="0.25">
      <c r="A57" s="58"/>
      <c r="B57" s="59"/>
      <c r="C57" s="66" t="s">
        <v>189</v>
      </c>
      <c r="D57" s="61" t="s">
        <v>19</v>
      </c>
      <c r="E57" s="62"/>
      <c r="F57" s="103"/>
      <c r="G57" s="95">
        <f t="shared" si="0"/>
        <v>198.3</v>
      </c>
      <c r="H57" s="96" t="s">
        <v>93</v>
      </c>
      <c r="I57" s="96" t="s">
        <v>90</v>
      </c>
    </row>
    <row r="58" spans="1:9" ht="18" customHeight="1" x14ac:dyDescent="0.25">
      <c r="A58" s="58"/>
      <c r="B58" s="59"/>
      <c r="C58" s="66" t="s">
        <v>189</v>
      </c>
      <c r="D58" s="61" t="s">
        <v>19</v>
      </c>
      <c r="E58" s="62"/>
      <c r="F58" s="282"/>
      <c r="G58" s="95">
        <f t="shared" si="0"/>
        <v>198.3</v>
      </c>
      <c r="H58" s="96" t="s">
        <v>93</v>
      </c>
      <c r="I58" s="96" t="s">
        <v>90</v>
      </c>
    </row>
    <row r="59" spans="1:9" ht="18" customHeight="1" x14ac:dyDescent="0.25">
      <c r="A59" s="58"/>
      <c r="B59" s="59"/>
      <c r="C59" s="66" t="s">
        <v>189</v>
      </c>
      <c r="D59" s="61" t="s">
        <v>19</v>
      </c>
      <c r="E59" s="62"/>
      <c r="F59" s="282"/>
      <c r="G59" s="95">
        <f t="shared" si="0"/>
        <v>198.3</v>
      </c>
      <c r="H59" s="96" t="s">
        <v>93</v>
      </c>
      <c r="I59" s="96" t="s">
        <v>90</v>
      </c>
    </row>
    <row r="60" spans="1:9" ht="18" customHeight="1" x14ac:dyDescent="0.25">
      <c r="A60" s="58"/>
      <c r="B60" s="59"/>
      <c r="C60" s="66" t="s">
        <v>189</v>
      </c>
      <c r="D60" s="61" t="s">
        <v>19</v>
      </c>
      <c r="E60" s="62"/>
      <c r="F60" s="282"/>
      <c r="G60" s="95">
        <f t="shared" si="0"/>
        <v>198.3</v>
      </c>
      <c r="H60" s="96" t="s">
        <v>93</v>
      </c>
      <c r="I60" s="96" t="s">
        <v>90</v>
      </c>
    </row>
    <row r="61" spans="1:9" ht="18" customHeight="1" x14ac:dyDescent="0.25">
      <c r="A61" s="58"/>
      <c r="B61" s="59"/>
      <c r="C61" s="66" t="s">
        <v>189</v>
      </c>
      <c r="D61" s="61" t="s">
        <v>19</v>
      </c>
      <c r="E61" s="62"/>
      <c r="F61" s="282"/>
      <c r="G61" s="95">
        <f t="shared" si="0"/>
        <v>198.3</v>
      </c>
      <c r="H61" s="96" t="s">
        <v>93</v>
      </c>
      <c r="I61" s="96" t="s">
        <v>90</v>
      </c>
    </row>
    <row r="62" spans="1:9" ht="18" customHeight="1" x14ac:dyDescent="0.25">
      <c r="A62" s="58"/>
      <c r="B62" s="59"/>
      <c r="C62" s="66" t="s">
        <v>189</v>
      </c>
      <c r="D62" s="61" t="s">
        <v>19</v>
      </c>
      <c r="E62" s="62"/>
      <c r="F62" s="282"/>
      <c r="G62" s="95">
        <f t="shared" si="0"/>
        <v>198.3</v>
      </c>
      <c r="H62" s="96" t="s">
        <v>93</v>
      </c>
      <c r="I62" s="96" t="s">
        <v>90</v>
      </c>
    </row>
    <row r="63" spans="1:9" ht="18" customHeight="1" x14ac:dyDescent="0.25">
      <c r="A63" s="58"/>
      <c r="B63" s="59"/>
      <c r="C63" s="66" t="s">
        <v>189</v>
      </c>
      <c r="D63" s="61" t="s">
        <v>19</v>
      </c>
      <c r="E63" s="62"/>
      <c r="F63" s="282"/>
      <c r="G63" s="95">
        <f t="shared" si="0"/>
        <v>198.3</v>
      </c>
      <c r="H63" s="96" t="s">
        <v>93</v>
      </c>
      <c r="I63" s="96" t="s">
        <v>90</v>
      </c>
    </row>
    <row r="64" spans="1:9" ht="18" customHeight="1" x14ac:dyDescent="0.25">
      <c r="A64" s="58"/>
      <c r="B64" s="59"/>
      <c r="C64" s="66" t="s">
        <v>189</v>
      </c>
      <c r="D64" s="61" t="s">
        <v>19</v>
      </c>
      <c r="E64" s="62"/>
      <c r="F64" s="282"/>
      <c r="G64" s="95">
        <f t="shared" si="0"/>
        <v>198.3</v>
      </c>
      <c r="H64" s="96" t="s">
        <v>93</v>
      </c>
      <c r="I64" s="96" t="s">
        <v>90</v>
      </c>
    </row>
    <row r="65" spans="1:9" ht="18" customHeight="1" x14ac:dyDescent="0.25">
      <c r="A65" s="58"/>
      <c r="B65" s="59"/>
      <c r="C65" s="66" t="s">
        <v>189</v>
      </c>
      <c r="D65" s="61" t="s">
        <v>19</v>
      </c>
      <c r="E65" s="62"/>
      <c r="F65" s="282"/>
      <c r="G65" s="95">
        <f t="shared" si="0"/>
        <v>198.3</v>
      </c>
      <c r="H65" s="96" t="s">
        <v>93</v>
      </c>
      <c r="I65" s="96" t="s">
        <v>90</v>
      </c>
    </row>
    <row r="66" spans="1:9" ht="18" customHeight="1" x14ac:dyDescent="0.25">
      <c r="A66" s="58"/>
      <c r="B66" s="59"/>
      <c r="C66" s="66" t="s">
        <v>189</v>
      </c>
      <c r="D66" s="61" t="s">
        <v>19</v>
      </c>
      <c r="E66" s="62"/>
      <c r="F66" s="282"/>
      <c r="G66" s="95">
        <f t="shared" si="0"/>
        <v>198.3</v>
      </c>
      <c r="H66" s="96" t="s">
        <v>93</v>
      </c>
      <c r="I66" s="96" t="s">
        <v>90</v>
      </c>
    </row>
    <row r="67" spans="1:9" ht="18" customHeight="1" x14ac:dyDescent="0.25">
      <c r="A67" s="58"/>
      <c r="B67" s="59"/>
      <c r="C67" s="66" t="s">
        <v>189</v>
      </c>
      <c r="D67" s="61" t="s">
        <v>19</v>
      </c>
      <c r="E67" s="62"/>
      <c r="F67" s="282"/>
      <c r="G67" s="95">
        <f t="shared" si="0"/>
        <v>198.3</v>
      </c>
      <c r="H67" s="96" t="s">
        <v>93</v>
      </c>
      <c r="I67" s="96" t="s">
        <v>90</v>
      </c>
    </row>
    <row r="68" spans="1:9" ht="18" customHeight="1" x14ac:dyDescent="0.25">
      <c r="A68" s="58"/>
      <c r="B68" s="59"/>
      <c r="C68" s="66" t="s">
        <v>189</v>
      </c>
      <c r="D68" s="61" t="s">
        <v>19</v>
      </c>
      <c r="E68" s="62"/>
      <c r="F68" s="282"/>
      <c r="G68" s="95">
        <f t="shared" si="0"/>
        <v>198.3</v>
      </c>
      <c r="H68" s="96" t="s">
        <v>93</v>
      </c>
      <c r="I68" s="96" t="s">
        <v>90</v>
      </c>
    </row>
    <row r="69" spans="1:9" ht="18" customHeight="1" x14ac:dyDescent="0.25">
      <c r="A69" s="58"/>
      <c r="B69" s="59"/>
      <c r="C69" s="66" t="s">
        <v>189</v>
      </c>
      <c r="D69" s="61" t="s">
        <v>19</v>
      </c>
      <c r="E69" s="62"/>
      <c r="F69" s="282"/>
      <c r="G69" s="95">
        <f t="shared" si="0"/>
        <v>198.3</v>
      </c>
      <c r="H69" s="96" t="s">
        <v>93</v>
      </c>
      <c r="I69" s="96" t="s">
        <v>90</v>
      </c>
    </row>
    <row r="70" spans="1:9" ht="18" customHeight="1" x14ac:dyDescent="0.25">
      <c r="A70" s="58"/>
      <c r="B70" s="59"/>
      <c r="C70" s="66" t="s">
        <v>189</v>
      </c>
      <c r="D70" s="61" t="s">
        <v>19</v>
      </c>
      <c r="E70" s="62"/>
      <c r="F70" s="282"/>
      <c r="G70" s="95">
        <f t="shared" si="0"/>
        <v>198.3</v>
      </c>
      <c r="H70" s="96" t="s">
        <v>93</v>
      </c>
      <c r="I70" s="96" t="s">
        <v>90</v>
      </c>
    </row>
    <row r="71" spans="1:9" ht="18" customHeight="1" x14ac:dyDescent="0.25">
      <c r="A71" s="58"/>
      <c r="B71" s="59"/>
      <c r="C71" s="66" t="s">
        <v>189</v>
      </c>
      <c r="D71" s="61" t="s">
        <v>19</v>
      </c>
      <c r="E71" s="62"/>
      <c r="F71" s="282"/>
      <c r="G71" s="95">
        <f t="shared" si="0"/>
        <v>198.3</v>
      </c>
      <c r="H71" s="96" t="s">
        <v>93</v>
      </c>
      <c r="I71" s="96" t="s">
        <v>90</v>
      </c>
    </row>
    <row r="72" spans="1:9" ht="18" customHeight="1" x14ac:dyDescent="0.25">
      <c r="A72" s="58"/>
      <c r="B72" s="59"/>
      <c r="C72" s="66" t="s">
        <v>189</v>
      </c>
      <c r="D72" s="61" t="s">
        <v>19</v>
      </c>
      <c r="E72" s="62"/>
      <c r="F72" s="282"/>
      <c r="G72" s="95">
        <f t="shared" si="0"/>
        <v>198.3</v>
      </c>
      <c r="H72" s="96" t="s">
        <v>93</v>
      </c>
      <c r="I72" s="96" t="s">
        <v>90</v>
      </c>
    </row>
    <row r="73" spans="1:9" ht="18" customHeight="1" x14ac:dyDescent="0.25">
      <c r="A73" s="58"/>
      <c r="B73" s="59"/>
      <c r="C73" s="66" t="s">
        <v>189</v>
      </c>
      <c r="D73" s="61" t="s">
        <v>19</v>
      </c>
      <c r="E73" s="62"/>
      <c r="F73" s="282"/>
      <c r="G73" s="95">
        <f t="shared" si="0"/>
        <v>198.3</v>
      </c>
      <c r="H73" s="96" t="s">
        <v>93</v>
      </c>
      <c r="I73" s="96" t="s">
        <v>90</v>
      </c>
    </row>
    <row r="74" spans="1:9" ht="18" customHeight="1" x14ac:dyDescent="0.25">
      <c r="A74" s="58"/>
      <c r="B74" s="59"/>
      <c r="C74" s="66" t="s">
        <v>189</v>
      </c>
      <c r="D74" s="61" t="s">
        <v>19</v>
      </c>
      <c r="E74" s="62"/>
      <c r="F74" s="282"/>
      <c r="G74" s="95">
        <f t="shared" ref="G74:G137" si="1">+G73+E74-F74</f>
        <v>198.3</v>
      </c>
      <c r="H74" s="96" t="s">
        <v>93</v>
      </c>
      <c r="I74" s="96" t="s">
        <v>90</v>
      </c>
    </row>
    <row r="75" spans="1:9" ht="18" customHeight="1" x14ac:dyDescent="0.25">
      <c r="A75" s="58"/>
      <c r="B75" s="59"/>
      <c r="C75" s="66" t="s">
        <v>189</v>
      </c>
      <c r="D75" s="61" t="s">
        <v>19</v>
      </c>
      <c r="E75" s="62"/>
      <c r="F75" s="282"/>
      <c r="G75" s="95">
        <f t="shared" si="1"/>
        <v>198.3</v>
      </c>
      <c r="H75" s="96"/>
      <c r="I75" s="96"/>
    </row>
    <row r="76" spans="1:9" ht="18" customHeight="1" x14ac:dyDescent="0.25">
      <c r="A76" s="58"/>
      <c r="B76" s="59"/>
      <c r="C76" s="66" t="s">
        <v>189</v>
      </c>
      <c r="D76" s="61" t="s">
        <v>19</v>
      </c>
      <c r="E76" s="62"/>
      <c r="F76" s="282"/>
      <c r="G76" s="95">
        <f t="shared" si="1"/>
        <v>198.3</v>
      </c>
      <c r="H76" s="96"/>
      <c r="I76" s="96"/>
    </row>
    <row r="77" spans="1:9" ht="18" customHeight="1" x14ac:dyDescent="0.25">
      <c r="A77" s="58"/>
      <c r="B77" s="59"/>
      <c r="C77" s="66" t="s">
        <v>189</v>
      </c>
      <c r="D77" s="61" t="s">
        <v>19</v>
      </c>
      <c r="E77" s="62"/>
      <c r="F77" s="282"/>
      <c r="G77" s="95">
        <f t="shared" si="1"/>
        <v>198.3</v>
      </c>
      <c r="H77" s="96"/>
      <c r="I77" s="96"/>
    </row>
    <row r="78" spans="1:9" ht="18" customHeight="1" x14ac:dyDescent="0.25">
      <c r="A78" s="58"/>
      <c r="B78" s="59"/>
      <c r="C78" s="66" t="s">
        <v>189</v>
      </c>
      <c r="D78" s="61" t="s">
        <v>19</v>
      </c>
      <c r="E78" s="62"/>
      <c r="F78" s="282"/>
      <c r="G78" s="95">
        <f t="shared" si="1"/>
        <v>198.3</v>
      </c>
      <c r="H78" s="96"/>
      <c r="I78" s="96"/>
    </row>
    <row r="79" spans="1:9" ht="18" customHeight="1" x14ac:dyDescent="0.25">
      <c r="A79" s="58"/>
      <c r="B79" s="59"/>
      <c r="C79" s="66" t="s">
        <v>189</v>
      </c>
      <c r="D79" s="61" t="s">
        <v>19</v>
      </c>
      <c r="E79" s="62"/>
      <c r="F79" s="282"/>
      <c r="G79" s="95">
        <f t="shared" si="1"/>
        <v>198.3</v>
      </c>
      <c r="H79" s="96"/>
      <c r="I79" s="96"/>
    </row>
    <row r="80" spans="1:9" ht="18" customHeight="1" x14ac:dyDescent="0.25">
      <c r="A80" s="58"/>
      <c r="B80" s="59"/>
      <c r="C80" s="66" t="s">
        <v>189</v>
      </c>
      <c r="D80" s="61" t="s">
        <v>19</v>
      </c>
      <c r="E80" s="62"/>
      <c r="F80" s="282"/>
      <c r="G80" s="95">
        <f t="shared" si="1"/>
        <v>198.3</v>
      </c>
      <c r="H80" s="96"/>
      <c r="I80" s="96"/>
    </row>
    <row r="81" spans="1:9" ht="18" customHeight="1" x14ac:dyDescent="0.25">
      <c r="A81" s="58"/>
      <c r="B81" s="59"/>
      <c r="C81" s="66" t="s">
        <v>189</v>
      </c>
      <c r="D81" s="61" t="s">
        <v>19</v>
      </c>
      <c r="E81" s="62"/>
      <c r="F81" s="282"/>
      <c r="G81" s="95">
        <f t="shared" si="1"/>
        <v>198.3</v>
      </c>
      <c r="H81" s="96"/>
      <c r="I81" s="96"/>
    </row>
    <row r="82" spans="1:9" s="297" customFormat="1" ht="18" customHeight="1" x14ac:dyDescent="0.25">
      <c r="A82" s="291"/>
      <c r="B82" s="292"/>
      <c r="C82" s="66" t="s">
        <v>189</v>
      </c>
      <c r="D82" s="293" t="s">
        <v>19</v>
      </c>
      <c r="E82" s="294"/>
      <c r="F82" s="295"/>
      <c r="G82" s="95">
        <f t="shared" si="1"/>
        <v>198.3</v>
      </c>
      <c r="H82" s="96"/>
      <c r="I82" s="296"/>
    </row>
    <row r="83" spans="1:9" ht="18" customHeight="1" x14ac:dyDescent="0.25">
      <c r="A83" s="58"/>
      <c r="B83" s="59"/>
      <c r="C83" s="66" t="s">
        <v>189</v>
      </c>
      <c r="D83" s="61" t="s">
        <v>19</v>
      </c>
      <c r="E83" s="62"/>
      <c r="F83" s="282"/>
      <c r="G83" s="95">
        <f t="shared" si="1"/>
        <v>198.3</v>
      </c>
      <c r="H83" s="96"/>
      <c r="I83" s="296"/>
    </row>
    <row r="84" spans="1:9" ht="18" customHeight="1" x14ac:dyDescent="0.25">
      <c r="A84" s="58"/>
      <c r="B84" s="59"/>
      <c r="C84" s="66" t="s">
        <v>189</v>
      </c>
      <c r="D84" s="61" t="s">
        <v>19</v>
      </c>
      <c r="E84" s="62"/>
      <c r="F84" s="282"/>
      <c r="G84" s="95">
        <f t="shared" si="1"/>
        <v>198.3</v>
      </c>
      <c r="H84" s="96"/>
      <c r="I84" s="96"/>
    </row>
    <row r="85" spans="1:9" ht="18" customHeight="1" x14ac:dyDescent="0.25">
      <c r="A85" s="58"/>
      <c r="B85" s="59"/>
      <c r="C85" s="66" t="s">
        <v>189</v>
      </c>
      <c r="D85" s="61" t="s">
        <v>19</v>
      </c>
      <c r="E85" s="62"/>
      <c r="F85" s="282"/>
      <c r="G85" s="95">
        <f t="shared" si="1"/>
        <v>198.3</v>
      </c>
      <c r="H85" s="96"/>
      <c r="I85" s="96"/>
    </row>
    <row r="86" spans="1:9" ht="18" customHeight="1" x14ac:dyDescent="0.25">
      <c r="A86" s="58"/>
      <c r="B86" s="59"/>
      <c r="C86" s="66" t="s">
        <v>189</v>
      </c>
      <c r="D86" s="61" t="s">
        <v>19</v>
      </c>
      <c r="E86" s="62"/>
      <c r="F86" s="282"/>
      <c r="G86" s="95">
        <f t="shared" si="1"/>
        <v>198.3</v>
      </c>
      <c r="H86" s="96"/>
      <c r="I86" s="96"/>
    </row>
    <row r="87" spans="1:9" ht="18" customHeight="1" x14ac:dyDescent="0.25">
      <c r="A87" s="58"/>
      <c r="B87" s="59"/>
      <c r="C87" s="66" t="s">
        <v>189</v>
      </c>
      <c r="D87" s="61" t="s">
        <v>19</v>
      </c>
      <c r="E87" s="62"/>
      <c r="F87" s="282"/>
      <c r="G87" s="95">
        <f t="shared" si="1"/>
        <v>198.3</v>
      </c>
      <c r="H87" s="96"/>
      <c r="I87" s="96"/>
    </row>
    <row r="88" spans="1:9" ht="18" customHeight="1" x14ac:dyDescent="0.25">
      <c r="A88" s="58"/>
      <c r="B88" s="59"/>
      <c r="C88" s="66" t="s">
        <v>189</v>
      </c>
      <c r="D88" s="61" t="s">
        <v>19</v>
      </c>
      <c r="E88" s="62"/>
      <c r="F88" s="282"/>
      <c r="G88" s="95">
        <f t="shared" si="1"/>
        <v>198.3</v>
      </c>
      <c r="H88" s="96"/>
      <c r="I88" s="96"/>
    </row>
    <row r="89" spans="1:9" ht="18" customHeight="1" x14ac:dyDescent="0.25">
      <c r="A89" s="58"/>
      <c r="B89" s="59"/>
      <c r="C89" s="66" t="s">
        <v>189</v>
      </c>
      <c r="D89" s="61" t="s">
        <v>19</v>
      </c>
      <c r="E89" s="62"/>
      <c r="F89" s="282"/>
      <c r="G89" s="95">
        <f t="shared" si="1"/>
        <v>198.3</v>
      </c>
      <c r="H89" s="96"/>
      <c r="I89" s="96"/>
    </row>
    <row r="90" spans="1:9" ht="18" customHeight="1" x14ac:dyDescent="0.25">
      <c r="A90" s="58"/>
      <c r="B90" s="59"/>
      <c r="C90" s="66" t="s">
        <v>189</v>
      </c>
      <c r="D90" s="61" t="s">
        <v>19</v>
      </c>
      <c r="E90" s="62"/>
      <c r="F90" s="282"/>
      <c r="G90" s="95">
        <f t="shared" si="1"/>
        <v>198.3</v>
      </c>
      <c r="H90" s="96"/>
      <c r="I90" s="96"/>
    </row>
    <row r="91" spans="1:9" ht="18" customHeight="1" x14ac:dyDescent="0.25">
      <c r="A91" s="58"/>
      <c r="B91" s="59"/>
      <c r="C91" s="66" t="s">
        <v>189</v>
      </c>
      <c r="D91" s="61" t="s">
        <v>19</v>
      </c>
      <c r="E91" s="62"/>
      <c r="F91" s="282"/>
      <c r="G91" s="95">
        <f t="shared" si="1"/>
        <v>198.3</v>
      </c>
      <c r="H91" s="96"/>
      <c r="I91" s="96"/>
    </row>
    <row r="92" spans="1:9" ht="18" customHeight="1" x14ac:dyDescent="0.25">
      <c r="A92" s="58"/>
      <c r="B92" s="59"/>
      <c r="C92" s="66" t="s">
        <v>189</v>
      </c>
      <c r="D92" s="61" t="s">
        <v>19</v>
      </c>
      <c r="E92" s="62"/>
      <c r="F92" s="282"/>
      <c r="G92" s="95">
        <f t="shared" si="1"/>
        <v>198.3</v>
      </c>
      <c r="H92" s="96"/>
      <c r="I92" s="96"/>
    </row>
    <row r="93" spans="1:9" ht="18" customHeight="1" x14ac:dyDescent="0.25">
      <c r="A93" s="58"/>
      <c r="B93" s="59"/>
      <c r="C93" s="66" t="s">
        <v>189</v>
      </c>
      <c r="D93" s="61" t="s">
        <v>19</v>
      </c>
      <c r="E93" s="62"/>
      <c r="F93" s="282"/>
      <c r="G93" s="95">
        <f t="shared" si="1"/>
        <v>198.3</v>
      </c>
      <c r="H93" s="96"/>
      <c r="I93" s="96"/>
    </row>
    <row r="94" spans="1:9" ht="18" customHeight="1" x14ac:dyDescent="0.25">
      <c r="A94" s="58"/>
      <c r="B94" s="59"/>
      <c r="C94" s="66" t="s">
        <v>189</v>
      </c>
      <c r="D94" s="61" t="s">
        <v>19</v>
      </c>
      <c r="E94" s="62"/>
      <c r="F94" s="282"/>
      <c r="G94" s="95">
        <f t="shared" si="1"/>
        <v>198.3</v>
      </c>
      <c r="H94" s="96"/>
      <c r="I94" s="96"/>
    </row>
    <row r="95" spans="1:9" ht="18" customHeight="1" x14ac:dyDescent="0.25">
      <c r="A95" s="58"/>
      <c r="B95" s="59"/>
      <c r="C95" s="66" t="s">
        <v>189</v>
      </c>
      <c r="D95" s="61" t="s">
        <v>19</v>
      </c>
      <c r="E95" s="62"/>
      <c r="F95" s="282"/>
      <c r="G95" s="95">
        <f t="shared" si="1"/>
        <v>198.3</v>
      </c>
      <c r="H95" s="96"/>
      <c r="I95" s="96"/>
    </row>
    <row r="96" spans="1:9" ht="18" customHeight="1" x14ac:dyDescent="0.25">
      <c r="A96" s="58"/>
      <c r="B96" s="59"/>
      <c r="C96" s="66" t="s">
        <v>189</v>
      </c>
      <c r="D96" s="61" t="s">
        <v>19</v>
      </c>
      <c r="E96" s="62"/>
      <c r="F96" s="282"/>
      <c r="G96" s="95">
        <f t="shared" si="1"/>
        <v>198.3</v>
      </c>
      <c r="H96" s="96"/>
      <c r="I96" s="96"/>
    </row>
    <row r="97" spans="1:9" ht="18" customHeight="1" x14ac:dyDescent="0.25">
      <c r="A97" s="58"/>
      <c r="B97" s="59"/>
      <c r="C97" s="66" t="s">
        <v>189</v>
      </c>
      <c r="D97" s="61" t="s">
        <v>19</v>
      </c>
      <c r="E97" s="62"/>
      <c r="F97" s="282"/>
      <c r="G97" s="95">
        <f t="shared" si="1"/>
        <v>198.3</v>
      </c>
      <c r="H97" s="96"/>
      <c r="I97" s="96"/>
    </row>
    <row r="98" spans="1:9" ht="18" customHeight="1" x14ac:dyDescent="0.25">
      <c r="A98" s="58"/>
      <c r="B98" s="59"/>
      <c r="C98" s="66" t="s">
        <v>189</v>
      </c>
      <c r="D98" s="61" t="s">
        <v>19</v>
      </c>
      <c r="E98" s="62"/>
      <c r="F98" s="282"/>
      <c r="G98" s="95">
        <f t="shared" si="1"/>
        <v>198.3</v>
      </c>
      <c r="H98" s="96"/>
      <c r="I98" s="96"/>
    </row>
    <row r="99" spans="1:9" ht="18" customHeight="1" x14ac:dyDescent="0.25">
      <c r="A99" s="58"/>
      <c r="B99" s="59"/>
      <c r="C99" s="66" t="s">
        <v>189</v>
      </c>
      <c r="D99" s="61" t="s">
        <v>19</v>
      </c>
      <c r="E99" s="62"/>
      <c r="F99" s="282"/>
      <c r="G99" s="95">
        <f t="shared" si="1"/>
        <v>198.3</v>
      </c>
      <c r="H99" s="96"/>
      <c r="I99" s="99"/>
    </row>
    <row r="100" spans="1:9" ht="18" customHeight="1" x14ac:dyDescent="0.25">
      <c r="A100" s="58"/>
      <c r="B100" s="59"/>
      <c r="C100" s="66" t="s">
        <v>189</v>
      </c>
      <c r="D100" s="61" t="s">
        <v>19</v>
      </c>
      <c r="E100" s="62"/>
      <c r="F100" s="282"/>
      <c r="G100" s="95">
        <f t="shared" si="1"/>
        <v>198.3</v>
      </c>
      <c r="H100" s="96"/>
      <c r="I100" s="99"/>
    </row>
    <row r="101" spans="1:9" ht="18" customHeight="1" x14ac:dyDescent="0.25">
      <c r="A101" s="58"/>
      <c r="B101" s="59"/>
      <c r="C101" s="66" t="s">
        <v>189</v>
      </c>
      <c r="D101" s="61" t="s">
        <v>19</v>
      </c>
      <c r="E101" s="62"/>
      <c r="F101" s="282"/>
      <c r="G101" s="95">
        <f t="shared" si="1"/>
        <v>198.3</v>
      </c>
      <c r="H101" s="96"/>
      <c r="I101" s="99"/>
    </row>
    <row r="102" spans="1:9" ht="18" customHeight="1" x14ac:dyDescent="0.25">
      <c r="A102" s="58"/>
      <c r="B102" s="59"/>
      <c r="C102" s="66" t="s">
        <v>189</v>
      </c>
      <c r="D102" s="61" t="s">
        <v>19</v>
      </c>
      <c r="E102" s="62"/>
      <c r="F102" s="282"/>
      <c r="G102" s="95">
        <f t="shared" si="1"/>
        <v>198.3</v>
      </c>
      <c r="H102" s="96"/>
      <c r="I102" s="99"/>
    </row>
    <row r="103" spans="1:9" ht="18" customHeight="1" x14ac:dyDescent="0.25">
      <c r="A103" s="58"/>
      <c r="B103" s="59"/>
      <c r="C103" s="66" t="s">
        <v>189</v>
      </c>
      <c r="D103" s="61" t="s">
        <v>19</v>
      </c>
      <c r="E103" s="62"/>
      <c r="F103" s="282"/>
      <c r="G103" s="95">
        <f t="shared" si="1"/>
        <v>198.3</v>
      </c>
      <c r="H103" s="96"/>
      <c r="I103" s="99"/>
    </row>
    <row r="104" spans="1:9" ht="18" customHeight="1" x14ac:dyDescent="0.25">
      <c r="A104" s="58"/>
      <c r="B104" s="59"/>
      <c r="C104" s="66" t="s">
        <v>189</v>
      </c>
      <c r="D104" s="61" t="s">
        <v>19</v>
      </c>
      <c r="E104" s="62"/>
      <c r="F104" s="282"/>
      <c r="G104" s="95">
        <f t="shared" si="1"/>
        <v>198.3</v>
      </c>
      <c r="H104" s="96"/>
      <c r="I104" s="99"/>
    </row>
    <row r="105" spans="1:9" ht="18" customHeight="1" x14ac:dyDescent="0.25">
      <c r="A105" s="58"/>
      <c r="B105" s="59"/>
      <c r="C105" s="66" t="s">
        <v>189</v>
      </c>
      <c r="D105" s="61" t="s">
        <v>19</v>
      </c>
      <c r="E105" s="62"/>
      <c r="F105" s="282"/>
      <c r="G105" s="95">
        <f t="shared" si="1"/>
        <v>198.3</v>
      </c>
      <c r="H105" s="96"/>
      <c r="I105" s="99"/>
    </row>
    <row r="106" spans="1:9" ht="18" customHeight="1" x14ac:dyDescent="0.25">
      <c r="A106" s="58"/>
      <c r="B106" s="59"/>
      <c r="C106" s="66" t="s">
        <v>189</v>
      </c>
      <c r="D106" s="61" t="s">
        <v>19</v>
      </c>
      <c r="E106" s="62"/>
      <c r="F106" s="282"/>
      <c r="G106" s="95">
        <f t="shared" si="1"/>
        <v>198.3</v>
      </c>
      <c r="H106" s="96"/>
      <c r="I106" s="99"/>
    </row>
    <row r="107" spans="1:9" ht="18" customHeight="1" x14ac:dyDescent="0.25">
      <c r="A107" s="58"/>
      <c r="B107" s="59"/>
      <c r="C107" s="66" t="s">
        <v>189</v>
      </c>
      <c r="D107" s="61" t="s">
        <v>19</v>
      </c>
      <c r="E107" s="62"/>
      <c r="F107" s="282"/>
      <c r="G107" s="95">
        <f t="shared" si="1"/>
        <v>198.3</v>
      </c>
      <c r="H107" s="96"/>
      <c r="I107" s="99"/>
    </row>
    <row r="108" spans="1:9" ht="18" customHeight="1" x14ac:dyDescent="0.25">
      <c r="A108" s="58"/>
      <c r="B108" s="59"/>
      <c r="C108" s="66" t="s">
        <v>189</v>
      </c>
      <c r="D108" s="61" t="s">
        <v>19</v>
      </c>
      <c r="E108" s="62"/>
      <c r="F108" s="282"/>
      <c r="G108" s="95">
        <f t="shared" si="1"/>
        <v>198.3</v>
      </c>
      <c r="H108" s="96"/>
      <c r="I108" s="99"/>
    </row>
    <row r="109" spans="1:9" ht="18" customHeight="1" x14ac:dyDescent="0.25">
      <c r="A109" s="58"/>
      <c r="B109" s="59"/>
      <c r="C109" s="66" t="s">
        <v>189</v>
      </c>
      <c r="D109" s="61" t="s">
        <v>19</v>
      </c>
      <c r="E109" s="62"/>
      <c r="F109" s="282"/>
      <c r="G109" s="95">
        <f t="shared" si="1"/>
        <v>198.3</v>
      </c>
      <c r="H109" s="96"/>
      <c r="I109" s="99"/>
    </row>
    <row r="110" spans="1:9" ht="18" customHeight="1" x14ac:dyDescent="0.25">
      <c r="A110" s="58"/>
      <c r="B110" s="59"/>
      <c r="C110" s="66" t="s">
        <v>189</v>
      </c>
      <c r="D110" s="61" t="s">
        <v>19</v>
      </c>
      <c r="E110" s="62"/>
      <c r="F110" s="282"/>
      <c r="G110" s="95">
        <f t="shared" si="1"/>
        <v>198.3</v>
      </c>
      <c r="H110" s="96"/>
      <c r="I110" s="99"/>
    </row>
    <row r="111" spans="1:9" ht="18" customHeight="1" x14ac:dyDescent="0.25">
      <c r="A111" s="58"/>
      <c r="B111" s="59"/>
      <c r="C111" s="66" t="s">
        <v>189</v>
      </c>
      <c r="D111" s="61" t="s">
        <v>19</v>
      </c>
      <c r="E111" s="62"/>
      <c r="F111" s="282"/>
      <c r="G111" s="95">
        <f t="shared" si="1"/>
        <v>198.3</v>
      </c>
      <c r="H111" s="96"/>
      <c r="I111" s="99"/>
    </row>
    <row r="112" spans="1:9" ht="18" customHeight="1" x14ac:dyDescent="0.25">
      <c r="A112" s="58"/>
      <c r="B112" s="59"/>
      <c r="C112" s="66" t="s">
        <v>189</v>
      </c>
      <c r="D112" s="61" t="s">
        <v>19</v>
      </c>
      <c r="E112" s="62"/>
      <c r="F112" s="282"/>
      <c r="G112" s="95">
        <f t="shared" si="1"/>
        <v>198.3</v>
      </c>
      <c r="H112" s="96"/>
      <c r="I112" s="99"/>
    </row>
    <row r="113" spans="1:9" ht="18" customHeight="1" x14ac:dyDescent="0.25">
      <c r="A113" s="58"/>
      <c r="B113" s="59"/>
      <c r="C113" s="66" t="s">
        <v>189</v>
      </c>
      <c r="D113" s="61" t="s">
        <v>19</v>
      </c>
      <c r="E113" s="62"/>
      <c r="F113" s="282"/>
      <c r="G113" s="95">
        <f t="shared" si="1"/>
        <v>198.3</v>
      </c>
      <c r="H113" s="96"/>
      <c r="I113" s="99"/>
    </row>
    <row r="114" spans="1:9" ht="18" customHeight="1" x14ac:dyDescent="0.25">
      <c r="A114" s="58"/>
      <c r="B114" s="59"/>
      <c r="C114" s="66" t="s">
        <v>189</v>
      </c>
      <c r="D114" s="61" t="s">
        <v>19</v>
      </c>
      <c r="E114" s="62"/>
      <c r="F114" s="282"/>
      <c r="G114" s="95">
        <f t="shared" si="1"/>
        <v>198.3</v>
      </c>
      <c r="H114" s="96"/>
      <c r="I114" s="99"/>
    </row>
    <row r="115" spans="1:9" ht="18" customHeight="1" x14ac:dyDescent="0.25">
      <c r="A115" s="58"/>
      <c r="B115" s="59"/>
      <c r="C115" s="66" t="s">
        <v>189</v>
      </c>
      <c r="D115" s="61" t="s">
        <v>19</v>
      </c>
      <c r="E115" s="62"/>
      <c r="F115" s="282"/>
      <c r="G115" s="95">
        <f t="shared" si="1"/>
        <v>198.3</v>
      </c>
      <c r="H115" s="96"/>
      <c r="I115" s="99"/>
    </row>
    <row r="116" spans="1:9" ht="18" customHeight="1" x14ac:dyDescent="0.25">
      <c r="A116" s="58"/>
      <c r="B116" s="59"/>
      <c r="C116" s="66" t="s">
        <v>189</v>
      </c>
      <c r="D116" s="61" t="s">
        <v>19</v>
      </c>
      <c r="E116" s="62"/>
      <c r="F116" s="282"/>
      <c r="G116" s="95">
        <f t="shared" si="1"/>
        <v>198.3</v>
      </c>
      <c r="H116" s="96"/>
      <c r="I116" s="99"/>
    </row>
    <row r="117" spans="1:9" ht="18" customHeight="1" x14ac:dyDescent="0.25">
      <c r="A117" s="58"/>
      <c r="B117" s="59"/>
      <c r="C117" s="66" t="s">
        <v>189</v>
      </c>
      <c r="D117" s="61" t="s">
        <v>19</v>
      </c>
      <c r="E117" s="62"/>
      <c r="F117" s="282"/>
      <c r="G117" s="95">
        <f t="shared" si="1"/>
        <v>198.3</v>
      </c>
      <c r="H117" s="96"/>
      <c r="I117" s="99"/>
    </row>
    <row r="118" spans="1:9" ht="18" customHeight="1" x14ac:dyDescent="0.25">
      <c r="A118" s="58"/>
      <c r="B118" s="59"/>
      <c r="C118" s="66" t="s">
        <v>189</v>
      </c>
      <c r="D118" s="61" t="s">
        <v>19</v>
      </c>
      <c r="E118" s="62"/>
      <c r="F118" s="282"/>
      <c r="G118" s="95">
        <f t="shared" si="1"/>
        <v>198.3</v>
      </c>
      <c r="H118" s="96"/>
      <c r="I118" s="99"/>
    </row>
    <row r="119" spans="1:9" ht="18" customHeight="1" x14ac:dyDescent="0.25">
      <c r="A119" s="58"/>
      <c r="B119" s="59"/>
      <c r="C119" s="66" t="s">
        <v>189</v>
      </c>
      <c r="D119" s="61" t="s">
        <v>19</v>
      </c>
      <c r="E119" s="62"/>
      <c r="F119" s="282"/>
      <c r="G119" s="95">
        <f t="shared" si="1"/>
        <v>198.3</v>
      </c>
      <c r="H119" s="96"/>
      <c r="I119" s="99"/>
    </row>
    <row r="120" spans="1:9" ht="18" customHeight="1" x14ac:dyDescent="0.25">
      <c r="A120" s="58"/>
      <c r="B120" s="59"/>
      <c r="C120" s="66" t="s">
        <v>189</v>
      </c>
      <c r="D120" s="61" t="s">
        <v>19</v>
      </c>
      <c r="E120" s="62"/>
      <c r="F120" s="282"/>
      <c r="G120" s="95">
        <f t="shared" si="1"/>
        <v>198.3</v>
      </c>
      <c r="H120" s="96"/>
      <c r="I120" s="99"/>
    </row>
    <row r="121" spans="1:9" ht="18" customHeight="1" x14ac:dyDescent="0.25">
      <c r="A121" s="58"/>
      <c r="B121" s="59"/>
      <c r="C121" s="66" t="s">
        <v>189</v>
      </c>
      <c r="D121" s="61" t="s">
        <v>19</v>
      </c>
      <c r="E121" s="62"/>
      <c r="F121" s="282"/>
      <c r="G121" s="95">
        <f t="shared" si="1"/>
        <v>198.3</v>
      </c>
      <c r="H121" s="96"/>
      <c r="I121" s="99"/>
    </row>
    <row r="122" spans="1:9" ht="18" customHeight="1" x14ac:dyDescent="0.25">
      <c r="A122" s="58"/>
      <c r="B122" s="59"/>
      <c r="C122" s="66" t="s">
        <v>189</v>
      </c>
      <c r="D122" s="61" t="s">
        <v>19</v>
      </c>
      <c r="E122" s="62"/>
      <c r="F122" s="282"/>
      <c r="G122" s="95">
        <f t="shared" si="1"/>
        <v>198.3</v>
      </c>
      <c r="H122" s="96"/>
      <c r="I122" s="99"/>
    </row>
    <row r="123" spans="1:9" ht="18" customHeight="1" x14ac:dyDescent="0.25">
      <c r="A123" s="58"/>
      <c r="B123" s="59"/>
      <c r="C123" s="66" t="s">
        <v>189</v>
      </c>
      <c r="D123" s="61" t="s">
        <v>19</v>
      </c>
      <c r="E123" s="62"/>
      <c r="F123" s="282"/>
      <c r="G123" s="95">
        <f t="shared" si="1"/>
        <v>198.3</v>
      </c>
      <c r="H123" s="96"/>
      <c r="I123" s="99"/>
    </row>
    <row r="124" spans="1:9" ht="18" customHeight="1" x14ac:dyDescent="0.25">
      <c r="A124" s="58"/>
      <c r="B124" s="59"/>
      <c r="C124" s="66" t="s">
        <v>189</v>
      </c>
      <c r="D124" s="61" t="s">
        <v>19</v>
      </c>
      <c r="E124" s="62"/>
      <c r="F124" s="282"/>
      <c r="G124" s="95">
        <f t="shared" si="1"/>
        <v>198.3</v>
      </c>
      <c r="H124" s="96"/>
      <c r="I124" s="99"/>
    </row>
    <row r="125" spans="1:9" ht="18" customHeight="1" x14ac:dyDescent="0.25">
      <c r="A125" s="58"/>
      <c r="B125" s="59"/>
      <c r="C125" s="66" t="s">
        <v>189</v>
      </c>
      <c r="D125" s="61" t="s">
        <v>19</v>
      </c>
      <c r="E125" s="62"/>
      <c r="F125" s="282"/>
      <c r="G125" s="95">
        <f t="shared" si="1"/>
        <v>198.3</v>
      </c>
      <c r="H125" s="96"/>
      <c r="I125" s="99"/>
    </row>
    <row r="126" spans="1:9" ht="18" customHeight="1" x14ac:dyDescent="0.25">
      <c r="A126" s="58"/>
      <c r="B126" s="59"/>
      <c r="C126" s="66" t="s">
        <v>189</v>
      </c>
      <c r="D126" s="61" t="s">
        <v>19</v>
      </c>
      <c r="E126" s="62"/>
      <c r="F126" s="282"/>
      <c r="G126" s="95">
        <f t="shared" si="1"/>
        <v>198.3</v>
      </c>
      <c r="H126" s="96"/>
      <c r="I126" s="99"/>
    </row>
    <row r="127" spans="1:9" ht="18" customHeight="1" x14ac:dyDescent="0.25">
      <c r="A127" s="58"/>
      <c r="B127" s="59"/>
      <c r="C127" s="66" t="s">
        <v>189</v>
      </c>
      <c r="D127" s="61" t="s">
        <v>19</v>
      </c>
      <c r="E127" s="62"/>
      <c r="F127" s="282"/>
      <c r="G127" s="95">
        <f t="shared" si="1"/>
        <v>198.3</v>
      </c>
      <c r="H127" s="96"/>
      <c r="I127" s="99"/>
    </row>
    <row r="128" spans="1:9" ht="18" customHeight="1" x14ac:dyDescent="0.25">
      <c r="A128" s="58"/>
      <c r="B128" s="59"/>
      <c r="C128" s="66" t="s">
        <v>189</v>
      </c>
      <c r="D128" s="61" t="s">
        <v>19</v>
      </c>
      <c r="E128" s="62"/>
      <c r="F128" s="282"/>
      <c r="G128" s="95">
        <f t="shared" si="1"/>
        <v>198.3</v>
      </c>
      <c r="H128" s="96"/>
      <c r="I128" s="99"/>
    </row>
    <row r="129" spans="1:9" ht="18" customHeight="1" x14ac:dyDescent="0.25">
      <c r="A129" s="58"/>
      <c r="B129" s="59"/>
      <c r="C129" s="66" t="s">
        <v>189</v>
      </c>
      <c r="D129" s="61" t="s">
        <v>19</v>
      </c>
      <c r="E129" s="62"/>
      <c r="F129" s="282"/>
      <c r="G129" s="95">
        <f t="shared" si="1"/>
        <v>198.3</v>
      </c>
      <c r="H129" s="96"/>
      <c r="I129" s="99"/>
    </row>
    <row r="130" spans="1:9" ht="18" customHeight="1" x14ac:dyDescent="0.25">
      <c r="A130" s="58"/>
      <c r="B130" s="59"/>
      <c r="C130" s="66" t="s">
        <v>189</v>
      </c>
      <c r="D130" s="61" t="s">
        <v>19</v>
      </c>
      <c r="E130" s="62"/>
      <c r="F130" s="282"/>
      <c r="G130" s="95">
        <f t="shared" si="1"/>
        <v>198.3</v>
      </c>
      <c r="H130" s="96"/>
      <c r="I130" s="99"/>
    </row>
    <row r="131" spans="1:9" ht="18" customHeight="1" x14ac:dyDescent="0.25">
      <c r="A131" s="58"/>
      <c r="B131" s="59"/>
      <c r="C131" s="66" t="s">
        <v>189</v>
      </c>
      <c r="D131" s="61" t="s">
        <v>19</v>
      </c>
      <c r="E131" s="62"/>
      <c r="F131" s="282"/>
      <c r="G131" s="95">
        <f t="shared" si="1"/>
        <v>198.3</v>
      </c>
      <c r="H131" s="96"/>
      <c r="I131" s="99"/>
    </row>
    <row r="132" spans="1:9" ht="18" customHeight="1" x14ac:dyDescent="0.25">
      <c r="A132" s="58"/>
      <c r="B132" s="59"/>
      <c r="C132" s="66" t="s">
        <v>189</v>
      </c>
      <c r="D132" s="61" t="s">
        <v>19</v>
      </c>
      <c r="E132" s="62"/>
      <c r="F132" s="282"/>
      <c r="G132" s="95">
        <f t="shared" si="1"/>
        <v>198.3</v>
      </c>
      <c r="H132" s="96"/>
      <c r="I132" s="99"/>
    </row>
    <row r="133" spans="1:9" ht="18" customHeight="1" x14ac:dyDescent="0.25">
      <c r="A133" s="58"/>
      <c r="B133" s="59"/>
      <c r="C133" s="66" t="s">
        <v>189</v>
      </c>
      <c r="D133" s="61" t="s">
        <v>19</v>
      </c>
      <c r="E133" s="62"/>
      <c r="F133" s="282"/>
      <c r="G133" s="95">
        <f t="shared" si="1"/>
        <v>198.3</v>
      </c>
      <c r="H133" s="96"/>
      <c r="I133" s="99"/>
    </row>
    <row r="134" spans="1:9" ht="18" customHeight="1" x14ac:dyDescent="0.25">
      <c r="A134" s="58"/>
      <c r="B134" s="59"/>
      <c r="C134" s="66" t="s">
        <v>189</v>
      </c>
      <c r="D134" s="61" t="s">
        <v>19</v>
      </c>
      <c r="E134" s="62"/>
      <c r="F134" s="282"/>
      <c r="G134" s="95">
        <f t="shared" si="1"/>
        <v>198.3</v>
      </c>
      <c r="H134" s="96"/>
      <c r="I134" s="99"/>
    </row>
    <row r="135" spans="1:9" ht="18" customHeight="1" x14ac:dyDescent="0.25">
      <c r="A135" s="58"/>
      <c r="B135" s="59"/>
      <c r="C135" s="66" t="s">
        <v>189</v>
      </c>
      <c r="D135" s="61" t="s">
        <v>19</v>
      </c>
      <c r="E135" s="62"/>
      <c r="F135" s="282"/>
      <c r="G135" s="95">
        <f t="shared" si="1"/>
        <v>198.3</v>
      </c>
      <c r="H135" s="96"/>
      <c r="I135" s="99"/>
    </row>
    <row r="136" spans="1:9" ht="18" customHeight="1" x14ac:dyDescent="0.25">
      <c r="A136" s="58"/>
      <c r="B136" s="59"/>
      <c r="C136" s="66" t="s">
        <v>189</v>
      </c>
      <c r="D136" s="65" t="s">
        <v>19</v>
      </c>
      <c r="E136" s="62"/>
      <c r="F136" s="282"/>
      <c r="G136" s="95">
        <f t="shared" si="1"/>
        <v>198.3</v>
      </c>
      <c r="H136" s="96"/>
      <c r="I136" s="99"/>
    </row>
    <row r="137" spans="1:9" ht="18" customHeight="1" x14ac:dyDescent="0.25">
      <c r="A137" s="58"/>
      <c r="B137" s="59"/>
      <c r="C137" s="66" t="s">
        <v>189</v>
      </c>
      <c r="D137" s="65" t="s">
        <v>19</v>
      </c>
      <c r="E137" s="62"/>
      <c r="F137" s="282"/>
      <c r="G137" s="95">
        <f t="shared" si="1"/>
        <v>198.3</v>
      </c>
      <c r="H137" s="96"/>
      <c r="I137" s="99"/>
    </row>
    <row r="138" spans="1:9" ht="18" customHeight="1" x14ac:dyDescent="0.25">
      <c r="A138" s="58"/>
      <c r="B138" s="59"/>
      <c r="C138" s="66" t="s">
        <v>189</v>
      </c>
      <c r="D138" s="65" t="s">
        <v>19</v>
      </c>
      <c r="E138" s="62"/>
      <c r="F138" s="282"/>
      <c r="G138" s="95">
        <f t="shared" ref="G138:G152" si="2">+G137+E138-F138</f>
        <v>198.3</v>
      </c>
      <c r="H138" s="96"/>
      <c r="I138" s="99"/>
    </row>
    <row r="139" spans="1:9" ht="18" customHeight="1" x14ac:dyDescent="0.25">
      <c r="A139" s="58"/>
      <c r="B139" s="59"/>
      <c r="C139" s="66" t="s">
        <v>189</v>
      </c>
      <c r="D139" s="65" t="s">
        <v>19</v>
      </c>
      <c r="E139" s="62"/>
      <c r="F139" s="282"/>
      <c r="G139" s="95">
        <f t="shared" si="2"/>
        <v>198.3</v>
      </c>
      <c r="H139" s="96"/>
      <c r="I139" s="99"/>
    </row>
    <row r="140" spans="1:9" ht="18" customHeight="1" x14ac:dyDescent="0.25">
      <c r="A140" s="58"/>
      <c r="B140" s="59"/>
      <c r="C140" s="66" t="s">
        <v>189</v>
      </c>
      <c r="D140" s="65" t="s">
        <v>19</v>
      </c>
      <c r="E140" s="62"/>
      <c r="F140" s="282"/>
      <c r="G140" s="95">
        <f t="shared" si="2"/>
        <v>198.3</v>
      </c>
      <c r="H140" s="96"/>
      <c r="I140" s="99"/>
    </row>
    <row r="141" spans="1:9" ht="18" customHeight="1" x14ac:dyDescent="0.25">
      <c r="A141" s="58"/>
      <c r="B141" s="59"/>
      <c r="C141" s="66" t="s">
        <v>189</v>
      </c>
      <c r="D141" s="65" t="s">
        <v>19</v>
      </c>
      <c r="E141" s="62"/>
      <c r="F141" s="282"/>
      <c r="G141" s="95">
        <f t="shared" si="2"/>
        <v>198.3</v>
      </c>
      <c r="H141" s="96"/>
      <c r="I141" s="99"/>
    </row>
    <row r="142" spans="1:9" ht="18" customHeight="1" x14ac:dyDescent="0.25">
      <c r="A142" s="58"/>
      <c r="B142" s="59"/>
      <c r="C142" s="66" t="s">
        <v>189</v>
      </c>
      <c r="D142" s="65" t="s">
        <v>19</v>
      </c>
      <c r="E142" s="62"/>
      <c r="F142" s="282"/>
      <c r="G142" s="95">
        <f t="shared" si="2"/>
        <v>198.3</v>
      </c>
      <c r="H142" s="96"/>
      <c r="I142" s="99"/>
    </row>
    <row r="143" spans="1:9" ht="18" customHeight="1" x14ac:dyDescent="0.25">
      <c r="A143" s="58"/>
      <c r="B143" s="59"/>
      <c r="C143" s="66" t="s">
        <v>189</v>
      </c>
      <c r="D143" s="65" t="s">
        <v>19</v>
      </c>
      <c r="E143" s="62"/>
      <c r="F143" s="282"/>
      <c r="G143" s="95">
        <f t="shared" si="2"/>
        <v>198.3</v>
      </c>
      <c r="H143" s="96"/>
      <c r="I143" s="99"/>
    </row>
    <row r="144" spans="1:9" ht="18" customHeight="1" x14ac:dyDescent="0.25">
      <c r="A144" s="58"/>
      <c r="B144" s="59"/>
      <c r="C144" s="66" t="s">
        <v>189</v>
      </c>
      <c r="D144" s="65" t="s">
        <v>19</v>
      </c>
      <c r="E144" s="62"/>
      <c r="F144" s="282"/>
      <c r="G144" s="95">
        <f t="shared" si="2"/>
        <v>198.3</v>
      </c>
      <c r="H144" s="96"/>
      <c r="I144" s="99"/>
    </row>
    <row r="145" spans="1:9" ht="18" customHeight="1" x14ac:dyDescent="0.25">
      <c r="A145" s="58"/>
      <c r="B145" s="59"/>
      <c r="C145" s="66" t="s">
        <v>189</v>
      </c>
      <c r="D145" s="65" t="s">
        <v>19</v>
      </c>
      <c r="E145" s="62"/>
      <c r="F145" s="282"/>
      <c r="G145" s="95">
        <f t="shared" si="2"/>
        <v>198.3</v>
      </c>
      <c r="H145" s="96"/>
      <c r="I145" s="99"/>
    </row>
    <row r="146" spans="1:9" ht="18" customHeight="1" x14ac:dyDescent="0.25">
      <c r="A146" s="58"/>
      <c r="B146" s="59"/>
      <c r="C146" s="66" t="s">
        <v>189</v>
      </c>
      <c r="D146" s="65" t="s">
        <v>19</v>
      </c>
      <c r="E146" s="62"/>
      <c r="F146" s="282"/>
      <c r="G146" s="95">
        <f t="shared" si="2"/>
        <v>198.3</v>
      </c>
      <c r="H146" s="96"/>
      <c r="I146" s="99"/>
    </row>
    <row r="147" spans="1:9" ht="18" customHeight="1" x14ac:dyDescent="0.25">
      <c r="A147" s="58"/>
      <c r="B147" s="59"/>
      <c r="C147" s="66" t="s">
        <v>189</v>
      </c>
      <c r="D147" s="65" t="s">
        <v>19</v>
      </c>
      <c r="E147" s="62"/>
      <c r="F147" s="282"/>
      <c r="G147" s="95">
        <f t="shared" si="2"/>
        <v>198.3</v>
      </c>
      <c r="H147" s="96"/>
      <c r="I147" s="99"/>
    </row>
    <row r="148" spans="1:9" ht="18" customHeight="1" x14ac:dyDescent="0.25">
      <c r="A148" s="58"/>
      <c r="B148" s="59"/>
      <c r="C148" s="66" t="s">
        <v>189</v>
      </c>
      <c r="D148" s="65" t="s">
        <v>19</v>
      </c>
      <c r="E148" s="62"/>
      <c r="F148" s="282"/>
      <c r="G148" s="95">
        <f t="shared" si="2"/>
        <v>198.3</v>
      </c>
      <c r="H148" s="96"/>
      <c r="I148" s="99"/>
    </row>
    <row r="149" spans="1:9" ht="18" customHeight="1" x14ac:dyDescent="0.25">
      <c r="A149" s="58"/>
      <c r="B149" s="59"/>
      <c r="C149" s="66" t="s">
        <v>189</v>
      </c>
      <c r="D149" s="65" t="s">
        <v>19</v>
      </c>
      <c r="E149" s="62"/>
      <c r="F149" s="282"/>
      <c r="G149" s="95">
        <f t="shared" si="2"/>
        <v>198.3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198.3</v>
      </c>
      <c r="H150" s="104"/>
      <c r="I150" s="99"/>
    </row>
    <row r="151" spans="1:9" x14ac:dyDescent="0.25">
      <c r="A151" s="65"/>
      <c r="B151" s="59"/>
      <c r="C151" s="105"/>
      <c r="D151" s="65" t="s">
        <v>19</v>
      </c>
      <c r="E151" s="289"/>
      <c r="F151" s="283"/>
      <c r="G151" s="95">
        <f t="shared" si="2"/>
        <v>198.3</v>
      </c>
      <c r="H151" s="106"/>
      <c r="I151" s="86"/>
    </row>
    <row r="152" spans="1:9" x14ac:dyDescent="0.25">
      <c r="A152" s="65"/>
      <c r="B152" s="73"/>
      <c r="C152" s="58"/>
      <c r="D152" s="65" t="s">
        <v>19</v>
      </c>
      <c r="E152" s="290"/>
      <c r="F152" s="284"/>
      <c r="G152" s="95">
        <f t="shared" si="2"/>
        <v>198.3</v>
      </c>
      <c r="H152" s="107"/>
      <c r="I152" s="86"/>
    </row>
    <row r="153" spans="1:9" x14ac:dyDescent="0.25">
      <c r="A153" s="58"/>
      <c r="B153" s="58"/>
      <c r="C153" s="81" t="s">
        <v>13</v>
      </c>
      <c r="D153" s="65"/>
      <c r="E153" s="285">
        <f>SUM(E9:E152)</f>
        <v>474</v>
      </c>
      <c r="F153" s="285">
        <f>SUM(F9:F152)</f>
        <v>394.70000000000005</v>
      </c>
      <c r="G153" s="320">
        <f>E153-F153+G8</f>
        <v>198.29999999999995</v>
      </c>
      <c r="H153" s="108"/>
      <c r="I153" s="109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9E67-9EB3-400C-BE91-21041CF91A1C}">
  <sheetPr codeName="Sheet14"/>
  <dimension ref="A1:J154"/>
  <sheetViews>
    <sheetView topLeftCell="A21" workbookViewId="0">
      <selection activeCell="E41" sqref="E41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17.57031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9" x14ac:dyDescent="0.25">
      <c r="A1" s="55" t="s">
        <v>18</v>
      </c>
    </row>
    <row r="2" spans="1:9" x14ac:dyDescent="0.25">
      <c r="A2" s="55" t="s">
        <v>1</v>
      </c>
    </row>
    <row r="4" spans="1:9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9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9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278" t="s">
        <v>8</v>
      </c>
      <c r="H7" s="86" t="s">
        <v>9</v>
      </c>
      <c r="I7" s="86" t="s">
        <v>10</v>
      </c>
    </row>
    <row r="8" spans="1:9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>
        <v>523</v>
      </c>
      <c r="H8" s="92"/>
      <c r="I8" s="93"/>
    </row>
    <row r="9" spans="1:9" ht="18" customHeight="1" x14ac:dyDescent="0.25">
      <c r="A9" s="58"/>
      <c r="B9" s="59">
        <v>45670</v>
      </c>
      <c r="C9" s="66" t="s">
        <v>190</v>
      </c>
      <c r="D9" s="61" t="s">
        <v>19</v>
      </c>
      <c r="E9" s="62"/>
      <c r="F9" s="62">
        <v>1.8</v>
      </c>
      <c r="G9" s="95">
        <f>+G8+E9-F9</f>
        <v>521.20000000000005</v>
      </c>
      <c r="H9" s="96"/>
      <c r="I9" s="96" t="s">
        <v>90</v>
      </c>
    </row>
    <row r="10" spans="1:9" ht="18" customHeight="1" x14ac:dyDescent="0.25">
      <c r="A10" s="58"/>
      <c r="B10" s="59">
        <v>45671</v>
      </c>
      <c r="C10" s="66" t="s">
        <v>190</v>
      </c>
      <c r="D10" s="61" t="s">
        <v>19</v>
      </c>
      <c r="E10" s="62"/>
      <c r="F10" s="97">
        <v>5</v>
      </c>
      <c r="G10" s="95">
        <f t="shared" ref="G10:G73" si="0">+G9+E10-F10</f>
        <v>516.20000000000005</v>
      </c>
      <c r="H10" s="96" t="s">
        <v>129</v>
      </c>
      <c r="I10" s="96" t="s">
        <v>90</v>
      </c>
    </row>
    <row r="11" spans="1:9" ht="18" customHeight="1" x14ac:dyDescent="0.25">
      <c r="A11" s="58"/>
      <c r="B11" s="70">
        <v>45672</v>
      </c>
      <c r="C11" s="66" t="s">
        <v>190</v>
      </c>
      <c r="D11" s="61" t="s">
        <v>19</v>
      </c>
      <c r="E11" s="62"/>
      <c r="F11" s="97">
        <v>3.7</v>
      </c>
      <c r="G11" s="95">
        <f t="shared" si="0"/>
        <v>512.5</v>
      </c>
      <c r="H11" s="96" t="s">
        <v>129</v>
      </c>
      <c r="I11" s="96" t="s">
        <v>90</v>
      </c>
    </row>
    <row r="12" spans="1:9" ht="18" customHeight="1" x14ac:dyDescent="0.25">
      <c r="A12" s="58"/>
      <c r="B12" s="59">
        <v>45673</v>
      </c>
      <c r="C12" s="66" t="s">
        <v>190</v>
      </c>
      <c r="D12" s="61" t="s">
        <v>19</v>
      </c>
      <c r="E12" s="62"/>
      <c r="F12" s="97">
        <v>6.8</v>
      </c>
      <c r="G12" s="95">
        <f t="shared" si="0"/>
        <v>505.7</v>
      </c>
      <c r="H12" s="96"/>
      <c r="I12" s="96" t="s">
        <v>90</v>
      </c>
    </row>
    <row r="13" spans="1:9" ht="18" customHeight="1" x14ac:dyDescent="0.25">
      <c r="A13" s="58"/>
      <c r="B13" s="59">
        <v>45674</v>
      </c>
      <c r="C13" s="66" t="s">
        <v>190</v>
      </c>
      <c r="D13" s="61" t="s">
        <v>19</v>
      </c>
      <c r="E13" s="62"/>
      <c r="F13" s="97">
        <v>2.2000000000000002</v>
      </c>
      <c r="G13" s="95">
        <f t="shared" si="0"/>
        <v>503.5</v>
      </c>
      <c r="H13" s="96" t="s">
        <v>129</v>
      </c>
      <c r="I13" s="96" t="s">
        <v>90</v>
      </c>
    </row>
    <row r="14" spans="1:9" ht="18" customHeight="1" x14ac:dyDescent="0.25">
      <c r="A14" s="58"/>
      <c r="B14" s="59">
        <v>45681</v>
      </c>
      <c r="C14" s="66" t="s">
        <v>190</v>
      </c>
      <c r="D14" s="61" t="s">
        <v>19</v>
      </c>
      <c r="E14" s="62"/>
      <c r="F14" s="97">
        <v>1.1000000000000001</v>
      </c>
      <c r="G14" s="95">
        <f t="shared" si="0"/>
        <v>502.4</v>
      </c>
      <c r="H14" s="96" t="s">
        <v>129</v>
      </c>
      <c r="I14" s="96" t="s">
        <v>90</v>
      </c>
    </row>
    <row r="15" spans="1:9" ht="18" customHeight="1" x14ac:dyDescent="0.25">
      <c r="A15" s="58"/>
      <c r="B15" s="59">
        <v>45690</v>
      </c>
      <c r="C15" s="66" t="s">
        <v>190</v>
      </c>
      <c r="D15" s="61"/>
      <c r="E15" s="62"/>
      <c r="F15" s="97">
        <v>0.8</v>
      </c>
      <c r="G15" s="95">
        <f t="shared" si="0"/>
        <v>501.59999999999997</v>
      </c>
      <c r="H15" s="96"/>
      <c r="I15" s="96"/>
    </row>
    <row r="16" spans="1:9" ht="18" customHeight="1" x14ac:dyDescent="0.25">
      <c r="A16" s="58"/>
      <c r="B16" s="59">
        <v>45691</v>
      </c>
      <c r="C16" s="66" t="s">
        <v>190</v>
      </c>
      <c r="D16" s="61" t="s">
        <v>19</v>
      </c>
      <c r="E16" s="62"/>
      <c r="F16" s="97">
        <v>4</v>
      </c>
      <c r="G16" s="95">
        <f t="shared" si="0"/>
        <v>497.59999999999997</v>
      </c>
      <c r="H16" s="96" t="s">
        <v>129</v>
      </c>
      <c r="I16" s="96" t="s">
        <v>90</v>
      </c>
    </row>
    <row r="17" spans="1:10" ht="18" customHeight="1" x14ac:dyDescent="0.25">
      <c r="A17" s="58"/>
      <c r="B17" s="59">
        <v>45692</v>
      </c>
      <c r="C17" s="66" t="s">
        <v>190</v>
      </c>
      <c r="D17" s="61" t="s">
        <v>19</v>
      </c>
      <c r="E17" s="62"/>
      <c r="F17" s="97">
        <v>6</v>
      </c>
      <c r="G17" s="95">
        <f t="shared" si="0"/>
        <v>491.59999999999997</v>
      </c>
      <c r="H17" s="96" t="s">
        <v>129</v>
      </c>
      <c r="I17" s="96" t="s">
        <v>90</v>
      </c>
      <c r="J17" s="72"/>
    </row>
    <row r="18" spans="1:10" ht="18" customHeight="1" x14ac:dyDescent="0.25">
      <c r="A18" s="58"/>
      <c r="B18" s="98">
        <v>45706</v>
      </c>
      <c r="C18" s="66" t="s">
        <v>190</v>
      </c>
      <c r="D18" s="61" t="s">
        <v>19</v>
      </c>
      <c r="E18" s="62"/>
      <c r="F18" s="62">
        <v>7.6</v>
      </c>
      <c r="G18" s="95">
        <f t="shared" si="0"/>
        <v>483.99999999999994</v>
      </c>
      <c r="H18" s="96" t="s">
        <v>129</v>
      </c>
      <c r="I18" s="96" t="s">
        <v>90</v>
      </c>
      <c r="J18" s="72"/>
    </row>
    <row r="19" spans="1:10" ht="18" customHeight="1" x14ac:dyDescent="0.25">
      <c r="A19" s="100"/>
      <c r="B19" s="101">
        <v>45707</v>
      </c>
      <c r="C19" s="350" t="s">
        <v>190</v>
      </c>
      <c r="D19" s="351" t="s">
        <v>19</v>
      </c>
      <c r="E19" s="288"/>
      <c r="F19" s="281">
        <v>7.3</v>
      </c>
      <c r="G19" s="95">
        <f t="shared" si="0"/>
        <v>476.69999999999993</v>
      </c>
      <c r="H19" s="353"/>
      <c r="I19" s="353" t="s">
        <v>247</v>
      </c>
      <c r="J19" s="72"/>
    </row>
    <row r="20" spans="1:10" ht="18" customHeight="1" x14ac:dyDescent="0.25">
      <c r="A20" s="58"/>
      <c r="B20" s="59">
        <v>45708</v>
      </c>
      <c r="C20" s="66" t="s">
        <v>190</v>
      </c>
      <c r="D20" s="61" t="s">
        <v>19</v>
      </c>
      <c r="E20" s="62"/>
      <c r="F20" s="97">
        <v>5.5</v>
      </c>
      <c r="G20" s="95">
        <f t="shared" si="0"/>
        <v>471.19999999999993</v>
      </c>
      <c r="H20" s="96" t="s">
        <v>129</v>
      </c>
      <c r="I20" s="96" t="s">
        <v>90</v>
      </c>
      <c r="J20" s="72"/>
    </row>
    <row r="21" spans="1:10" ht="18" customHeight="1" x14ac:dyDescent="0.25">
      <c r="A21" s="58"/>
      <c r="B21" s="59">
        <v>45709</v>
      </c>
      <c r="C21" s="66" t="s">
        <v>190</v>
      </c>
      <c r="D21" s="61" t="s">
        <v>19</v>
      </c>
      <c r="E21" s="62"/>
      <c r="F21" s="97">
        <v>2.6</v>
      </c>
      <c r="G21" s="95">
        <f t="shared" si="0"/>
        <v>468.59999999999991</v>
      </c>
      <c r="H21" s="96" t="s">
        <v>129</v>
      </c>
      <c r="I21" s="96" t="s">
        <v>90</v>
      </c>
      <c r="J21" s="72"/>
    </row>
    <row r="22" spans="1:10" ht="18" customHeight="1" x14ac:dyDescent="0.25">
      <c r="A22" s="58"/>
      <c r="B22" s="59">
        <v>45757</v>
      </c>
      <c r="C22" s="66" t="s">
        <v>190</v>
      </c>
      <c r="D22" s="61" t="s">
        <v>19</v>
      </c>
      <c r="E22" s="62"/>
      <c r="F22" s="97">
        <v>5.0999999999999996</v>
      </c>
      <c r="G22" s="95">
        <f t="shared" si="0"/>
        <v>463.49999999999989</v>
      </c>
      <c r="H22" s="96" t="s">
        <v>129</v>
      </c>
      <c r="I22" s="96" t="s">
        <v>90</v>
      </c>
      <c r="J22" s="72"/>
    </row>
    <row r="23" spans="1:10" ht="18" customHeight="1" x14ac:dyDescent="0.25">
      <c r="A23" s="58"/>
      <c r="B23" s="59">
        <v>45758</v>
      </c>
      <c r="C23" s="66" t="s">
        <v>190</v>
      </c>
      <c r="D23" s="61" t="s">
        <v>19</v>
      </c>
      <c r="E23" s="62"/>
      <c r="F23" s="62">
        <v>6.5</v>
      </c>
      <c r="G23" s="95">
        <f t="shared" si="0"/>
        <v>456.99999999999989</v>
      </c>
      <c r="H23" s="96" t="s">
        <v>129</v>
      </c>
      <c r="I23" s="96" t="s">
        <v>90</v>
      </c>
      <c r="J23" s="72"/>
    </row>
    <row r="24" spans="1:10" ht="18" customHeight="1" x14ac:dyDescent="0.25">
      <c r="A24" s="58"/>
      <c r="B24" s="59">
        <v>45759</v>
      </c>
      <c r="C24" s="66" t="s">
        <v>190</v>
      </c>
      <c r="D24" s="61" t="s">
        <v>19</v>
      </c>
      <c r="E24" s="62"/>
      <c r="F24" s="97">
        <v>15</v>
      </c>
      <c r="G24" s="95">
        <f t="shared" si="0"/>
        <v>441.99999999999989</v>
      </c>
      <c r="H24" s="96" t="s">
        <v>129</v>
      </c>
      <c r="I24" s="96" t="s">
        <v>90</v>
      </c>
      <c r="J24" s="72"/>
    </row>
    <row r="25" spans="1:10" ht="18" customHeight="1" x14ac:dyDescent="0.25">
      <c r="A25" s="58"/>
      <c r="B25" s="59">
        <v>45761</v>
      </c>
      <c r="C25" s="66" t="s">
        <v>190</v>
      </c>
      <c r="D25" s="61" t="s">
        <v>19</v>
      </c>
      <c r="E25" s="62"/>
      <c r="F25" s="97">
        <v>8.4</v>
      </c>
      <c r="G25" s="95">
        <f t="shared" si="0"/>
        <v>433.59999999999991</v>
      </c>
      <c r="H25" s="96" t="s">
        <v>129</v>
      </c>
      <c r="I25" s="96" t="s">
        <v>257</v>
      </c>
    </row>
    <row r="26" spans="1:10" ht="18" customHeight="1" x14ac:dyDescent="0.25">
      <c r="A26" s="58"/>
      <c r="B26" s="59">
        <v>45771</v>
      </c>
      <c r="C26" s="66" t="s">
        <v>190</v>
      </c>
      <c r="D26" s="61" t="s">
        <v>19</v>
      </c>
      <c r="E26" s="62"/>
      <c r="F26" s="97">
        <v>8.8000000000000007</v>
      </c>
      <c r="G26" s="95">
        <f t="shared" si="0"/>
        <v>424.7999999999999</v>
      </c>
      <c r="H26" s="96" t="s">
        <v>129</v>
      </c>
      <c r="I26" s="96" t="s">
        <v>90</v>
      </c>
    </row>
    <row r="27" spans="1:10" ht="18" customHeight="1" x14ac:dyDescent="0.25">
      <c r="A27" s="58"/>
      <c r="B27" s="59">
        <v>45773</v>
      </c>
      <c r="C27" s="66" t="s">
        <v>190</v>
      </c>
      <c r="D27" s="61" t="s">
        <v>19</v>
      </c>
      <c r="E27" s="62"/>
      <c r="F27" s="97">
        <v>5.3</v>
      </c>
      <c r="G27" s="95">
        <f t="shared" si="0"/>
        <v>419.49999999999989</v>
      </c>
      <c r="H27" s="96" t="s">
        <v>129</v>
      </c>
      <c r="I27" s="96" t="s">
        <v>90</v>
      </c>
    </row>
    <row r="28" spans="1:10" s="102" customFormat="1" ht="18" customHeight="1" x14ac:dyDescent="0.25">
      <c r="A28" s="100"/>
      <c r="B28" s="101">
        <v>45775</v>
      </c>
      <c r="C28" s="66" t="s">
        <v>190</v>
      </c>
      <c r="D28" s="61" t="s">
        <v>19</v>
      </c>
      <c r="E28" s="288"/>
      <c r="F28" s="281">
        <v>8.5</v>
      </c>
      <c r="G28" s="95">
        <f t="shared" si="0"/>
        <v>410.99999999999989</v>
      </c>
      <c r="H28" s="96" t="s">
        <v>129</v>
      </c>
      <c r="I28" s="96" t="s">
        <v>90</v>
      </c>
    </row>
    <row r="29" spans="1:10" ht="18" customHeight="1" x14ac:dyDescent="0.25">
      <c r="A29" s="58"/>
      <c r="B29" s="59">
        <v>45776</v>
      </c>
      <c r="C29" s="66" t="s">
        <v>190</v>
      </c>
      <c r="D29" s="61" t="s">
        <v>19</v>
      </c>
      <c r="E29" s="62"/>
      <c r="F29" s="97">
        <v>2.7</v>
      </c>
      <c r="G29" s="95">
        <f t="shared" si="0"/>
        <v>408.2999999999999</v>
      </c>
      <c r="H29" s="96" t="s">
        <v>129</v>
      </c>
      <c r="I29" s="96" t="s">
        <v>90</v>
      </c>
    </row>
    <row r="30" spans="1:10" ht="18" customHeight="1" x14ac:dyDescent="0.25">
      <c r="A30" s="58"/>
      <c r="B30" s="59">
        <v>45783</v>
      </c>
      <c r="C30" s="66" t="s">
        <v>190</v>
      </c>
      <c r="D30" s="61" t="s">
        <v>19</v>
      </c>
      <c r="E30" s="62"/>
      <c r="F30" s="62">
        <v>2.5</v>
      </c>
      <c r="G30" s="95">
        <f t="shared" si="0"/>
        <v>405.7999999999999</v>
      </c>
      <c r="H30" s="96" t="s">
        <v>129</v>
      </c>
      <c r="I30" s="96" t="s">
        <v>90</v>
      </c>
    </row>
    <row r="31" spans="1:10" ht="18" customHeight="1" x14ac:dyDescent="0.25">
      <c r="A31" s="58"/>
      <c r="B31" s="59">
        <v>45784</v>
      </c>
      <c r="C31" s="66" t="s">
        <v>190</v>
      </c>
      <c r="D31" s="61" t="s">
        <v>19</v>
      </c>
      <c r="E31" s="62"/>
      <c r="F31" s="62">
        <v>13.7</v>
      </c>
      <c r="G31" s="95">
        <f t="shared" si="0"/>
        <v>392.09999999999991</v>
      </c>
      <c r="H31" s="96" t="s">
        <v>129</v>
      </c>
      <c r="I31" s="96" t="s">
        <v>90</v>
      </c>
    </row>
    <row r="32" spans="1:10" ht="18" customHeight="1" x14ac:dyDescent="0.25">
      <c r="A32" s="58"/>
      <c r="B32" s="59">
        <v>45809</v>
      </c>
      <c r="C32" s="66" t="s">
        <v>190</v>
      </c>
      <c r="D32" s="61" t="s">
        <v>19</v>
      </c>
      <c r="E32" s="62"/>
      <c r="F32" s="62">
        <v>0.9</v>
      </c>
      <c r="G32" s="95">
        <f t="shared" si="0"/>
        <v>391.19999999999993</v>
      </c>
      <c r="H32" s="96" t="s">
        <v>129</v>
      </c>
      <c r="I32" s="96" t="s">
        <v>90</v>
      </c>
    </row>
    <row r="33" spans="1:9" ht="18" customHeight="1" x14ac:dyDescent="0.25">
      <c r="A33" s="58"/>
      <c r="B33" s="59">
        <v>45810</v>
      </c>
      <c r="C33" s="66" t="s">
        <v>190</v>
      </c>
      <c r="D33" s="61" t="s">
        <v>19</v>
      </c>
      <c r="E33" s="62"/>
      <c r="F33" s="62">
        <v>8.4</v>
      </c>
      <c r="G33" s="95">
        <f t="shared" si="0"/>
        <v>382.79999999999995</v>
      </c>
      <c r="H33" s="96"/>
      <c r="I33" s="96" t="s">
        <v>90</v>
      </c>
    </row>
    <row r="34" spans="1:9" ht="18" customHeight="1" x14ac:dyDescent="0.25">
      <c r="A34" s="58"/>
      <c r="B34" s="59">
        <v>45812</v>
      </c>
      <c r="C34" s="66" t="s">
        <v>190</v>
      </c>
      <c r="D34" s="61" t="s">
        <v>19</v>
      </c>
      <c r="E34" s="62"/>
      <c r="F34" s="62">
        <v>10</v>
      </c>
      <c r="G34" s="95">
        <f t="shared" si="0"/>
        <v>372.79999999999995</v>
      </c>
      <c r="H34" s="96"/>
      <c r="I34" s="96" t="s">
        <v>90</v>
      </c>
    </row>
    <row r="35" spans="1:9" ht="18" customHeight="1" x14ac:dyDescent="0.25">
      <c r="A35" s="58"/>
      <c r="B35" s="59">
        <v>45813</v>
      </c>
      <c r="C35" s="66" t="s">
        <v>190</v>
      </c>
      <c r="D35" s="61" t="s">
        <v>19</v>
      </c>
      <c r="E35" s="62"/>
      <c r="F35" s="62">
        <v>8.5</v>
      </c>
      <c r="G35" s="95">
        <f t="shared" si="0"/>
        <v>364.29999999999995</v>
      </c>
      <c r="H35" s="96" t="s">
        <v>394</v>
      </c>
      <c r="I35" s="96" t="s">
        <v>90</v>
      </c>
    </row>
    <row r="36" spans="1:9" ht="18" customHeight="1" x14ac:dyDescent="0.25">
      <c r="A36" s="58"/>
      <c r="B36" s="59">
        <v>45825</v>
      </c>
      <c r="C36" s="66" t="s">
        <v>190</v>
      </c>
      <c r="D36" s="61" t="s">
        <v>19</v>
      </c>
      <c r="E36" s="62"/>
      <c r="F36" s="62">
        <v>2.5</v>
      </c>
      <c r="G36" s="95">
        <f t="shared" si="0"/>
        <v>361.79999999999995</v>
      </c>
      <c r="H36" s="96"/>
      <c r="I36" s="96" t="s">
        <v>90</v>
      </c>
    </row>
    <row r="37" spans="1:9" ht="18" customHeight="1" x14ac:dyDescent="0.25">
      <c r="A37" s="58"/>
      <c r="B37" s="59">
        <v>45834</v>
      </c>
      <c r="C37" s="66" t="s">
        <v>190</v>
      </c>
      <c r="D37" s="61" t="s">
        <v>19</v>
      </c>
      <c r="E37" s="62"/>
      <c r="F37" s="62">
        <v>9.4</v>
      </c>
      <c r="G37" s="95">
        <f t="shared" si="0"/>
        <v>352.4</v>
      </c>
      <c r="H37" s="96"/>
      <c r="I37" s="96" t="s">
        <v>90</v>
      </c>
    </row>
    <row r="38" spans="1:9" ht="18" customHeight="1" x14ac:dyDescent="0.25">
      <c r="A38" s="58"/>
      <c r="B38" s="59">
        <v>45835</v>
      </c>
      <c r="C38" s="66" t="s">
        <v>190</v>
      </c>
      <c r="D38" s="61" t="s">
        <v>19</v>
      </c>
      <c r="E38" s="62"/>
      <c r="F38" s="62">
        <v>7.6</v>
      </c>
      <c r="G38" s="95">
        <f t="shared" si="0"/>
        <v>344.79999999999995</v>
      </c>
      <c r="H38" s="96"/>
      <c r="I38" s="96" t="s">
        <v>90</v>
      </c>
    </row>
    <row r="39" spans="1:9" ht="18" customHeight="1" x14ac:dyDescent="0.25">
      <c r="A39" s="58"/>
      <c r="B39" s="59">
        <v>45843</v>
      </c>
      <c r="C39" s="66" t="s">
        <v>190</v>
      </c>
      <c r="D39" s="61" t="s">
        <v>19</v>
      </c>
      <c r="E39" s="62"/>
      <c r="F39" s="62">
        <v>6.3</v>
      </c>
      <c r="G39" s="95">
        <f t="shared" si="0"/>
        <v>338.49999999999994</v>
      </c>
      <c r="H39" s="96"/>
      <c r="I39" s="96" t="s">
        <v>90</v>
      </c>
    </row>
    <row r="40" spans="1:9" ht="18" customHeight="1" x14ac:dyDescent="0.25">
      <c r="A40" s="58"/>
      <c r="B40" s="59">
        <v>45845</v>
      </c>
      <c r="C40" s="66" t="s">
        <v>190</v>
      </c>
      <c r="D40" s="61" t="s">
        <v>19</v>
      </c>
      <c r="E40" s="62"/>
      <c r="F40" s="62">
        <v>9.6999999999999993</v>
      </c>
      <c r="G40" s="95">
        <f t="shared" si="0"/>
        <v>328.79999999999995</v>
      </c>
      <c r="H40" s="96"/>
      <c r="I40" s="96" t="s">
        <v>90</v>
      </c>
    </row>
    <row r="41" spans="1:9" ht="18" customHeight="1" x14ac:dyDescent="0.25">
      <c r="A41" s="58"/>
      <c r="B41" s="59">
        <v>45846</v>
      </c>
      <c r="C41" s="66" t="s">
        <v>190</v>
      </c>
      <c r="D41" s="61" t="s">
        <v>19</v>
      </c>
      <c r="E41" s="62">
        <v>334.5</v>
      </c>
      <c r="F41" s="103">
        <v>10.5</v>
      </c>
      <c r="G41" s="352">
        <f t="shared" si="0"/>
        <v>652.79999999999995</v>
      </c>
      <c r="H41" s="96"/>
      <c r="I41" s="96" t="s">
        <v>90</v>
      </c>
    </row>
    <row r="42" spans="1:9" ht="18" customHeight="1" x14ac:dyDescent="0.25">
      <c r="A42" s="58"/>
      <c r="B42" s="59">
        <v>45857</v>
      </c>
      <c r="C42" s="66" t="s">
        <v>190</v>
      </c>
      <c r="D42" s="61" t="s">
        <v>19</v>
      </c>
      <c r="E42" s="62"/>
      <c r="F42" s="103">
        <v>6.5</v>
      </c>
      <c r="G42" s="95">
        <f t="shared" si="0"/>
        <v>646.29999999999995</v>
      </c>
      <c r="H42" s="96"/>
      <c r="I42" s="96" t="s">
        <v>90</v>
      </c>
    </row>
    <row r="43" spans="1:9" ht="18" customHeight="1" x14ac:dyDescent="0.25">
      <c r="A43" s="58"/>
      <c r="B43" s="59">
        <v>45859</v>
      </c>
      <c r="C43" s="66" t="s">
        <v>190</v>
      </c>
      <c r="D43" s="61" t="s">
        <v>19</v>
      </c>
      <c r="E43" s="62"/>
      <c r="F43" s="103">
        <v>3.5</v>
      </c>
      <c r="G43" s="95">
        <f t="shared" si="0"/>
        <v>642.79999999999995</v>
      </c>
      <c r="H43" s="96"/>
      <c r="I43" s="96" t="s">
        <v>90</v>
      </c>
    </row>
    <row r="44" spans="1:9" ht="18" customHeight="1" x14ac:dyDescent="0.25">
      <c r="A44" s="58"/>
      <c r="B44" s="59">
        <v>45860</v>
      </c>
      <c r="C44" s="66" t="s">
        <v>190</v>
      </c>
      <c r="D44" s="61" t="s">
        <v>19</v>
      </c>
      <c r="E44" s="62"/>
      <c r="F44" s="103">
        <v>20.3</v>
      </c>
      <c r="G44" s="95">
        <f t="shared" si="0"/>
        <v>622.5</v>
      </c>
      <c r="H44" s="96"/>
      <c r="I44" s="96" t="s">
        <v>90</v>
      </c>
    </row>
    <row r="45" spans="1:9" ht="18" customHeight="1" x14ac:dyDescent="0.25">
      <c r="A45" s="58"/>
      <c r="B45" s="59">
        <v>45880</v>
      </c>
      <c r="C45" s="66" t="s">
        <v>190</v>
      </c>
      <c r="D45" s="61" t="s">
        <v>19</v>
      </c>
      <c r="E45" s="62"/>
      <c r="F45" s="103">
        <v>7</v>
      </c>
      <c r="G45" s="95">
        <f t="shared" si="0"/>
        <v>615.5</v>
      </c>
      <c r="H45" s="96"/>
      <c r="I45" s="96" t="s">
        <v>90</v>
      </c>
    </row>
    <row r="46" spans="1:9" ht="18" customHeight="1" x14ac:dyDescent="0.25">
      <c r="A46" s="58"/>
      <c r="B46" s="59">
        <v>45881</v>
      </c>
      <c r="C46" s="66" t="s">
        <v>190</v>
      </c>
      <c r="D46" s="61" t="s">
        <v>19</v>
      </c>
      <c r="E46" s="62"/>
      <c r="F46" s="103">
        <v>11.2</v>
      </c>
      <c r="G46" s="95">
        <f t="shared" si="0"/>
        <v>604.29999999999995</v>
      </c>
      <c r="H46" s="96"/>
      <c r="I46" s="96" t="s">
        <v>90</v>
      </c>
    </row>
    <row r="47" spans="1:9" ht="18" customHeight="1" x14ac:dyDescent="0.25">
      <c r="A47" s="58"/>
      <c r="B47" s="59">
        <v>45882</v>
      </c>
      <c r="C47" s="66" t="s">
        <v>190</v>
      </c>
      <c r="D47" s="61" t="s">
        <v>19</v>
      </c>
      <c r="E47" s="62"/>
      <c r="F47" s="103">
        <v>8.1</v>
      </c>
      <c r="G47" s="95">
        <f t="shared" si="0"/>
        <v>596.19999999999993</v>
      </c>
      <c r="H47" s="96"/>
      <c r="I47" s="96" t="s">
        <v>90</v>
      </c>
    </row>
    <row r="48" spans="1:9" ht="18" customHeight="1" x14ac:dyDescent="0.25">
      <c r="A48" s="58"/>
      <c r="B48" s="59">
        <v>45890</v>
      </c>
      <c r="C48" s="66" t="s">
        <v>190</v>
      </c>
      <c r="D48" s="61" t="s">
        <v>19</v>
      </c>
      <c r="E48" s="62"/>
      <c r="F48" s="103">
        <v>11.1</v>
      </c>
      <c r="G48" s="95">
        <f t="shared" si="0"/>
        <v>585.09999999999991</v>
      </c>
      <c r="H48" s="96"/>
      <c r="I48" s="96" t="s">
        <v>90</v>
      </c>
    </row>
    <row r="49" spans="1:9" ht="18" customHeight="1" x14ac:dyDescent="0.25">
      <c r="A49" s="58"/>
      <c r="B49" s="59">
        <v>45891</v>
      </c>
      <c r="C49" s="66" t="s">
        <v>190</v>
      </c>
      <c r="D49" s="61" t="s">
        <v>19</v>
      </c>
      <c r="E49" s="62"/>
      <c r="F49" s="103">
        <v>6.7</v>
      </c>
      <c r="G49" s="95">
        <f t="shared" si="0"/>
        <v>578.39999999999986</v>
      </c>
      <c r="H49" s="96"/>
      <c r="I49" s="96" t="s">
        <v>90</v>
      </c>
    </row>
    <row r="50" spans="1:9" ht="18" customHeight="1" x14ac:dyDescent="0.25">
      <c r="A50" s="58"/>
      <c r="B50" s="59">
        <v>45892</v>
      </c>
      <c r="C50" s="66" t="s">
        <v>190</v>
      </c>
      <c r="D50" s="61" t="s">
        <v>19</v>
      </c>
      <c r="E50" s="62"/>
      <c r="F50" s="103">
        <v>3.5</v>
      </c>
      <c r="G50" s="95">
        <f t="shared" si="0"/>
        <v>574.89999999999986</v>
      </c>
      <c r="H50" s="96"/>
      <c r="I50" s="96" t="s">
        <v>90</v>
      </c>
    </row>
    <row r="51" spans="1:9" ht="18" customHeight="1" x14ac:dyDescent="0.25">
      <c r="A51" s="58"/>
      <c r="B51" s="59">
        <v>45894</v>
      </c>
      <c r="C51" s="66" t="s">
        <v>190</v>
      </c>
      <c r="D51" s="61" t="s">
        <v>19</v>
      </c>
      <c r="E51" s="62"/>
      <c r="F51" s="103">
        <v>10</v>
      </c>
      <c r="G51" s="95">
        <f t="shared" si="0"/>
        <v>564.89999999999986</v>
      </c>
      <c r="H51" s="96"/>
      <c r="I51" s="96" t="s">
        <v>90</v>
      </c>
    </row>
    <row r="52" spans="1:9" ht="18" customHeight="1" x14ac:dyDescent="0.25">
      <c r="A52" s="58"/>
      <c r="B52" s="59">
        <v>45895</v>
      </c>
      <c r="C52" s="66" t="s">
        <v>190</v>
      </c>
      <c r="D52" s="61" t="s">
        <v>19</v>
      </c>
      <c r="E52" s="62"/>
      <c r="F52" s="103">
        <v>13.5</v>
      </c>
      <c r="G52" s="95">
        <f t="shared" si="0"/>
        <v>551.39999999999986</v>
      </c>
      <c r="H52" s="96"/>
      <c r="I52" s="96" t="s">
        <v>90</v>
      </c>
    </row>
    <row r="53" spans="1:9" ht="18" customHeight="1" x14ac:dyDescent="0.25">
      <c r="A53" s="58"/>
      <c r="B53" s="59">
        <v>45896</v>
      </c>
      <c r="C53" s="66" t="s">
        <v>190</v>
      </c>
      <c r="D53" s="61" t="s">
        <v>19</v>
      </c>
      <c r="E53" s="62"/>
      <c r="F53" s="103">
        <v>14.3</v>
      </c>
      <c r="G53" s="95">
        <f t="shared" si="0"/>
        <v>537.09999999999991</v>
      </c>
      <c r="H53" s="96"/>
      <c r="I53" s="96" t="s">
        <v>90</v>
      </c>
    </row>
    <row r="54" spans="1:9" ht="18" customHeight="1" x14ac:dyDescent="0.25">
      <c r="A54" s="58"/>
      <c r="B54" s="59">
        <v>45897</v>
      </c>
      <c r="C54" s="66" t="s">
        <v>190</v>
      </c>
      <c r="D54" s="61" t="s">
        <v>19</v>
      </c>
      <c r="E54" s="62"/>
      <c r="F54" s="103">
        <v>10.3</v>
      </c>
      <c r="G54" s="95">
        <f t="shared" si="0"/>
        <v>526.79999999999995</v>
      </c>
      <c r="H54" s="96"/>
      <c r="I54" s="96" t="s">
        <v>90</v>
      </c>
    </row>
    <row r="55" spans="1:9" ht="18" customHeight="1" x14ac:dyDescent="0.25">
      <c r="A55" s="58"/>
      <c r="B55" s="59">
        <v>45903</v>
      </c>
      <c r="C55" s="66" t="s">
        <v>190</v>
      </c>
      <c r="D55" s="61" t="s">
        <v>19</v>
      </c>
      <c r="E55" s="62"/>
      <c r="F55" s="103">
        <v>4</v>
      </c>
      <c r="G55" s="95">
        <f t="shared" si="0"/>
        <v>522.79999999999995</v>
      </c>
      <c r="H55" s="96"/>
      <c r="I55" s="96" t="s">
        <v>90</v>
      </c>
    </row>
    <row r="56" spans="1:9" ht="18" customHeight="1" x14ac:dyDescent="0.25">
      <c r="A56" s="58"/>
      <c r="B56" s="59">
        <v>45910</v>
      </c>
      <c r="C56" s="66" t="s">
        <v>190</v>
      </c>
      <c r="D56" s="61" t="s">
        <v>19</v>
      </c>
      <c r="E56" s="62"/>
      <c r="F56" s="103">
        <v>4.5</v>
      </c>
      <c r="G56" s="95">
        <f t="shared" si="0"/>
        <v>518.29999999999995</v>
      </c>
      <c r="H56" s="96"/>
      <c r="I56" s="96" t="s">
        <v>90</v>
      </c>
    </row>
    <row r="57" spans="1:9" ht="18" customHeight="1" x14ac:dyDescent="0.25">
      <c r="A57" s="58"/>
      <c r="B57" s="59">
        <v>45911</v>
      </c>
      <c r="C57" s="66" t="s">
        <v>190</v>
      </c>
      <c r="D57" s="61" t="s">
        <v>19</v>
      </c>
      <c r="E57" s="62"/>
      <c r="F57" s="103">
        <v>8.1999999999999993</v>
      </c>
      <c r="G57" s="95">
        <f t="shared" si="0"/>
        <v>510.09999999999997</v>
      </c>
      <c r="H57" s="96"/>
      <c r="I57" s="96" t="s">
        <v>90</v>
      </c>
    </row>
    <row r="58" spans="1:9" ht="18" customHeight="1" x14ac:dyDescent="0.25">
      <c r="A58" s="58"/>
      <c r="B58" s="59"/>
      <c r="C58" s="66" t="s">
        <v>190</v>
      </c>
      <c r="D58" s="61" t="s">
        <v>19</v>
      </c>
      <c r="E58" s="62"/>
      <c r="F58" s="103"/>
      <c r="G58" s="95">
        <f t="shared" si="0"/>
        <v>510.09999999999997</v>
      </c>
      <c r="H58" s="96"/>
      <c r="I58" s="96" t="s">
        <v>90</v>
      </c>
    </row>
    <row r="59" spans="1:9" ht="18" customHeight="1" x14ac:dyDescent="0.25">
      <c r="A59" s="58"/>
      <c r="B59" s="59"/>
      <c r="C59" s="66" t="s">
        <v>190</v>
      </c>
      <c r="D59" s="61" t="s">
        <v>19</v>
      </c>
      <c r="E59" s="62"/>
      <c r="F59" s="282"/>
      <c r="G59" s="95">
        <f t="shared" si="0"/>
        <v>510.09999999999997</v>
      </c>
      <c r="H59" s="96"/>
      <c r="I59" s="96" t="s">
        <v>90</v>
      </c>
    </row>
    <row r="60" spans="1:9" ht="18" customHeight="1" x14ac:dyDescent="0.25">
      <c r="A60" s="58"/>
      <c r="B60" s="59"/>
      <c r="C60" s="66" t="s">
        <v>190</v>
      </c>
      <c r="D60" s="61" t="s">
        <v>19</v>
      </c>
      <c r="E60" s="62"/>
      <c r="F60" s="282"/>
      <c r="G60" s="95">
        <f t="shared" si="0"/>
        <v>510.09999999999997</v>
      </c>
      <c r="H60" s="96"/>
      <c r="I60" s="96" t="s">
        <v>90</v>
      </c>
    </row>
    <row r="61" spans="1:9" ht="18" customHeight="1" x14ac:dyDescent="0.25">
      <c r="A61" s="58"/>
      <c r="B61" s="59"/>
      <c r="C61" s="66" t="s">
        <v>190</v>
      </c>
      <c r="D61" s="61" t="s">
        <v>19</v>
      </c>
      <c r="E61" s="62"/>
      <c r="F61" s="282"/>
      <c r="G61" s="95">
        <f t="shared" si="0"/>
        <v>510.09999999999997</v>
      </c>
      <c r="H61" s="96"/>
      <c r="I61" s="96" t="s">
        <v>90</v>
      </c>
    </row>
    <row r="62" spans="1:9" ht="18" customHeight="1" x14ac:dyDescent="0.25">
      <c r="A62" s="58"/>
      <c r="B62" s="59"/>
      <c r="C62" s="66" t="s">
        <v>190</v>
      </c>
      <c r="D62" s="61" t="s">
        <v>19</v>
      </c>
      <c r="E62" s="62"/>
      <c r="F62" s="282"/>
      <c r="G62" s="95">
        <f t="shared" si="0"/>
        <v>510.09999999999997</v>
      </c>
      <c r="H62" s="96"/>
      <c r="I62" s="96" t="s">
        <v>90</v>
      </c>
    </row>
    <row r="63" spans="1:9" ht="18" customHeight="1" x14ac:dyDescent="0.25">
      <c r="A63" s="58"/>
      <c r="B63" s="59"/>
      <c r="C63" s="66" t="s">
        <v>190</v>
      </c>
      <c r="D63" s="61" t="s">
        <v>19</v>
      </c>
      <c r="E63" s="62"/>
      <c r="F63" s="282"/>
      <c r="G63" s="95">
        <f t="shared" si="0"/>
        <v>510.09999999999997</v>
      </c>
      <c r="H63" s="96"/>
      <c r="I63" s="96" t="s">
        <v>90</v>
      </c>
    </row>
    <row r="64" spans="1:9" ht="18" customHeight="1" x14ac:dyDescent="0.25">
      <c r="A64" s="58"/>
      <c r="B64" s="59"/>
      <c r="C64" s="66" t="s">
        <v>190</v>
      </c>
      <c r="D64" s="61" t="s">
        <v>19</v>
      </c>
      <c r="E64" s="62"/>
      <c r="F64" s="282"/>
      <c r="G64" s="95">
        <f t="shared" si="0"/>
        <v>510.09999999999997</v>
      </c>
      <c r="H64" s="96"/>
      <c r="I64" s="96" t="s">
        <v>90</v>
      </c>
    </row>
    <row r="65" spans="1:9" ht="18" customHeight="1" x14ac:dyDescent="0.25">
      <c r="A65" s="58"/>
      <c r="B65" s="59"/>
      <c r="C65" s="66" t="s">
        <v>190</v>
      </c>
      <c r="D65" s="61" t="s">
        <v>19</v>
      </c>
      <c r="E65" s="62"/>
      <c r="F65" s="282"/>
      <c r="G65" s="95">
        <f t="shared" si="0"/>
        <v>510.09999999999997</v>
      </c>
      <c r="H65" s="96"/>
      <c r="I65" s="96" t="s">
        <v>90</v>
      </c>
    </row>
    <row r="66" spans="1:9" ht="18" customHeight="1" x14ac:dyDescent="0.25">
      <c r="A66" s="58"/>
      <c r="B66" s="59"/>
      <c r="C66" s="66" t="s">
        <v>190</v>
      </c>
      <c r="D66" s="61" t="s">
        <v>19</v>
      </c>
      <c r="E66" s="62"/>
      <c r="F66" s="282"/>
      <c r="G66" s="95">
        <f t="shared" si="0"/>
        <v>510.09999999999997</v>
      </c>
      <c r="H66" s="96"/>
      <c r="I66" s="96" t="s">
        <v>90</v>
      </c>
    </row>
    <row r="67" spans="1:9" ht="18" customHeight="1" x14ac:dyDescent="0.25">
      <c r="A67" s="58"/>
      <c r="B67" s="59"/>
      <c r="C67" s="66" t="s">
        <v>190</v>
      </c>
      <c r="D67" s="61" t="s">
        <v>19</v>
      </c>
      <c r="E67" s="62"/>
      <c r="F67" s="282"/>
      <c r="G67" s="95">
        <f t="shared" si="0"/>
        <v>510.09999999999997</v>
      </c>
      <c r="H67" s="96"/>
      <c r="I67" s="96" t="s">
        <v>90</v>
      </c>
    </row>
    <row r="68" spans="1:9" ht="18" customHeight="1" x14ac:dyDescent="0.25">
      <c r="A68" s="58"/>
      <c r="B68" s="59"/>
      <c r="C68" s="66" t="s">
        <v>190</v>
      </c>
      <c r="D68" s="61" t="s">
        <v>19</v>
      </c>
      <c r="E68" s="62"/>
      <c r="F68" s="282"/>
      <c r="G68" s="95">
        <f t="shared" si="0"/>
        <v>510.09999999999997</v>
      </c>
      <c r="H68" s="96"/>
      <c r="I68" s="96" t="s">
        <v>90</v>
      </c>
    </row>
    <row r="69" spans="1:9" ht="18" customHeight="1" x14ac:dyDescent="0.25">
      <c r="A69" s="58"/>
      <c r="B69" s="59"/>
      <c r="C69" s="66" t="s">
        <v>190</v>
      </c>
      <c r="D69" s="61" t="s">
        <v>19</v>
      </c>
      <c r="E69" s="62"/>
      <c r="F69" s="282"/>
      <c r="G69" s="95">
        <f t="shared" si="0"/>
        <v>510.09999999999997</v>
      </c>
      <c r="H69" s="96"/>
      <c r="I69" s="96" t="s">
        <v>90</v>
      </c>
    </row>
    <row r="70" spans="1:9" ht="18" customHeight="1" x14ac:dyDescent="0.25">
      <c r="A70" s="58"/>
      <c r="B70" s="59"/>
      <c r="C70" s="66" t="s">
        <v>190</v>
      </c>
      <c r="D70" s="61" t="s">
        <v>19</v>
      </c>
      <c r="E70" s="62"/>
      <c r="F70" s="282"/>
      <c r="G70" s="95">
        <f t="shared" si="0"/>
        <v>510.09999999999997</v>
      </c>
      <c r="H70" s="96"/>
      <c r="I70" s="96" t="s">
        <v>90</v>
      </c>
    </row>
    <row r="71" spans="1:9" ht="18" customHeight="1" x14ac:dyDescent="0.25">
      <c r="A71" s="58"/>
      <c r="B71" s="59"/>
      <c r="C71" s="66" t="s">
        <v>190</v>
      </c>
      <c r="D71" s="61" t="s">
        <v>19</v>
      </c>
      <c r="E71" s="62"/>
      <c r="F71" s="282"/>
      <c r="G71" s="95">
        <f t="shared" si="0"/>
        <v>510.09999999999997</v>
      </c>
      <c r="H71" s="96"/>
      <c r="I71" s="96" t="s">
        <v>90</v>
      </c>
    </row>
    <row r="72" spans="1:9" ht="18" customHeight="1" x14ac:dyDescent="0.25">
      <c r="A72" s="58"/>
      <c r="B72" s="59"/>
      <c r="C72" s="66" t="s">
        <v>190</v>
      </c>
      <c r="D72" s="61" t="s">
        <v>19</v>
      </c>
      <c r="E72" s="62"/>
      <c r="F72" s="282"/>
      <c r="G72" s="95">
        <f t="shared" si="0"/>
        <v>510.09999999999997</v>
      </c>
      <c r="H72" s="96"/>
      <c r="I72" s="96" t="s">
        <v>90</v>
      </c>
    </row>
    <row r="73" spans="1:9" ht="18" customHeight="1" x14ac:dyDescent="0.25">
      <c r="A73" s="58"/>
      <c r="B73" s="59"/>
      <c r="C73" s="66" t="s">
        <v>190</v>
      </c>
      <c r="D73" s="61" t="s">
        <v>19</v>
      </c>
      <c r="E73" s="62"/>
      <c r="F73" s="282"/>
      <c r="G73" s="95">
        <f t="shared" si="0"/>
        <v>510.09999999999997</v>
      </c>
      <c r="H73" s="96"/>
      <c r="I73" s="96" t="s">
        <v>90</v>
      </c>
    </row>
    <row r="74" spans="1:9" ht="18" customHeight="1" x14ac:dyDescent="0.25">
      <c r="A74" s="58"/>
      <c r="B74" s="59"/>
      <c r="C74" s="66" t="s">
        <v>190</v>
      </c>
      <c r="D74" s="61" t="s">
        <v>19</v>
      </c>
      <c r="E74" s="62"/>
      <c r="F74" s="282"/>
      <c r="G74" s="95">
        <f t="shared" ref="G74:G137" si="1">+G73+E74-F74</f>
        <v>510.09999999999997</v>
      </c>
      <c r="H74" s="96"/>
      <c r="I74" s="96" t="s">
        <v>90</v>
      </c>
    </row>
    <row r="75" spans="1:9" ht="18" customHeight="1" x14ac:dyDescent="0.25">
      <c r="A75" s="58"/>
      <c r="B75" s="59"/>
      <c r="C75" s="66" t="s">
        <v>190</v>
      </c>
      <c r="D75" s="61" t="s">
        <v>19</v>
      </c>
      <c r="E75" s="62"/>
      <c r="F75" s="282"/>
      <c r="G75" s="95">
        <f t="shared" si="1"/>
        <v>510.09999999999997</v>
      </c>
      <c r="H75" s="96"/>
      <c r="I75" s="96" t="s">
        <v>90</v>
      </c>
    </row>
    <row r="76" spans="1:9" ht="18" customHeight="1" x14ac:dyDescent="0.25">
      <c r="A76" s="58"/>
      <c r="B76" s="59"/>
      <c r="C76" s="66" t="s">
        <v>190</v>
      </c>
      <c r="D76" s="61" t="s">
        <v>19</v>
      </c>
      <c r="E76" s="62"/>
      <c r="F76" s="282"/>
      <c r="G76" s="95">
        <f t="shared" si="1"/>
        <v>510.09999999999997</v>
      </c>
      <c r="H76" s="96"/>
      <c r="I76" s="96"/>
    </row>
    <row r="77" spans="1:9" ht="18" customHeight="1" x14ac:dyDescent="0.25">
      <c r="A77" s="58"/>
      <c r="B77" s="59"/>
      <c r="C77" s="66" t="s">
        <v>190</v>
      </c>
      <c r="D77" s="61" t="s">
        <v>19</v>
      </c>
      <c r="E77" s="62"/>
      <c r="F77" s="282"/>
      <c r="G77" s="95">
        <f t="shared" si="1"/>
        <v>510.09999999999997</v>
      </c>
      <c r="H77" s="96"/>
      <c r="I77" s="96"/>
    </row>
    <row r="78" spans="1:9" ht="18" customHeight="1" x14ac:dyDescent="0.25">
      <c r="A78" s="58"/>
      <c r="B78" s="59"/>
      <c r="C78" s="66" t="s">
        <v>190</v>
      </c>
      <c r="D78" s="61" t="s">
        <v>19</v>
      </c>
      <c r="E78" s="62"/>
      <c r="F78" s="282"/>
      <c r="G78" s="95">
        <f t="shared" si="1"/>
        <v>510.09999999999997</v>
      </c>
      <c r="H78" s="96"/>
      <c r="I78" s="96"/>
    </row>
    <row r="79" spans="1:9" ht="18" customHeight="1" x14ac:dyDescent="0.25">
      <c r="A79" s="58"/>
      <c r="B79" s="59"/>
      <c r="C79" s="66" t="s">
        <v>190</v>
      </c>
      <c r="D79" s="61" t="s">
        <v>19</v>
      </c>
      <c r="E79" s="62"/>
      <c r="F79" s="282"/>
      <c r="G79" s="95">
        <f t="shared" si="1"/>
        <v>510.09999999999997</v>
      </c>
      <c r="H79" s="96"/>
      <c r="I79" s="96"/>
    </row>
    <row r="80" spans="1:9" ht="18" customHeight="1" x14ac:dyDescent="0.25">
      <c r="A80" s="58"/>
      <c r="B80" s="59"/>
      <c r="C80" s="66" t="s">
        <v>190</v>
      </c>
      <c r="D80" s="61" t="s">
        <v>19</v>
      </c>
      <c r="E80" s="62"/>
      <c r="F80" s="282"/>
      <c r="G80" s="95">
        <f t="shared" si="1"/>
        <v>510.09999999999997</v>
      </c>
      <c r="H80" s="96"/>
      <c r="I80" s="96"/>
    </row>
    <row r="81" spans="1:9" ht="18" customHeight="1" x14ac:dyDescent="0.25">
      <c r="A81" s="58"/>
      <c r="B81" s="59"/>
      <c r="C81" s="66" t="s">
        <v>190</v>
      </c>
      <c r="D81" s="61" t="s">
        <v>19</v>
      </c>
      <c r="E81" s="62"/>
      <c r="F81" s="282"/>
      <c r="G81" s="95">
        <f t="shared" si="1"/>
        <v>510.09999999999997</v>
      </c>
      <c r="H81" s="96"/>
      <c r="I81" s="96"/>
    </row>
    <row r="82" spans="1:9" ht="18" customHeight="1" x14ac:dyDescent="0.25">
      <c r="A82" s="58"/>
      <c r="B82" s="59"/>
      <c r="C82" s="66" t="s">
        <v>190</v>
      </c>
      <c r="D82" s="61" t="s">
        <v>19</v>
      </c>
      <c r="E82" s="62"/>
      <c r="F82" s="282"/>
      <c r="G82" s="95">
        <f t="shared" si="1"/>
        <v>510.09999999999997</v>
      </c>
      <c r="H82" s="96"/>
      <c r="I82" s="96"/>
    </row>
    <row r="83" spans="1:9" s="297" customFormat="1" ht="18" customHeight="1" x14ac:dyDescent="0.25">
      <c r="A83" s="291"/>
      <c r="B83" s="292"/>
      <c r="C83" s="66" t="s">
        <v>190</v>
      </c>
      <c r="D83" s="293" t="s">
        <v>19</v>
      </c>
      <c r="E83" s="294"/>
      <c r="F83" s="295"/>
      <c r="G83" s="95">
        <f t="shared" si="1"/>
        <v>510.09999999999997</v>
      </c>
      <c r="H83" s="96"/>
      <c r="I83" s="296"/>
    </row>
    <row r="84" spans="1:9" ht="18" customHeight="1" x14ac:dyDescent="0.25">
      <c r="A84" s="58"/>
      <c r="B84" s="59"/>
      <c r="C84" s="66" t="s">
        <v>190</v>
      </c>
      <c r="D84" s="61" t="s">
        <v>19</v>
      </c>
      <c r="E84" s="62"/>
      <c r="F84" s="282"/>
      <c r="G84" s="95">
        <f t="shared" si="1"/>
        <v>510.09999999999997</v>
      </c>
      <c r="H84" s="96"/>
      <c r="I84" s="296"/>
    </row>
    <row r="85" spans="1:9" ht="18" customHeight="1" x14ac:dyDescent="0.25">
      <c r="A85" s="58"/>
      <c r="B85" s="59"/>
      <c r="C85" s="66" t="s">
        <v>190</v>
      </c>
      <c r="D85" s="61" t="s">
        <v>19</v>
      </c>
      <c r="E85" s="62"/>
      <c r="F85" s="282"/>
      <c r="G85" s="95">
        <f t="shared" si="1"/>
        <v>510.09999999999997</v>
      </c>
      <c r="H85" s="96"/>
      <c r="I85" s="96"/>
    </row>
    <row r="86" spans="1:9" ht="18" customHeight="1" x14ac:dyDescent="0.25">
      <c r="A86" s="58"/>
      <c r="B86" s="59"/>
      <c r="C86" s="66" t="s">
        <v>190</v>
      </c>
      <c r="D86" s="61" t="s">
        <v>19</v>
      </c>
      <c r="E86" s="62"/>
      <c r="F86" s="282"/>
      <c r="G86" s="95">
        <f t="shared" si="1"/>
        <v>510.09999999999997</v>
      </c>
      <c r="H86" s="96"/>
      <c r="I86" s="96"/>
    </row>
    <row r="87" spans="1:9" ht="18" customHeight="1" x14ac:dyDescent="0.25">
      <c r="A87" s="58"/>
      <c r="B87" s="59"/>
      <c r="C87" s="66" t="s">
        <v>190</v>
      </c>
      <c r="D87" s="61" t="s">
        <v>19</v>
      </c>
      <c r="E87" s="62"/>
      <c r="F87" s="282"/>
      <c r="G87" s="95">
        <f t="shared" si="1"/>
        <v>510.09999999999997</v>
      </c>
      <c r="H87" s="96"/>
      <c r="I87" s="96"/>
    </row>
    <row r="88" spans="1:9" ht="18" customHeight="1" x14ac:dyDescent="0.25">
      <c r="A88" s="58"/>
      <c r="B88" s="59"/>
      <c r="C88" s="66" t="s">
        <v>190</v>
      </c>
      <c r="D88" s="61" t="s">
        <v>19</v>
      </c>
      <c r="E88" s="62"/>
      <c r="F88" s="282"/>
      <c r="G88" s="95">
        <f t="shared" si="1"/>
        <v>510.09999999999997</v>
      </c>
      <c r="H88" s="96"/>
      <c r="I88" s="96"/>
    </row>
    <row r="89" spans="1:9" ht="18" customHeight="1" x14ac:dyDescent="0.25">
      <c r="A89" s="58"/>
      <c r="B89" s="59"/>
      <c r="C89" s="66" t="s">
        <v>190</v>
      </c>
      <c r="D89" s="61" t="s">
        <v>19</v>
      </c>
      <c r="E89" s="62"/>
      <c r="F89" s="282"/>
      <c r="G89" s="95">
        <f t="shared" si="1"/>
        <v>510.09999999999997</v>
      </c>
      <c r="H89" s="96"/>
      <c r="I89" s="96"/>
    </row>
    <row r="90" spans="1:9" ht="18" customHeight="1" x14ac:dyDescent="0.25">
      <c r="A90" s="58"/>
      <c r="B90" s="59"/>
      <c r="C90" s="66" t="s">
        <v>190</v>
      </c>
      <c r="D90" s="61" t="s">
        <v>19</v>
      </c>
      <c r="E90" s="62"/>
      <c r="F90" s="282"/>
      <c r="G90" s="95">
        <f t="shared" si="1"/>
        <v>510.09999999999997</v>
      </c>
      <c r="H90" s="96"/>
      <c r="I90" s="96"/>
    </row>
    <row r="91" spans="1:9" ht="18" customHeight="1" x14ac:dyDescent="0.25">
      <c r="A91" s="58"/>
      <c r="B91" s="59"/>
      <c r="C91" s="66" t="s">
        <v>190</v>
      </c>
      <c r="D91" s="61" t="s">
        <v>19</v>
      </c>
      <c r="E91" s="62"/>
      <c r="F91" s="282"/>
      <c r="G91" s="95">
        <f t="shared" si="1"/>
        <v>510.09999999999997</v>
      </c>
      <c r="H91" s="96"/>
      <c r="I91" s="96"/>
    </row>
    <row r="92" spans="1:9" ht="18" customHeight="1" x14ac:dyDescent="0.25">
      <c r="A92" s="58"/>
      <c r="B92" s="59"/>
      <c r="C92" s="66" t="s">
        <v>190</v>
      </c>
      <c r="D92" s="61" t="s">
        <v>19</v>
      </c>
      <c r="E92" s="62"/>
      <c r="F92" s="282"/>
      <c r="G92" s="95">
        <f t="shared" si="1"/>
        <v>510.09999999999997</v>
      </c>
      <c r="H92" s="96"/>
      <c r="I92" s="96"/>
    </row>
    <row r="93" spans="1:9" ht="18" customHeight="1" x14ac:dyDescent="0.25">
      <c r="A93" s="58"/>
      <c r="B93" s="59"/>
      <c r="C93" s="66" t="s">
        <v>190</v>
      </c>
      <c r="D93" s="61" t="s">
        <v>19</v>
      </c>
      <c r="E93" s="62"/>
      <c r="F93" s="282"/>
      <c r="G93" s="95">
        <f t="shared" si="1"/>
        <v>510.09999999999997</v>
      </c>
      <c r="H93" s="96"/>
      <c r="I93" s="96"/>
    </row>
    <row r="94" spans="1:9" ht="18" customHeight="1" x14ac:dyDescent="0.25">
      <c r="A94" s="58"/>
      <c r="B94" s="59"/>
      <c r="C94" s="66" t="s">
        <v>190</v>
      </c>
      <c r="D94" s="61" t="s">
        <v>19</v>
      </c>
      <c r="E94" s="62"/>
      <c r="F94" s="282"/>
      <c r="G94" s="95">
        <f t="shared" si="1"/>
        <v>510.09999999999997</v>
      </c>
      <c r="H94" s="96"/>
      <c r="I94" s="96"/>
    </row>
    <row r="95" spans="1:9" ht="18" customHeight="1" x14ac:dyDescent="0.25">
      <c r="A95" s="58"/>
      <c r="B95" s="59"/>
      <c r="C95" s="66" t="s">
        <v>190</v>
      </c>
      <c r="D95" s="61" t="s">
        <v>19</v>
      </c>
      <c r="E95" s="62"/>
      <c r="F95" s="282"/>
      <c r="G95" s="95">
        <f t="shared" si="1"/>
        <v>510.09999999999997</v>
      </c>
      <c r="H95" s="96"/>
      <c r="I95" s="96"/>
    </row>
    <row r="96" spans="1:9" ht="18" customHeight="1" x14ac:dyDescent="0.25">
      <c r="A96" s="58"/>
      <c r="B96" s="59"/>
      <c r="C96" s="66" t="s">
        <v>190</v>
      </c>
      <c r="D96" s="61" t="s">
        <v>19</v>
      </c>
      <c r="E96" s="62"/>
      <c r="F96" s="282"/>
      <c r="G96" s="95">
        <f t="shared" si="1"/>
        <v>510.09999999999997</v>
      </c>
      <c r="H96" s="96"/>
      <c r="I96" s="96"/>
    </row>
    <row r="97" spans="1:9" ht="18" customHeight="1" x14ac:dyDescent="0.25">
      <c r="A97" s="58"/>
      <c r="B97" s="59"/>
      <c r="C97" s="66" t="s">
        <v>190</v>
      </c>
      <c r="D97" s="61" t="s">
        <v>19</v>
      </c>
      <c r="E97" s="62"/>
      <c r="F97" s="282"/>
      <c r="G97" s="95">
        <f t="shared" si="1"/>
        <v>510.09999999999997</v>
      </c>
      <c r="H97" s="96"/>
      <c r="I97" s="96"/>
    </row>
    <row r="98" spans="1:9" ht="18" customHeight="1" x14ac:dyDescent="0.25">
      <c r="A98" s="58"/>
      <c r="B98" s="59"/>
      <c r="C98" s="66" t="s">
        <v>190</v>
      </c>
      <c r="D98" s="61" t="s">
        <v>19</v>
      </c>
      <c r="E98" s="62"/>
      <c r="F98" s="282"/>
      <c r="G98" s="95">
        <f t="shared" si="1"/>
        <v>510.09999999999997</v>
      </c>
      <c r="H98" s="96"/>
      <c r="I98" s="96"/>
    </row>
    <row r="99" spans="1:9" ht="18" customHeight="1" x14ac:dyDescent="0.25">
      <c r="A99" s="58"/>
      <c r="B99" s="59"/>
      <c r="C99" s="66" t="s">
        <v>190</v>
      </c>
      <c r="D99" s="61" t="s">
        <v>19</v>
      </c>
      <c r="E99" s="62"/>
      <c r="F99" s="282"/>
      <c r="G99" s="95">
        <f t="shared" si="1"/>
        <v>510.09999999999997</v>
      </c>
      <c r="H99" s="96"/>
      <c r="I99" s="96"/>
    </row>
    <row r="100" spans="1:9" ht="18" customHeight="1" x14ac:dyDescent="0.25">
      <c r="A100" s="58"/>
      <c r="B100" s="59"/>
      <c r="C100" s="66" t="s">
        <v>190</v>
      </c>
      <c r="D100" s="61" t="s">
        <v>19</v>
      </c>
      <c r="E100" s="62"/>
      <c r="F100" s="282"/>
      <c r="G100" s="95">
        <f t="shared" si="1"/>
        <v>510.09999999999997</v>
      </c>
      <c r="H100" s="96"/>
      <c r="I100" s="99"/>
    </row>
    <row r="101" spans="1:9" ht="18" customHeight="1" x14ac:dyDescent="0.25">
      <c r="A101" s="58"/>
      <c r="B101" s="59"/>
      <c r="C101" s="66" t="s">
        <v>190</v>
      </c>
      <c r="D101" s="61" t="s">
        <v>19</v>
      </c>
      <c r="E101" s="62"/>
      <c r="F101" s="282"/>
      <c r="G101" s="95">
        <f t="shared" si="1"/>
        <v>510.09999999999997</v>
      </c>
      <c r="H101" s="96"/>
      <c r="I101" s="99"/>
    </row>
    <row r="102" spans="1:9" ht="18" customHeight="1" x14ac:dyDescent="0.25">
      <c r="A102" s="58"/>
      <c r="B102" s="59"/>
      <c r="C102" s="66" t="s">
        <v>190</v>
      </c>
      <c r="D102" s="61" t="s">
        <v>19</v>
      </c>
      <c r="E102" s="62"/>
      <c r="F102" s="282"/>
      <c r="G102" s="95">
        <f t="shared" si="1"/>
        <v>510.09999999999997</v>
      </c>
      <c r="H102" s="96"/>
      <c r="I102" s="99"/>
    </row>
    <row r="103" spans="1:9" ht="18" customHeight="1" x14ac:dyDescent="0.25">
      <c r="A103" s="58"/>
      <c r="B103" s="59"/>
      <c r="C103" s="66" t="s">
        <v>190</v>
      </c>
      <c r="D103" s="61" t="s">
        <v>19</v>
      </c>
      <c r="E103" s="62"/>
      <c r="F103" s="282"/>
      <c r="G103" s="95">
        <f t="shared" si="1"/>
        <v>510.09999999999997</v>
      </c>
      <c r="H103" s="96"/>
      <c r="I103" s="99"/>
    </row>
    <row r="104" spans="1:9" ht="18" customHeight="1" x14ac:dyDescent="0.25">
      <c r="A104" s="58"/>
      <c r="B104" s="59"/>
      <c r="C104" s="66" t="s">
        <v>190</v>
      </c>
      <c r="D104" s="61" t="s">
        <v>19</v>
      </c>
      <c r="E104" s="62"/>
      <c r="F104" s="282"/>
      <c r="G104" s="95">
        <f t="shared" si="1"/>
        <v>510.09999999999997</v>
      </c>
      <c r="H104" s="96"/>
      <c r="I104" s="99"/>
    </row>
    <row r="105" spans="1:9" ht="18" customHeight="1" x14ac:dyDescent="0.25">
      <c r="A105" s="58"/>
      <c r="B105" s="59"/>
      <c r="C105" s="66" t="s">
        <v>190</v>
      </c>
      <c r="D105" s="61" t="s">
        <v>19</v>
      </c>
      <c r="E105" s="62"/>
      <c r="F105" s="282"/>
      <c r="G105" s="95">
        <f t="shared" si="1"/>
        <v>510.09999999999997</v>
      </c>
      <c r="H105" s="96"/>
      <c r="I105" s="99"/>
    </row>
    <row r="106" spans="1:9" ht="18" customHeight="1" x14ac:dyDescent="0.25">
      <c r="A106" s="58"/>
      <c r="B106" s="59"/>
      <c r="C106" s="66" t="s">
        <v>190</v>
      </c>
      <c r="D106" s="61" t="s">
        <v>19</v>
      </c>
      <c r="E106" s="62"/>
      <c r="F106" s="282"/>
      <c r="G106" s="95">
        <f t="shared" si="1"/>
        <v>510.09999999999997</v>
      </c>
      <c r="H106" s="96"/>
      <c r="I106" s="99"/>
    </row>
    <row r="107" spans="1:9" ht="18" customHeight="1" x14ac:dyDescent="0.25">
      <c r="A107" s="58"/>
      <c r="B107" s="59"/>
      <c r="C107" s="66" t="s">
        <v>190</v>
      </c>
      <c r="D107" s="61" t="s">
        <v>19</v>
      </c>
      <c r="E107" s="62"/>
      <c r="F107" s="282"/>
      <c r="G107" s="95">
        <f t="shared" si="1"/>
        <v>510.09999999999997</v>
      </c>
      <c r="H107" s="96"/>
      <c r="I107" s="99"/>
    </row>
    <row r="108" spans="1:9" ht="18" customHeight="1" x14ac:dyDescent="0.25">
      <c r="A108" s="58"/>
      <c r="B108" s="59"/>
      <c r="C108" s="66" t="s">
        <v>190</v>
      </c>
      <c r="D108" s="61" t="s">
        <v>19</v>
      </c>
      <c r="E108" s="62"/>
      <c r="F108" s="282"/>
      <c r="G108" s="95">
        <f t="shared" si="1"/>
        <v>510.09999999999997</v>
      </c>
      <c r="H108" s="96"/>
      <c r="I108" s="99"/>
    </row>
    <row r="109" spans="1:9" ht="18" customHeight="1" x14ac:dyDescent="0.25">
      <c r="A109" s="58"/>
      <c r="B109" s="59"/>
      <c r="C109" s="66" t="s">
        <v>190</v>
      </c>
      <c r="D109" s="61" t="s">
        <v>19</v>
      </c>
      <c r="E109" s="62"/>
      <c r="F109" s="282"/>
      <c r="G109" s="95">
        <f t="shared" si="1"/>
        <v>510.09999999999997</v>
      </c>
      <c r="H109" s="96"/>
      <c r="I109" s="99"/>
    </row>
    <row r="110" spans="1:9" ht="18" customHeight="1" x14ac:dyDescent="0.25">
      <c r="A110" s="58"/>
      <c r="B110" s="59"/>
      <c r="C110" s="66" t="s">
        <v>190</v>
      </c>
      <c r="D110" s="61" t="s">
        <v>19</v>
      </c>
      <c r="E110" s="62"/>
      <c r="F110" s="282"/>
      <c r="G110" s="95">
        <f t="shared" si="1"/>
        <v>510.09999999999997</v>
      </c>
      <c r="H110" s="96"/>
      <c r="I110" s="99"/>
    </row>
    <row r="111" spans="1:9" ht="18" customHeight="1" x14ac:dyDescent="0.25">
      <c r="A111" s="58"/>
      <c r="B111" s="59"/>
      <c r="C111" s="66" t="s">
        <v>190</v>
      </c>
      <c r="D111" s="61" t="s">
        <v>19</v>
      </c>
      <c r="E111" s="62"/>
      <c r="F111" s="282"/>
      <c r="G111" s="95">
        <f t="shared" si="1"/>
        <v>510.09999999999997</v>
      </c>
      <c r="H111" s="96"/>
      <c r="I111" s="99"/>
    </row>
    <row r="112" spans="1:9" ht="18" customHeight="1" x14ac:dyDescent="0.25">
      <c r="A112" s="58"/>
      <c r="B112" s="59"/>
      <c r="C112" s="66" t="s">
        <v>190</v>
      </c>
      <c r="D112" s="61" t="s">
        <v>19</v>
      </c>
      <c r="E112" s="62"/>
      <c r="F112" s="282"/>
      <c r="G112" s="95">
        <f t="shared" si="1"/>
        <v>510.09999999999997</v>
      </c>
      <c r="H112" s="96"/>
      <c r="I112" s="99"/>
    </row>
    <row r="113" spans="1:9" ht="18" customHeight="1" x14ac:dyDescent="0.25">
      <c r="A113" s="58"/>
      <c r="B113" s="59"/>
      <c r="C113" s="66" t="s">
        <v>190</v>
      </c>
      <c r="D113" s="61" t="s">
        <v>19</v>
      </c>
      <c r="E113" s="62"/>
      <c r="F113" s="282"/>
      <c r="G113" s="95">
        <f t="shared" si="1"/>
        <v>510.09999999999997</v>
      </c>
      <c r="H113" s="96"/>
      <c r="I113" s="99"/>
    </row>
    <row r="114" spans="1:9" ht="18" customHeight="1" x14ac:dyDescent="0.25">
      <c r="A114" s="58"/>
      <c r="B114" s="59"/>
      <c r="C114" s="66" t="s">
        <v>190</v>
      </c>
      <c r="D114" s="61" t="s">
        <v>19</v>
      </c>
      <c r="E114" s="62"/>
      <c r="F114" s="282"/>
      <c r="G114" s="95">
        <f t="shared" si="1"/>
        <v>510.09999999999997</v>
      </c>
      <c r="H114" s="96"/>
      <c r="I114" s="99"/>
    </row>
    <row r="115" spans="1:9" ht="18" customHeight="1" x14ac:dyDescent="0.25">
      <c r="A115" s="58"/>
      <c r="B115" s="59"/>
      <c r="C115" s="66" t="s">
        <v>190</v>
      </c>
      <c r="D115" s="61" t="s">
        <v>19</v>
      </c>
      <c r="E115" s="62"/>
      <c r="F115" s="282"/>
      <c r="G115" s="95">
        <f t="shared" si="1"/>
        <v>510.09999999999997</v>
      </c>
      <c r="H115" s="96"/>
      <c r="I115" s="99"/>
    </row>
    <row r="116" spans="1:9" ht="18" customHeight="1" x14ac:dyDescent="0.25">
      <c r="A116" s="58"/>
      <c r="B116" s="59"/>
      <c r="C116" s="66" t="s">
        <v>190</v>
      </c>
      <c r="D116" s="61" t="s">
        <v>19</v>
      </c>
      <c r="E116" s="62"/>
      <c r="F116" s="282"/>
      <c r="G116" s="95">
        <f t="shared" si="1"/>
        <v>510.09999999999997</v>
      </c>
      <c r="H116" s="96"/>
      <c r="I116" s="99"/>
    </row>
    <row r="117" spans="1:9" ht="18" customHeight="1" x14ac:dyDescent="0.25">
      <c r="A117" s="58"/>
      <c r="B117" s="59"/>
      <c r="C117" s="66" t="s">
        <v>190</v>
      </c>
      <c r="D117" s="61" t="s">
        <v>19</v>
      </c>
      <c r="E117" s="62"/>
      <c r="F117" s="282"/>
      <c r="G117" s="95">
        <f t="shared" si="1"/>
        <v>510.09999999999997</v>
      </c>
      <c r="H117" s="96"/>
      <c r="I117" s="99"/>
    </row>
    <row r="118" spans="1:9" ht="18" customHeight="1" x14ac:dyDescent="0.25">
      <c r="A118" s="58"/>
      <c r="B118" s="59"/>
      <c r="C118" s="66" t="s">
        <v>190</v>
      </c>
      <c r="D118" s="61" t="s">
        <v>19</v>
      </c>
      <c r="E118" s="62"/>
      <c r="F118" s="282"/>
      <c r="G118" s="95">
        <f t="shared" si="1"/>
        <v>510.09999999999997</v>
      </c>
      <c r="H118" s="96"/>
      <c r="I118" s="99"/>
    </row>
    <row r="119" spans="1:9" ht="18" customHeight="1" x14ac:dyDescent="0.25">
      <c r="A119" s="58"/>
      <c r="B119" s="59"/>
      <c r="C119" s="66" t="s">
        <v>190</v>
      </c>
      <c r="D119" s="61" t="s">
        <v>19</v>
      </c>
      <c r="E119" s="62"/>
      <c r="F119" s="282"/>
      <c r="G119" s="95">
        <f t="shared" si="1"/>
        <v>510.09999999999997</v>
      </c>
      <c r="H119" s="96"/>
      <c r="I119" s="99"/>
    </row>
    <row r="120" spans="1:9" ht="18" customHeight="1" x14ac:dyDescent="0.25">
      <c r="A120" s="58"/>
      <c r="B120" s="59"/>
      <c r="C120" s="66" t="s">
        <v>190</v>
      </c>
      <c r="D120" s="61" t="s">
        <v>19</v>
      </c>
      <c r="E120" s="62"/>
      <c r="F120" s="282"/>
      <c r="G120" s="95">
        <f t="shared" si="1"/>
        <v>510.09999999999997</v>
      </c>
      <c r="H120" s="96"/>
      <c r="I120" s="99"/>
    </row>
    <row r="121" spans="1:9" ht="18" customHeight="1" x14ac:dyDescent="0.25">
      <c r="A121" s="58"/>
      <c r="B121" s="59"/>
      <c r="C121" s="66" t="s">
        <v>190</v>
      </c>
      <c r="D121" s="61" t="s">
        <v>19</v>
      </c>
      <c r="E121" s="62"/>
      <c r="F121" s="282"/>
      <c r="G121" s="95">
        <f t="shared" si="1"/>
        <v>510.09999999999997</v>
      </c>
      <c r="H121" s="96"/>
      <c r="I121" s="99"/>
    </row>
    <row r="122" spans="1:9" ht="18" customHeight="1" x14ac:dyDescent="0.25">
      <c r="A122" s="58"/>
      <c r="B122" s="59"/>
      <c r="C122" s="66" t="s">
        <v>190</v>
      </c>
      <c r="D122" s="61" t="s">
        <v>19</v>
      </c>
      <c r="E122" s="62"/>
      <c r="F122" s="282"/>
      <c r="G122" s="95">
        <f t="shared" si="1"/>
        <v>510.09999999999997</v>
      </c>
      <c r="H122" s="96"/>
      <c r="I122" s="99"/>
    </row>
    <row r="123" spans="1:9" ht="18" customHeight="1" x14ac:dyDescent="0.25">
      <c r="A123" s="58"/>
      <c r="B123" s="59"/>
      <c r="C123" s="66" t="s">
        <v>190</v>
      </c>
      <c r="D123" s="61" t="s">
        <v>19</v>
      </c>
      <c r="E123" s="62"/>
      <c r="F123" s="282"/>
      <c r="G123" s="95">
        <f t="shared" si="1"/>
        <v>510.09999999999997</v>
      </c>
      <c r="H123" s="96"/>
      <c r="I123" s="99"/>
    </row>
    <row r="124" spans="1:9" ht="18" customHeight="1" x14ac:dyDescent="0.25">
      <c r="A124" s="58"/>
      <c r="B124" s="59"/>
      <c r="C124" s="66" t="s">
        <v>190</v>
      </c>
      <c r="D124" s="61" t="s">
        <v>19</v>
      </c>
      <c r="E124" s="62"/>
      <c r="F124" s="282"/>
      <c r="G124" s="95">
        <f t="shared" si="1"/>
        <v>510.09999999999997</v>
      </c>
      <c r="H124" s="96"/>
      <c r="I124" s="99"/>
    </row>
    <row r="125" spans="1:9" ht="18" customHeight="1" x14ac:dyDescent="0.25">
      <c r="A125" s="58"/>
      <c r="B125" s="59"/>
      <c r="C125" s="66" t="s">
        <v>190</v>
      </c>
      <c r="D125" s="61" t="s">
        <v>19</v>
      </c>
      <c r="E125" s="62"/>
      <c r="F125" s="282"/>
      <c r="G125" s="95">
        <f t="shared" si="1"/>
        <v>510.09999999999997</v>
      </c>
      <c r="H125" s="96"/>
      <c r="I125" s="99"/>
    </row>
    <row r="126" spans="1:9" ht="18" customHeight="1" x14ac:dyDescent="0.25">
      <c r="A126" s="58"/>
      <c r="B126" s="59"/>
      <c r="C126" s="66" t="s">
        <v>190</v>
      </c>
      <c r="D126" s="61" t="s">
        <v>19</v>
      </c>
      <c r="E126" s="62"/>
      <c r="F126" s="282"/>
      <c r="G126" s="95">
        <f t="shared" si="1"/>
        <v>510.09999999999997</v>
      </c>
      <c r="H126" s="96"/>
      <c r="I126" s="99"/>
    </row>
    <row r="127" spans="1:9" ht="18" customHeight="1" x14ac:dyDescent="0.25">
      <c r="A127" s="58"/>
      <c r="B127" s="59"/>
      <c r="C127" s="66" t="s">
        <v>190</v>
      </c>
      <c r="D127" s="61" t="s">
        <v>19</v>
      </c>
      <c r="E127" s="62"/>
      <c r="F127" s="282"/>
      <c r="G127" s="95">
        <f t="shared" si="1"/>
        <v>510.09999999999997</v>
      </c>
      <c r="H127" s="96"/>
      <c r="I127" s="99"/>
    </row>
    <row r="128" spans="1:9" ht="18" customHeight="1" x14ac:dyDescent="0.25">
      <c r="A128" s="58"/>
      <c r="B128" s="59"/>
      <c r="C128" s="66" t="s">
        <v>190</v>
      </c>
      <c r="D128" s="61" t="s">
        <v>19</v>
      </c>
      <c r="E128" s="62"/>
      <c r="F128" s="282"/>
      <c r="G128" s="95">
        <f t="shared" si="1"/>
        <v>510.09999999999997</v>
      </c>
      <c r="H128" s="96"/>
      <c r="I128" s="99"/>
    </row>
    <row r="129" spans="1:9" ht="18" customHeight="1" x14ac:dyDescent="0.25">
      <c r="A129" s="58"/>
      <c r="B129" s="59"/>
      <c r="C129" s="66" t="s">
        <v>190</v>
      </c>
      <c r="D129" s="61" t="s">
        <v>19</v>
      </c>
      <c r="E129" s="62"/>
      <c r="F129" s="282"/>
      <c r="G129" s="95">
        <f t="shared" si="1"/>
        <v>510.09999999999997</v>
      </c>
      <c r="H129" s="96"/>
      <c r="I129" s="99"/>
    </row>
    <row r="130" spans="1:9" ht="18" customHeight="1" x14ac:dyDescent="0.25">
      <c r="A130" s="58"/>
      <c r="B130" s="59"/>
      <c r="C130" s="66" t="s">
        <v>190</v>
      </c>
      <c r="D130" s="61" t="s">
        <v>19</v>
      </c>
      <c r="E130" s="62"/>
      <c r="F130" s="282"/>
      <c r="G130" s="95">
        <f t="shared" si="1"/>
        <v>510.09999999999997</v>
      </c>
      <c r="H130" s="96"/>
      <c r="I130" s="99"/>
    </row>
    <row r="131" spans="1:9" ht="18" customHeight="1" x14ac:dyDescent="0.25">
      <c r="A131" s="58"/>
      <c r="B131" s="59"/>
      <c r="C131" s="66" t="s">
        <v>190</v>
      </c>
      <c r="D131" s="61" t="s">
        <v>19</v>
      </c>
      <c r="E131" s="62"/>
      <c r="F131" s="282"/>
      <c r="G131" s="95">
        <f t="shared" si="1"/>
        <v>510.09999999999997</v>
      </c>
      <c r="H131" s="96"/>
      <c r="I131" s="99"/>
    </row>
    <row r="132" spans="1:9" ht="18" customHeight="1" x14ac:dyDescent="0.25">
      <c r="A132" s="58"/>
      <c r="B132" s="59"/>
      <c r="C132" s="66" t="s">
        <v>190</v>
      </c>
      <c r="D132" s="61" t="s">
        <v>19</v>
      </c>
      <c r="E132" s="62"/>
      <c r="F132" s="282"/>
      <c r="G132" s="95">
        <f t="shared" si="1"/>
        <v>510.09999999999997</v>
      </c>
      <c r="H132" s="96"/>
      <c r="I132" s="99"/>
    </row>
    <row r="133" spans="1:9" ht="18" customHeight="1" x14ac:dyDescent="0.25">
      <c r="A133" s="58"/>
      <c r="B133" s="59"/>
      <c r="C133" s="66" t="s">
        <v>190</v>
      </c>
      <c r="D133" s="61" t="s">
        <v>19</v>
      </c>
      <c r="E133" s="62"/>
      <c r="F133" s="282"/>
      <c r="G133" s="95">
        <f t="shared" si="1"/>
        <v>510.09999999999997</v>
      </c>
      <c r="H133" s="96"/>
      <c r="I133" s="99"/>
    </row>
    <row r="134" spans="1:9" ht="18" customHeight="1" x14ac:dyDescent="0.25">
      <c r="A134" s="58"/>
      <c r="B134" s="59"/>
      <c r="C134" s="66" t="s">
        <v>190</v>
      </c>
      <c r="D134" s="61" t="s">
        <v>19</v>
      </c>
      <c r="E134" s="62"/>
      <c r="F134" s="282"/>
      <c r="G134" s="95">
        <f t="shared" si="1"/>
        <v>510.09999999999997</v>
      </c>
      <c r="H134" s="96"/>
      <c r="I134" s="99"/>
    </row>
    <row r="135" spans="1:9" ht="18" customHeight="1" x14ac:dyDescent="0.25">
      <c r="A135" s="58"/>
      <c r="B135" s="59"/>
      <c r="C135" s="66" t="s">
        <v>190</v>
      </c>
      <c r="D135" s="61" t="s">
        <v>19</v>
      </c>
      <c r="E135" s="62"/>
      <c r="F135" s="282"/>
      <c r="G135" s="95">
        <f t="shared" si="1"/>
        <v>510.09999999999997</v>
      </c>
      <c r="H135" s="96"/>
      <c r="I135" s="99"/>
    </row>
    <row r="136" spans="1:9" ht="18" customHeight="1" x14ac:dyDescent="0.25">
      <c r="A136" s="58"/>
      <c r="B136" s="59"/>
      <c r="C136" s="66" t="s">
        <v>190</v>
      </c>
      <c r="D136" s="61" t="s">
        <v>19</v>
      </c>
      <c r="E136" s="62"/>
      <c r="F136" s="282"/>
      <c r="G136" s="95">
        <f t="shared" si="1"/>
        <v>510.09999999999997</v>
      </c>
      <c r="H136" s="96"/>
      <c r="I136" s="99"/>
    </row>
    <row r="137" spans="1:9" ht="18" customHeight="1" x14ac:dyDescent="0.25">
      <c r="A137" s="58"/>
      <c r="B137" s="59"/>
      <c r="C137" s="66" t="s">
        <v>190</v>
      </c>
      <c r="D137" s="65" t="s">
        <v>19</v>
      </c>
      <c r="E137" s="62"/>
      <c r="F137" s="282"/>
      <c r="G137" s="95">
        <f t="shared" si="1"/>
        <v>510.09999999999997</v>
      </c>
      <c r="H137" s="96"/>
      <c r="I137" s="99"/>
    </row>
    <row r="138" spans="1:9" ht="18" customHeight="1" x14ac:dyDescent="0.25">
      <c r="A138" s="58"/>
      <c r="B138" s="59"/>
      <c r="C138" s="66" t="s">
        <v>190</v>
      </c>
      <c r="D138" s="65" t="s">
        <v>19</v>
      </c>
      <c r="E138" s="62"/>
      <c r="F138" s="282"/>
      <c r="G138" s="95">
        <f t="shared" ref="G138:G153" si="2">+G137+E138-F138</f>
        <v>510.09999999999997</v>
      </c>
      <c r="H138" s="96"/>
      <c r="I138" s="99"/>
    </row>
    <row r="139" spans="1:9" ht="18" customHeight="1" x14ac:dyDescent="0.25">
      <c r="A139" s="58"/>
      <c r="B139" s="59"/>
      <c r="C139" s="66" t="s">
        <v>190</v>
      </c>
      <c r="D139" s="65" t="s">
        <v>19</v>
      </c>
      <c r="E139" s="62"/>
      <c r="F139" s="282"/>
      <c r="G139" s="95">
        <f t="shared" si="2"/>
        <v>510.09999999999997</v>
      </c>
      <c r="H139" s="96"/>
      <c r="I139" s="99"/>
    </row>
    <row r="140" spans="1:9" ht="18" customHeight="1" x14ac:dyDescent="0.25">
      <c r="A140" s="58"/>
      <c r="B140" s="59"/>
      <c r="C140" s="66" t="s">
        <v>190</v>
      </c>
      <c r="D140" s="65" t="s">
        <v>19</v>
      </c>
      <c r="E140" s="62"/>
      <c r="F140" s="282"/>
      <c r="G140" s="95">
        <f t="shared" si="2"/>
        <v>510.09999999999997</v>
      </c>
      <c r="H140" s="96"/>
      <c r="I140" s="99"/>
    </row>
    <row r="141" spans="1:9" ht="18" customHeight="1" x14ac:dyDescent="0.25">
      <c r="A141" s="58"/>
      <c r="B141" s="59"/>
      <c r="C141" s="66" t="s">
        <v>190</v>
      </c>
      <c r="D141" s="65" t="s">
        <v>19</v>
      </c>
      <c r="E141" s="62"/>
      <c r="F141" s="282"/>
      <c r="G141" s="95">
        <f t="shared" si="2"/>
        <v>510.09999999999997</v>
      </c>
      <c r="H141" s="96"/>
      <c r="I141" s="99"/>
    </row>
    <row r="142" spans="1:9" ht="18" customHeight="1" x14ac:dyDescent="0.25">
      <c r="A142" s="58"/>
      <c r="B142" s="59"/>
      <c r="C142" s="66" t="s">
        <v>190</v>
      </c>
      <c r="D142" s="65" t="s">
        <v>19</v>
      </c>
      <c r="E142" s="62"/>
      <c r="F142" s="282"/>
      <c r="G142" s="95">
        <f t="shared" si="2"/>
        <v>510.09999999999997</v>
      </c>
      <c r="H142" s="96"/>
      <c r="I142" s="99"/>
    </row>
    <row r="143" spans="1:9" ht="18" customHeight="1" x14ac:dyDescent="0.25">
      <c r="A143" s="58"/>
      <c r="B143" s="59"/>
      <c r="C143" s="66" t="s">
        <v>190</v>
      </c>
      <c r="D143" s="65" t="s">
        <v>19</v>
      </c>
      <c r="E143" s="62"/>
      <c r="F143" s="282"/>
      <c r="G143" s="95">
        <f t="shared" si="2"/>
        <v>510.09999999999997</v>
      </c>
      <c r="H143" s="96"/>
      <c r="I143" s="99"/>
    </row>
    <row r="144" spans="1:9" ht="18" customHeight="1" x14ac:dyDescent="0.25">
      <c r="A144" s="58"/>
      <c r="B144" s="59"/>
      <c r="C144" s="66"/>
      <c r="D144" s="65" t="s">
        <v>19</v>
      </c>
      <c r="E144" s="62"/>
      <c r="F144" s="282"/>
      <c r="G144" s="95">
        <f t="shared" si="2"/>
        <v>510.09999999999997</v>
      </c>
      <c r="H144" s="96"/>
      <c r="I144" s="99"/>
    </row>
    <row r="145" spans="1:9" ht="18" customHeight="1" x14ac:dyDescent="0.25">
      <c r="A145" s="58"/>
      <c r="B145" s="59"/>
      <c r="C145" s="66"/>
      <c r="D145" s="65" t="s">
        <v>19</v>
      </c>
      <c r="E145" s="62"/>
      <c r="F145" s="282"/>
      <c r="G145" s="95">
        <f t="shared" si="2"/>
        <v>510.09999999999997</v>
      </c>
      <c r="H145" s="96"/>
      <c r="I145" s="99"/>
    </row>
    <row r="146" spans="1:9" ht="18" customHeight="1" x14ac:dyDescent="0.25">
      <c r="A146" s="58"/>
      <c r="B146" s="59"/>
      <c r="C146" s="66"/>
      <c r="D146" s="65" t="s">
        <v>19</v>
      </c>
      <c r="E146" s="62"/>
      <c r="F146" s="282"/>
      <c r="G146" s="95">
        <f t="shared" si="2"/>
        <v>510.09999999999997</v>
      </c>
      <c r="H146" s="96"/>
      <c r="I146" s="99"/>
    </row>
    <row r="147" spans="1:9" ht="18" customHeight="1" x14ac:dyDescent="0.25">
      <c r="A147" s="58"/>
      <c r="B147" s="59"/>
      <c r="C147" s="66"/>
      <c r="D147" s="65" t="s">
        <v>19</v>
      </c>
      <c r="E147" s="62"/>
      <c r="F147" s="282"/>
      <c r="G147" s="95">
        <f t="shared" si="2"/>
        <v>510.09999999999997</v>
      </c>
      <c r="H147" s="96"/>
      <c r="I147" s="99"/>
    </row>
    <row r="148" spans="1:9" ht="18" customHeight="1" x14ac:dyDescent="0.25">
      <c r="A148" s="58"/>
      <c r="B148" s="59"/>
      <c r="C148" s="66"/>
      <c r="D148" s="65" t="s">
        <v>19</v>
      </c>
      <c r="E148" s="62"/>
      <c r="F148" s="282"/>
      <c r="G148" s="95">
        <f t="shared" si="2"/>
        <v>510.09999999999997</v>
      </c>
      <c r="H148" s="96"/>
      <c r="I148" s="99"/>
    </row>
    <row r="149" spans="1:9" ht="18" customHeight="1" x14ac:dyDescent="0.25">
      <c r="A149" s="58"/>
      <c r="B149" s="59"/>
      <c r="C149" s="66"/>
      <c r="D149" s="65" t="s">
        <v>19</v>
      </c>
      <c r="E149" s="62"/>
      <c r="F149" s="282"/>
      <c r="G149" s="95">
        <f t="shared" si="2"/>
        <v>510.09999999999997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510.09999999999997</v>
      </c>
      <c r="H150" s="96"/>
      <c r="I150" s="99"/>
    </row>
    <row r="151" spans="1:9" ht="18" customHeight="1" x14ac:dyDescent="0.25">
      <c r="A151" s="58"/>
      <c r="B151" s="59"/>
      <c r="C151" s="66"/>
      <c r="D151" s="65" t="s">
        <v>19</v>
      </c>
      <c r="E151" s="62"/>
      <c r="F151" s="282"/>
      <c r="G151" s="95">
        <f t="shared" si="2"/>
        <v>510.09999999999997</v>
      </c>
      <c r="H151" s="104"/>
      <c r="I151" s="99"/>
    </row>
    <row r="152" spans="1:9" x14ac:dyDescent="0.25">
      <c r="A152" s="65"/>
      <c r="B152" s="59"/>
      <c r="C152" s="105"/>
      <c r="D152" s="65" t="s">
        <v>19</v>
      </c>
      <c r="E152" s="289"/>
      <c r="F152" s="283"/>
      <c r="G152" s="95">
        <f t="shared" si="2"/>
        <v>510.09999999999997</v>
      </c>
      <c r="H152" s="106"/>
      <c r="I152" s="86"/>
    </row>
    <row r="153" spans="1:9" x14ac:dyDescent="0.25">
      <c r="A153" s="65"/>
      <c r="B153" s="73"/>
      <c r="C153" s="58"/>
      <c r="D153" s="65" t="s">
        <v>19</v>
      </c>
      <c r="E153" s="290"/>
      <c r="F153" s="284"/>
      <c r="G153" s="95">
        <f t="shared" si="2"/>
        <v>510.09999999999997</v>
      </c>
      <c r="H153" s="107"/>
      <c r="I153" s="86"/>
    </row>
    <row r="154" spans="1:9" x14ac:dyDescent="0.25">
      <c r="A154" s="58"/>
      <c r="B154" s="58"/>
      <c r="C154" s="81" t="s">
        <v>13</v>
      </c>
      <c r="D154" s="65"/>
      <c r="E154" s="285">
        <f>SUM(E9:E153)</f>
        <v>334.5</v>
      </c>
      <c r="F154" s="285">
        <f>SUM(F9:F153)</f>
        <v>347.40000000000003</v>
      </c>
      <c r="G154" s="320">
        <f>E154-F154+G8</f>
        <v>510.09999999999997</v>
      </c>
      <c r="H154" s="108"/>
      <c r="I154" s="109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F01F-4733-4798-8181-6A0A5E1BF198}">
  <sheetPr codeName="Sheet15"/>
  <dimension ref="A1:M153"/>
  <sheetViews>
    <sheetView topLeftCell="A44" workbookViewId="0">
      <selection activeCell="F67" sqref="F67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21.57031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6" spans="1:10" x14ac:dyDescent="0.25">
      <c r="A6" s="55" t="s">
        <v>241</v>
      </c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27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>
        <v>337</v>
      </c>
      <c r="H8" s="92"/>
      <c r="I8" s="93"/>
    </row>
    <row r="9" spans="1:10" ht="18" customHeight="1" x14ac:dyDescent="0.25">
      <c r="A9" s="58"/>
      <c r="B9" s="59">
        <v>45714</v>
      </c>
      <c r="C9" s="66" t="s">
        <v>191</v>
      </c>
      <c r="D9" s="61" t="s">
        <v>19</v>
      </c>
      <c r="E9" s="62"/>
      <c r="F9" s="62">
        <v>0.9</v>
      </c>
      <c r="G9" s="95">
        <f>+G8+E9-F9</f>
        <v>336.1</v>
      </c>
      <c r="H9" s="96" t="s">
        <v>93</v>
      </c>
      <c r="I9" s="96" t="s">
        <v>90</v>
      </c>
    </row>
    <row r="10" spans="1:10" ht="18" customHeight="1" x14ac:dyDescent="0.25">
      <c r="A10" s="58"/>
      <c r="B10" s="59">
        <v>45716</v>
      </c>
      <c r="C10" s="66" t="s">
        <v>191</v>
      </c>
      <c r="D10" s="61" t="s">
        <v>19</v>
      </c>
      <c r="E10" s="62"/>
      <c r="F10" s="97">
        <v>0.4</v>
      </c>
      <c r="G10" s="95">
        <f t="shared" ref="G10:G73" si="0">+G9+E10-F10</f>
        <v>335.70000000000005</v>
      </c>
      <c r="H10" s="96" t="s">
        <v>93</v>
      </c>
      <c r="I10" s="96" t="s">
        <v>90</v>
      </c>
    </row>
    <row r="11" spans="1:10" ht="18" customHeight="1" x14ac:dyDescent="0.25">
      <c r="A11" s="58"/>
      <c r="B11" s="70">
        <v>45717</v>
      </c>
      <c r="C11" s="66" t="s">
        <v>191</v>
      </c>
      <c r="D11" s="61" t="s">
        <v>19</v>
      </c>
      <c r="E11" s="62"/>
      <c r="F11" s="97">
        <v>0.5</v>
      </c>
      <c r="G11" s="95">
        <f t="shared" si="0"/>
        <v>335.20000000000005</v>
      </c>
      <c r="H11" s="96" t="s">
        <v>93</v>
      </c>
      <c r="I11" s="96" t="s">
        <v>90</v>
      </c>
    </row>
    <row r="12" spans="1:10" ht="18" customHeight="1" x14ac:dyDescent="0.25">
      <c r="A12" s="58"/>
      <c r="B12" s="59">
        <v>45720</v>
      </c>
      <c r="C12" s="66" t="s">
        <v>191</v>
      </c>
      <c r="D12" s="61" t="s">
        <v>19</v>
      </c>
      <c r="E12" s="62"/>
      <c r="F12" s="97">
        <v>0.1</v>
      </c>
      <c r="G12" s="95">
        <f t="shared" si="0"/>
        <v>335.1</v>
      </c>
      <c r="H12" s="96" t="s">
        <v>129</v>
      </c>
      <c r="I12" s="96" t="s">
        <v>90</v>
      </c>
    </row>
    <row r="13" spans="1:10" ht="18" customHeight="1" x14ac:dyDescent="0.25">
      <c r="A13" s="58"/>
      <c r="B13" s="59">
        <v>45730</v>
      </c>
      <c r="C13" s="66" t="s">
        <v>191</v>
      </c>
      <c r="D13" s="61" t="s">
        <v>19</v>
      </c>
      <c r="E13" s="62"/>
      <c r="F13" s="97">
        <v>0.4</v>
      </c>
      <c r="G13" s="95">
        <f t="shared" si="0"/>
        <v>334.70000000000005</v>
      </c>
      <c r="H13" s="96" t="s">
        <v>129</v>
      </c>
      <c r="I13" s="96" t="s">
        <v>90</v>
      </c>
    </row>
    <row r="14" spans="1:10" ht="18" customHeight="1" x14ac:dyDescent="0.25">
      <c r="A14" s="58"/>
      <c r="B14" s="59">
        <v>45731</v>
      </c>
      <c r="C14" s="66" t="s">
        <v>191</v>
      </c>
      <c r="D14" s="61" t="s">
        <v>19</v>
      </c>
      <c r="E14" s="62"/>
      <c r="F14" s="97">
        <v>2.6</v>
      </c>
      <c r="G14" s="95">
        <f t="shared" si="0"/>
        <v>332.1</v>
      </c>
      <c r="H14" s="96" t="s">
        <v>129</v>
      </c>
      <c r="I14" s="96" t="s">
        <v>90</v>
      </c>
    </row>
    <row r="15" spans="1:10" ht="18" customHeight="1" x14ac:dyDescent="0.25">
      <c r="A15" s="58"/>
      <c r="B15" s="59">
        <v>45733</v>
      </c>
      <c r="C15" s="66" t="s">
        <v>191</v>
      </c>
      <c r="D15" s="61" t="s">
        <v>19</v>
      </c>
      <c r="E15" s="62"/>
      <c r="F15" s="97">
        <v>8.6999999999999993</v>
      </c>
      <c r="G15" s="95">
        <f t="shared" si="0"/>
        <v>323.40000000000003</v>
      </c>
      <c r="H15" s="96" t="s">
        <v>129</v>
      </c>
      <c r="I15" s="96" t="s">
        <v>90</v>
      </c>
    </row>
    <row r="16" spans="1:10" ht="18" customHeight="1" x14ac:dyDescent="0.25">
      <c r="A16" s="58"/>
      <c r="B16" s="59">
        <v>45734</v>
      </c>
      <c r="C16" s="66" t="s">
        <v>191</v>
      </c>
      <c r="D16" s="61" t="s">
        <v>19</v>
      </c>
      <c r="E16" s="62"/>
      <c r="F16" s="97">
        <v>10.9</v>
      </c>
      <c r="G16" s="95">
        <f t="shared" si="0"/>
        <v>312.50000000000006</v>
      </c>
      <c r="H16" s="96" t="s">
        <v>129</v>
      </c>
      <c r="I16" s="96" t="s">
        <v>90</v>
      </c>
      <c r="J16" s="72"/>
    </row>
    <row r="17" spans="1:10" ht="18" customHeight="1" x14ac:dyDescent="0.25">
      <c r="A17" s="58"/>
      <c r="B17" s="98">
        <v>45735</v>
      </c>
      <c r="C17" s="66" t="s">
        <v>191</v>
      </c>
      <c r="D17" s="61" t="s">
        <v>19</v>
      </c>
      <c r="E17" s="62"/>
      <c r="F17" s="62">
        <v>11.5</v>
      </c>
      <c r="G17" s="95">
        <f t="shared" si="0"/>
        <v>301.00000000000006</v>
      </c>
      <c r="H17" s="96" t="s">
        <v>129</v>
      </c>
      <c r="I17" s="96" t="s">
        <v>90</v>
      </c>
      <c r="J17" s="72"/>
    </row>
    <row r="18" spans="1:10" ht="18" customHeight="1" x14ac:dyDescent="0.25">
      <c r="A18" s="58"/>
      <c r="B18" s="59">
        <v>45765</v>
      </c>
      <c r="C18" s="66" t="s">
        <v>191</v>
      </c>
      <c r="D18" s="61" t="s">
        <v>19</v>
      </c>
      <c r="E18" s="62"/>
      <c r="F18" s="97">
        <v>1.2</v>
      </c>
      <c r="G18" s="95">
        <f t="shared" si="0"/>
        <v>299.80000000000007</v>
      </c>
      <c r="H18" s="96" t="s">
        <v>129</v>
      </c>
      <c r="I18" s="96" t="s">
        <v>90</v>
      </c>
      <c r="J18" s="72"/>
    </row>
    <row r="19" spans="1:10" ht="18" customHeight="1" x14ac:dyDescent="0.25">
      <c r="A19" s="58"/>
      <c r="B19" s="59">
        <v>45770</v>
      </c>
      <c r="C19" s="66" t="s">
        <v>191</v>
      </c>
      <c r="D19" s="61" t="s">
        <v>19</v>
      </c>
      <c r="E19" s="62"/>
      <c r="F19" s="97">
        <v>2</v>
      </c>
      <c r="G19" s="95">
        <f t="shared" si="0"/>
        <v>297.80000000000007</v>
      </c>
      <c r="H19" s="96" t="s">
        <v>129</v>
      </c>
      <c r="I19" s="96" t="s">
        <v>90</v>
      </c>
      <c r="J19" s="72"/>
    </row>
    <row r="20" spans="1:10" ht="18" customHeight="1" x14ac:dyDescent="0.25">
      <c r="A20" s="58"/>
      <c r="B20" s="59">
        <v>45799</v>
      </c>
      <c r="C20" s="66" t="s">
        <v>191</v>
      </c>
      <c r="D20" s="61" t="s">
        <v>19</v>
      </c>
      <c r="E20" s="62"/>
      <c r="F20" s="97">
        <v>8.8000000000000007</v>
      </c>
      <c r="G20" s="95">
        <f t="shared" si="0"/>
        <v>289.00000000000006</v>
      </c>
      <c r="H20" s="96" t="s">
        <v>129</v>
      </c>
      <c r="I20" s="96" t="s">
        <v>90</v>
      </c>
      <c r="J20" s="72"/>
    </row>
    <row r="21" spans="1:10" ht="18" customHeight="1" x14ac:dyDescent="0.25">
      <c r="A21" s="58"/>
      <c r="B21" s="59">
        <v>45800</v>
      </c>
      <c r="C21" s="66" t="s">
        <v>191</v>
      </c>
      <c r="D21" s="61" t="s">
        <v>19</v>
      </c>
      <c r="E21" s="62"/>
      <c r="F21" s="97">
        <v>5.2</v>
      </c>
      <c r="G21" s="95">
        <f t="shared" si="0"/>
        <v>283.80000000000007</v>
      </c>
      <c r="H21" s="96" t="s">
        <v>129</v>
      </c>
      <c r="I21" s="96" t="s">
        <v>90</v>
      </c>
      <c r="J21" s="72"/>
    </row>
    <row r="22" spans="1:10" ht="18" customHeight="1" x14ac:dyDescent="0.25">
      <c r="A22" s="58"/>
      <c r="B22" s="59">
        <v>45813</v>
      </c>
      <c r="C22" s="66" t="s">
        <v>191</v>
      </c>
      <c r="D22" s="61" t="s">
        <v>19</v>
      </c>
      <c r="E22" s="62"/>
      <c r="F22" s="62">
        <v>1.2</v>
      </c>
      <c r="G22" s="95">
        <f t="shared" si="0"/>
        <v>282.60000000000008</v>
      </c>
      <c r="H22" s="96" t="s">
        <v>129</v>
      </c>
      <c r="I22" s="96" t="s">
        <v>90</v>
      </c>
      <c r="J22" s="72"/>
    </row>
    <row r="23" spans="1:10" ht="18" customHeight="1" x14ac:dyDescent="0.25">
      <c r="A23" s="58"/>
      <c r="B23" s="59">
        <v>45814</v>
      </c>
      <c r="C23" s="66" t="s">
        <v>191</v>
      </c>
      <c r="D23" s="61" t="s">
        <v>19</v>
      </c>
      <c r="E23" s="62"/>
      <c r="F23" s="97">
        <v>7.6</v>
      </c>
      <c r="G23" s="95">
        <f t="shared" si="0"/>
        <v>275.00000000000006</v>
      </c>
      <c r="H23" s="96" t="s">
        <v>129</v>
      </c>
      <c r="I23" s="96" t="s">
        <v>90</v>
      </c>
      <c r="J23" s="72"/>
    </row>
    <row r="24" spans="1:10" ht="18" customHeight="1" x14ac:dyDescent="0.25">
      <c r="A24" s="58"/>
      <c r="B24" s="59">
        <v>45815</v>
      </c>
      <c r="C24" s="66" t="s">
        <v>191</v>
      </c>
      <c r="D24" s="61" t="s">
        <v>19</v>
      </c>
      <c r="E24" s="62"/>
      <c r="F24" s="97">
        <v>3.2</v>
      </c>
      <c r="G24" s="95">
        <f t="shared" si="0"/>
        <v>271.80000000000007</v>
      </c>
      <c r="H24" s="96" t="s">
        <v>129</v>
      </c>
      <c r="I24" s="96" t="s">
        <v>384</v>
      </c>
    </row>
    <row r="25" spans="1:10" ht="18" customHeight="1" x14ac:dyDescent="0.25">
      <c r="A25" s="58"/>
      <c r="B25" s="59">
        <v>45826</v>
      </c>
      <c r="C25" s="66" t="s">
        <v>191</v>
      </c>
      <c r="D25" s="61" t="s">
        <v>19</v>
      </c>
      <c r="E25" s="62"/>
      <c r="F25" s="97">
        <v>7.4</v>
      </c>
      <c r="G25" s="95">
        <f t="shared" si="0"/>
        <v>264.40000000000009</v>
      </c>
      <c r="H25" s="96" t="s">
        <v>129</v>
      </c>
      <c r="I25" s="96" t="s">
        <v>90</v>
      </c>
    </row>
    <row r="26" spans="1:10" ht="18" customHeight="1" x14ac:dyDescent="0.25">
      <c r="A26" s="58"/>
      <c r="B26" s="59">
        <v>45827</v>
      </c>
      <c r="C26" s="66" t="s">
        <v>191</v>
      </c>
      <c r="D26" s="61" t="s">
        <v>19</v>
      </c>
      <c r="E26" s="62"/>
      <c r="F26" s="97">
        <v>7.3</v>
      </c>
      <c r="G26" s="95">
        <f t="shared" si="0"/>
        <v>257.10000000000008</v>
      </c>
      <c r="H26" s="96" t="s">
        <v>129</v>
      </c>
      <c r="I26" s="96" t="s">
        <v>90</v>
      </c>
    </row>
    <row r="27" spans="1:10" s="102" customFormat="1" ht="18" customHeight="1" x14ac:dyDescent="0.25">
      <c r="A27" s="100"/>
      <c r="B27" s="101">
        <v>45828</v>
      </c>
      <c r="C27" s="66" t="s">
        <v>191</v>
      </c>
      <c r="D27" s="61" t="s">
        <v>19</v>
      </c>
      <c r="E27" s="288"/>
      <c r="F27" s="281">
        <v>10.199999999999999</v>
      </c>
      <c r="G27" s="95">
        <f t="shared" si="0"/>
        <v>246.90000000000009</v>
      </c>
      <c r="H27" s="96" t="s">
        <v>129</v>
      </c>
      <c r="I27" s="96" t="s">
        <v>90</v>
      </c>
    </row>
    <row r="28" spans="1:10" ht="18" customHeight="1" x14ac:dyDescent="0.25">
      <c r="A28" s="58"/>
      <c r="B28" s="59">
        <v>45829</v>
      </c>
      <c r="C28" s="66" t="s">
        <v>191</v>
      </c>
      <c r="D28" s="61" t="s">
        <v>19</v>
      </c>
      <c r="E28" s="62"/>
      <c r="F28" s="97">
        <v>7.8</v>
      </c>
      <c r="G28" s="95">
        <f t="shared" si="0"/>
        <v>239.10000000000008</v>
      </c>
      <c r="H28" s="96" t="s">
        <v>129</v>
      </c>
      <c r="I28" s="96" t="s">
        <v>90</v>
      </c>
    </row>
    <row r="29" spans="1:10" ht="18" customHeight="1" x14ac:dyDescent="0.25">
      <c r="A29" s="58"/>
      <c r="B29" s="59">
        <v>45835</v>
      </c>
      <c r="C29" s="66" t="s">
        <v>191</v>
      </c>
      <c r="D29" s="61" t="s">
        <v>19</v>
      </c>
      <c r="E29" s="62"/>
      <c r="F29" s="62">
        <v>1.5</v>
      </c>
      <c r="G29" s="95">
        <f t="shared" si="0"/>
        <v>237.60000000000008</v>
      </c>
      <c r="H29" s="96" t="s">
        <v>129</v>
      </c>
      <c r="I29" s="96" t="s">
        <v>90</v>
      </c>
    </row>
    <row r="30" spans="1:10" ht="18" customHeight="1" x14ac:dyDescent="0.25">
      <c r="A30" s="58"/>
      <c r="B30" s="59">
        <v>45836</v>
      </c>
      <c r="C30" s="66" t="s">
        <v>191</v>
      </c>
      <c r="D30" s="61" t="s">
        <v>19</v>
      </c>
      <c r="E30" s="62"/>
      <c r="F30" s="62">
        <v>2.5</v>
      </c>
      <c r="G30" s="95">
        <f t="shared" si="0"/>
        <v>235.10000000000008</v>
      </c>
      <c r="H30" s="96" t="s">
        <v>129</v>
      </c>
      <c r="I30" s="96" t="s">
        <v>90</v>
      </c>
    </row>
    <row r="31" spans="1:10" ht="18" customHeight="1" x14ac:dyDescent="0.25">
      <c r="A31" s="58"/>
      <c r="B31" s="59">
        <v>45857</v>
      </c>
      <c r="C31" s="66" t="s">
        <v>191</v>
      </c>
      <c r="D31" s="61" t="s">
        <v>19</v>
      </c>
      <c r="E31" s="62"/>
      <c r="F31" s="62">
        <v>0.3</v>
      </c>
      <c r="G31" s="95">
        <f t="shared" si="0"/>
        <v>234.80000000000007</v>
      </c>
      <c r="H31" s="96" t="s">
        <v>129</v>
      </c>
      <c r="I31" s="96" t="s">
        <v>90</v>
      </c>
    </row>
    <row r="32" spans="1:10" ht="18" customHeight="1" x14ac:dyDescent="0.25">
      <c r="A32" s="58"/>
      <c r="B32" s="59">
        <v>45859</v>
      </c>
      <c r="C32" s="66" t="s">
        <v>191</v>
      </c>
      <c r="D32" s="61" t="s">
        <v>19</v>
      </c>
      <c r="E32" s="62"/>
      <c r="F32" s="62">
        <v>0.4</v>
      </c>
      <c r="G32" s="95">
        <f t="shared" si="0"/>
        <v>234.40000000000006</v>
      </c>
      <c r="H32" s="96" t="s">
        <v>129</v>
      </c>
      <c r="I32" s="96" t="s">
        <v>90</v>
      </c>
    </row>
    <row r="33" spans="1:13" ht="18" customHeight="1" x14ac:dyDescent="0.25">
      <c r="A33" s="58"/>
      <c r="B33" s="59">
        <v>45874</v>
      </c>
      <c r="C33" s="66" t="s">
        <v>191</v>
      </c>
      <c r="D33" s="61" t="s">
        <v>19</v>
      </c>
      <c r="E33" s="62"/>
      <c r="F33" s="62">
        <v>7.5</v>
      </c>
      <c r="G33" s="95">
        <f t="shared" si="0"/>
        <v>226.90000000000006</v>
      </c>
      <c r="H33" s="96" t="s">
        <v>93</v>
      </c>
      <c r="I33" s="96" t="s">
        <v>90</v>
      </c>
    </row>
    <row r="34" spans="1:13" ht="18" customHeight="1" x14ac:dyDescent="0.25">
      <c r="A34" s="58"/>
      <c r="B34" s="59">
        <v>45875</v>
      </c>
      <c r="C34" s="66" t="s">
        <v>191</v>
      </c>
      <c r="D34" s="61" t="s">
        <v>19</v>
      </c>
      <c r="E34" s="62"/>
      <c r="F34" s="62">
        <v>2.5</v>
      </c>
      <c r="G34" s="95">
        <f t="shared" si="0"/>
        <v>224.40000000000006</v>
      </c>
      <c r="H34" s="96" t="s">
        <v>93</v>
      </c>
      <c r="I34" s="96" t="s">
        <v>90</v>
      </c>
    </row>
    <row r="35" spans="1:13" ht="18" customHeight="1" x14ac:dyDescent="0.25">
      <c r="A35" s="58"/>
      <c r="B35" s="59">
        <v>45876</v>
      </c>
      <c r="C35" s="66" t="s">
        <v>191</v>
      </c>
      <c r="D35" s="61" t="s">
        <v>19</v>
      </c>
      <c r="E35" s="62"/>
      <c r="F35" s="62">
        <v>4</v>
      </c>
      <c r="G35" s="95">
        <f t="shared" si="0"/>
        <v>220.40000000000006</v>
      </c>
      <c r="H35" s="96" t="s">
        <v>93</v>
      </c>
      <c r="I35" s="96" t="s">
        <v>90</v>
      </c>
      <c r="M35" s="55">
        <f>27/9</f>
        <v>3</v>
      </c>
    </row>
    <row r="36" spans="1:13" ht="18" customHeight="1" x14ac:dyDescent="0.25">
      <c r="A36" s="355"/>
      <c r="B36" s="356">
        <v>45877</v>
      </c>
      <c r="C36" s="357" t="s">
        <v>191</v>
      </c>
      <c r="D36" s="358" t="s">
        <v>19</v>
      </c>
      <c r="E36" s="281"/>
      <c r="F36" s="281">
        <v>9.5</v>
      </c>
      <c r="G36" s="359">
        <f t="shared" si="0"/>
        <v>210.90000000000006</v>
      </c>
      <c r="H36" s="354" t="s">
        <v>93</v>
      </c>
      <c r="I36" s="354" t="s">
        <v>248</v>
      </c>
    </row>
    <row r="37" spans="1:13" ht="18" customHeight="1" x14ac:dyDescent="0.25">
      <c r="A37" s="58"/>
      <c r="B37" s="59">
        <v>45878</v>
      </c>
      <c r="C37" s="66" t="s">
        <v>191</v>
      </c>
      <c r="D37" s="61" t="s">
        <v>19</v>
      </c>
      <c r="E37" s="62"/>
      <c r="F37" s="62">
        <v>4.5</v>
      </c>
      <c r="G37" s="95">
        <f t="shared" si="0"/>
        <v>206.40000000000006</v>
      </c>
      <c r="H37" s="96" t="s">
        <v>93</v>
      </c>
      <c r="I37" s="96" t="s">
        <v>90</v>
      </c>
    </row>
    <row r="38" spans="1:13" ht="18" customHeight="1" x14ac:dyDescent="0.25">
      <c r="A38" s="58"/>
      <c r="B38" s="59">
        <v>45880</v>
      </c>
      <c r="C38" s="66" t="s">
        <v>191</v>
      </c>
      <c r="D38" s="61" t="s">
        <v>19</v>
      </c>
      <c r="E38" s="62"/>
      <c r="F38" s="62">
        <v>2.5</v>
      </c>
      <c r="G38" s="95">
        <f t="shared" si="0"/>
        <v>203.90000000000006</v>
      </c>
      <c r="H38" s="96" t="s">
        <v>93</v>
      </c>
      <c r="I38" s="96" t="s">
        <v>90</v>
      </c>
    </row>
    <row r="39" spans="1:13" ht="18" customHeight="1" x14ac:dyDescent="0.25">
      <c r="A39" s="58"/>
      <c r="B39" s="59">
        <v>45888</v>
      </c>
      <c r="C39" s="66" t="s">
        <v>191</v>
      </c>
      <c r="D39" s="61" t="s">
        <v>19</v>
      </c>
      <c r="E39" s="62"/>
      <c r="F39" s="62">
        <v>2</v>
      </c>
      <c r="G39" s="95">
        <f t="shared" si="0"/>
        <v>201.90000000000006</v>
      </c>
      <c r="H39" s="96" t="s">
        <v>93</v>
      </c>
      <c r="I39" s="96" t="s">
        <v>90</v>
      </c>
      <c r="J39" s="55" t="s">
        <v>429</v>
      </c>
    </row>
    <row r="40" spans="1:13" ht="18" customHeight="1" x14ac:dyDescent="0.25">
      <c r="A40" s="58"/>
      <c r="B40" s="59">
        <v>45898</v>
      </c>
      <c r="C40" s="66" t="s">
        <v>191</v>
      </c>
      <c r="D40" s="61" t="s">
        <v>19</v>
      </c>
      <c r="E40" s="62"/>
      <c r="F40" s="103">
        <v>1.8</v>
      </c>
      <c r="G40" s="95">
        <f t="shared" si="0"/>
        <v>200.10000000000005</v>
      </c>
      <c r="H40" s="96" t="s">
        <v>93</v>
      </c>
      <c r="I40" s="96" t="s">
        <v>90</v>
      </c>
    </row>
    <row r="41" spans="1:13" ht="18" customHeight="1" x14ac:dyDescent="0.25">
      <c r="A41" s="58"/>
      <c r="B41" s="59">
        <v>45899</v>
      </c>
      <c r="C41" s="66" t="s">
        <v>191</v>
      </c>
      <c r="D41" s="61" t="s">
        <v>19</v>
      </c>
      <c r="E41" s="62"/>
      <c r="F41" s="103">
        <v>0.7</v>
      </c>
      <c r="G41" s="95">
        <f t="shared" si="0"/>
        <v>199.40000000000006</v>
      </c>
      <c r="H41" s="96" t="s">
        <v>93</v>
      </c>
      <c r="I41" s="96" t="s">
        <v>90</v>
      </c>
    </row>
    <row r="42" spans="1:13" ht="18" customHeight="1" x14ac:dyDescent="0.25">
      <c r="A42" s="58"/>
      <c r="B42" s="59">
        <v>45908</v>
      </c>
      <c r="C42" s="66" t="s">
        <v>191</v>
      </c>
      <c r="D42" s="61" t="s">
        <v>19</v>
      </c>
      <c r="E42" s="62"/>
      <c r="F42" s="103">
        <v>1</v>
      </c>
      <c r="G42" s="95">
        <f t="shared" si="0"/>
        <v>198.40000000000006</v>
      </c>
      <c r="H42" s="96" t="s">
        <v>93</v>
      </c>
      <c r="I42" s="96" t="s">
        <v>90</v>
      </c>
    </row>
    <row r="43" spans="1:13" ht="18" customHeight="1" x14ac:dyDescent="0.25">
      <c r="A43" s="58"/>
      <c r="B43" s="59">
        <v>45909</v>
      </c>
      <c r="C43" s="66" t="s">
        <v>191</v>
      </c>
      <c r="D43" s="61" t="s">
        <v>19</v>
      </c>
      <c r="E43" s="62"/>
      <c r="F43" s="103">
        <v>1.7</v>
      </c>
      <c r="G43" s="95">
        <f t="shared" si="0"/>
        <v>196.70000000000007</v>
      </c>
      <c r="H43" s="96" t="s">
        <v>93</v>
      </c>
      <c r="I43" s="96" t="s">
        <v>90</v>
      </c>
    </row>
    <row r="44" spans="1:13" ht="18" customHeight="1" x14ac:dyDescent="0.25">
      <c r="A44" s="58"/>
      <c r="B44" s="59">
        <v>45910</v>
      </c>
      <c r="C44" s="66" t="s">
        <v>191</v>
      </c>
      <c r="D44" s="61" t="s">
        <v>19</v>
      </c>
      <c r="E44" s="62"/>
      <c r="F44" s="103">
        <v>1.5</v>
      </c>
      <c r="G44" s="95">
        <f t="shared" si="0"/>
        <v>195.20000000000007</v>
      </c>
      <c r="H44" s="96" t="s">
        <v>93</v>
      </c>
      <c r="I44" s="96" t="s">
        <v>90</v>
      </c>
    </row>
    <row r="45" spans="1:13" ht="18" customHeight="1" x14ac:dyDescent="0.25">
      <c r="A45" s="58"/>
      <c r="B45" s="59">
        <v>45911</v>
      </c>
      <c r="C45" s="66" t="s">
        <v>191</v>
      </c>
      <c r="D45" s="61" t="s">
        <v>19</v>
      </c>
      <c r="E45" s="62"/>
      <c r="F45" s="103">
        <v>6.5</v>
      </c>
      <c r="G45" s="95">
        <f t="shared" si="0"/>
        <v>188.70000000000007</v>
      </c>
      <c r="H45" s="96" t="s">
        <v>93</v>
      </c>
      <c r="I45" s="96" t="s">
        <v>90</v>
      </c>
    </row>
    <row r="46" spans="1:13" ht="18" customHeight="1" x14ac:dyDescent="0.25">
      <c r="A46" s="58"/>
      <c r="B46" s="59">
        <v>45912</v>
      </c>
      <c r="C46" s="66" t="s">
        <v>191</v>
      </c>
      <c r="D46" s="61" t="s">
        <v>19</v>
      </c>
      <c r="E46" s="62"/>
      <c r="F46" s="103">
        <v>8.5</v>
      </c>
      <c r="G46" s="95">
        <f t="shared" si="0"/>
        <v>180.20000000000007</v>
      </c>
      <c r="H46" s="96" t="s">
        <v>93</v>
      </c>
      <c r="I46" s="96" t="s">
        <v>438</v>
      </c>
    </row>
    <row r="47" spans="1:13" ht="18" customHeight="1" x14ac:dyDescent="0.25">
      <c r="A47" s="58"/>
      <c r="B47" s="59">
        <v>45913</v>
      </c>
      <c r="C47" s="66" t="s">
        <v>191</v>
      </c>
      <c r="D47" s="61" t="s">
        <v>19</v>
      </c>
      <c r="E47" s="62"/>
      <c r="F47" s="103">
        <v>9.1</v>
      </c>
      <c r="G47" s="95">
        <f t="shared" si="0"/>
        <v>171.10000000000008</v>
      </c>
      <c r="H47" s="96" t="s">
        <v>93</v>
      </c>
      <c r="I47" s="96" t="s">
        <v>90</v>
      </c>
    </row>
    <row r="48" spans="1:13" ht="18" customHeight="1" x14ac:dyDescent="0.25">
      <c r="A48" s="58"/>
      <c r="B48" s="59">
        <v>45915</v>
      </c>
      <c r="C48" s="66" t="s">
        <v>191</v>
      </c>
      <c r="D48" s="61" t="s">
        <v>19</v>
      </c>
      <c r="E48" s="62"/>
      <c r="F48" s="103">
        <v>8.4</v>
      </c>
      <c r="G48" s="95">
        <f t="shared" si="0"/>
        <v>162.70000000000007</v>
      </c>
      <c r="H48" s="96" t="s">
        <v>93</v>
      </c>
      <c r="I48" s="96" t="s">
        <v>90</v>
      </c>
    </row>
    <row r="49" spans="1:9" ht="18" customHeight="1" x14ac:dyDescent="0.25">
      <c r="A49" s="58"/>
      <c r="B49" s="59">
        <v>45917</v>
      </c>
      <c r="C49" s="66" t="s">
        <v>191</v>
      </c>
      <c r="D49" s="61" t="s">
        <v>19</v>
      </c>
      <c r="E49" s="62"/>
      <c r="F49" s="103">
        <v>6.5</v>
      </c>
      <c r="G49" s="95">
        <f t="shared" si="0"/>
        <v>156.20000000000007</v>
      </c>
      <c r="H49" s="96" t="s">
        <v>93</v>
      </c>
      <c r="I49" s="96" t="s">
        <v>90</v>
      </c>
    </row>
    <row r="50" spans="1:9" ht="18" customHeight="1" x14ac:dyDescent="0.25">
      <c r="A50" s="58"/>
      <c r="B50" s="59">
        <v>45918</v>
      </c>
      <c r="C50" s="66" t="s">
        <v>191</v>
      </c>
      <c r="D50" s="61" t="s">
        <v>19</v>
      </c>
      <c r="E50" s="62"/>
      <c r="F50" s="103">
        <v>2</v>
      </c>
      <c r="G50" s="95">
        <f t="shared" si="0"/>
        <v>154.20000000000007</v>
      </c>
      <c r="H50" s="96" t="s">
        <v>93</v>
      </c>
      <c r="I50" s="96" t="s">
        <v>90</v>
      </c>
    </row>
    <row r="51" spans="1:9" ht="18" customHeight="1" x14ac:dyDescent="0.25">
      <c r="A51" s="58"/>
      <c r="B51" s="59">
        <v>45922</v>
      </c>
      <c r="C51" s="66" t="s">
        <v>191</v>
      </c>
      <c r="D51" s="61" t="s">
        <v>19</v>
      </c>
      <c r="E51" s="62"/>
      <c r="F51" s="103">
        <v>1.2</v>
      </c>
      <c r="G51" s="95">
        <f t="shared" si="0"/>
        <v>153.00000000000009</v>
      </c>
      <c r="H51" s="96" t="s">
        <v>93</v>
      </c>
      <c r="I51" s="96" t="s">
        <v>90</v>
      </c>
    </row>
    <row r="52" spans="1:9" ht="18" customHeight="1" x14ac:dyDescent="0.25">
      <c r="A52" s="58"/>
      <c r="B52" s="59">
        <v>45923</v>
      </c>
      <c r="C52" s="66" t="s">
        <v>191</v>
      </c>
      <c r="D52" s="61" t="s">
        <v>19</v>
      </c>
      <c r="E52" s="62"/>
      <c r="F52" s="103">
        <v>1.1000000000000001</v>
      </c>
      <c r="G52" s="95">
        <f t="shared" si="0"/>
        <v>151.90000000000009</v>
      </c>
      <c r="H52" s="96" t="s">
        <v>93</v>
      </c>
      <c r="I52" s="96" t="s">
        <v>90</v>
      </c>
    </row>
    <row r="53" spans="1:9" ht="18" customHeight="1" x14ac:dyDescent="0.25">
      <c r="A53" s="58"/>
      <c r="B53" s="59">
        <v>45924</v>
      </c>
      <c r="C53" s="66" t="s">
        <v>191</v>
      </c>
      <c r="D53" s="61" t="s">
        <v>19</v>
      </c>
      <c r="E53" s="62"/>
      <c r="F53" s="103">
        <v>4.5</v>
      </c>
      <c r="G53" s="95">
        <f t="shared" si="0"/>
        <v>147.40000000000009</v>
      </c>
      <c r="H53" s="96" t="s">
        <v>93</v>
      </c>
      <c r="I53" s="96" t="s">
        <v>445</v>
      </c>
    </row>
    <row r="54" spans="1:9" ht="18" customHeight="1" x14ac:dyDescent="0.25">
      <c r="A54" s="58"/>
      <c r="B54" s="98">
        <v>45925</v>
      </c>
      <c r="C54" s="66" t="s">
        <v>191</v>
      </c>
      <c r="D54" s="61" t="s">
        <v>19</v>
      </c>
      <c r="E54" s="62"/>
      <c r="F54" s="103">
        <v>2.8</v>
      </c>
      <c r="G54" s="95">
        <f t="shared" si="0"/>
        <v>144.60000000000008</v>
      </c>
      <c r="H54" s="96" t="s">
        <v>93</v>
      </c>
      <c r="I54" s="96" t="s">
        <v>90</v>
      </c>
    </row>
    <row r="55" spans="1:9" ht="18" customHeight="1" x14ac:dyDescent="0.25">
      <c r="A55" s="58"/>
      <c r="B55" s="98">
        <v>45926</v>
      </c>
      <c r="C55" s="66" t="s">
        <v>191</v>
      </c>
      <c r="D55" s="61" t="s">
        <v>19</v>
      </c>
      <c r="E55" s="62"/>
      <c r="F55" s="103">
        <v>2.2999999999999998</v>
      </c>
      <c r="G55" s="95">
        <f t="shared" si="0"/>
        <v>142.30000000000007</v>
      </c>
      <c r="H55" s="96" t="s">
        <v>93</v>
      </c>
      <c r="I55" s="96" t="s">
        <v>90</v>
      </c>
    </row>
    <row r="56" spans="1:9" ht="18" customHeight="1" x14ac:dyDescent="0.25">
      <c r="A56" s="58"/>
      <c r="B56" s="59">
        <v>45927</v>
      </c>
      <c r="C56" s="66" t="s">
        <v>191</v>
      </c>
      <c r="D56" s="61" t="s">
        <v>19</v>
      </c>
      <c r="E56" s="62"/>
      <c r="F56" s="103">
        <v>1.4</v>
      </c>
      <c r="G56" s="95">
        <f t="shared" si="0"/>
        <v>140.90000000000006</v>
      </c>
      <c r="H56" s="96" t="s">
        <v>93</v>
      </c>
      <c r="I56" s="96" t="s">
        <v>90</v>
      </c>
    </row>
    <row r="57" spans="1:9" ht="18" customHeight="1" x14ac:dyDescent="0.25">
      <c r="A57" s="58"/>
      <c r="B57" s="59">
        <v>45929</v>
      </c>
      <c r="C57" s="66" t="s">
        <v>191</v>
      </c>
      <c r="D57" s="61" t="s">
        <v>19</v>
      </c>
      <c r="E57" s="62"/>
      <c r="F57" s="103">
        <v>2.5</v>
      </c>
      <c r="G57" s="95">
        <f t="shared" si="0"/>
        <v>138.40000000000006</v>
      </c>
      <c r="H57" s="96" t="s">
        <v>93</v>
      </c>
      <c r="I57" s="96" t="s">
        <v>90</v>
      </c>
    </row>
    <row r="58" spans="1:9" ht="18" customHeight="1" x14ac:dyDescent="0.25">
      <c r="A58" s="58"/>
      <c r="B58" s="59">
        <v>45930</v>
      </c>
      <c r="C58" s="66" t="s">
        <v>191</v>
      </c>
      <c r="D58" s="61" t="s">
        <v>19</v>
      </c>
      <c r="E58" s="62"/>
      <c r="F58" s="282">
        <v>2.5</v>
      </c>
      <c r="G58" s="376">
        <f t="shared" si="0"/>
        <v>135.90000000000006</v>
      </c>
      <c r="H58" s="96" t="s">
        <v>93</v>
      </c>
      <c r="I58" s="96" t="s">
        <v>90</v>
      </c>
    </row>
    <row r="59" spans="1:9" ht="18" customHeight="1" x14ac:dyDescent="0.25">
      <c r="A59" s="58"/>
      <c r="B59" s="59">
        <v>45931</v>
      </c>
      <c r="C59" s="66" t="s">
        <v>191</v>
      </c>
      <c r="D59" s="61" t="s">
        <v>19</v>
      </c>
      <c r="E59" s="62"/>
      <c r="F59" s="282">
        <v>2.5</v>
      </c>
      <c r="G59" s="95">
        <f t="shared" si="0"/>
        <v>133.40000000000006</v>
      </c>
      <c r="H59" s="96" t="s">
        <v>93</v>
      </c>
      <c r="I59" s="96" t="s">
        <v>90</v>
      </c>
    </row>
    <row r="60" spans="1:9" ht="18" customHeight="1" x14ac:dyDescent="0.25">
      <c r="A60" s="58"/>
      <c r="B60" s="59">
        <v>45932</v>
      </c>
      <c r="C60" s="66" t="s">
        <v>191</v>
      </c>
      <c r="D60" s="61" t="s">
        <v>19</v>
      </c>
      <c r="E60" s="62"/>
      <c r="F60" s="282">
        <v>1</v>
      </c>
      <c r="G60" s="95">
        <f t="shared" si="0"/>
        <v>132.40000000000006</v>
      </c>
      <c r="H60" s="96" t="s">
        <v>93</v>
      </c>
      <c r="I60" s="96" t="s">
        <v>452</v>
      </c>
    </row>
    <row r="61" spans="1:9" ht="18" customHeight="1" x14ac:dyDescent="0.25">
      <c r="A61" s="58"/>
      <c r="B61" s="59">
        <v>45933</v>
      </c>
      <c r="C61" s="66" t="s">
        <v>191</v>
      </c>
      <c r="D61" s="61" t="s">
        <v>19</v>
      </c>
      <c r="E61" s="62"/>
      <c r="F61" s="282">
        <v>1.1000000000000001</v>
      </c>
      <c r="G61" s="95">
        <f t="shared" si="0"/>
        <v>131.30000000000007</v>
      </c>
      <c r="H61" s="96" t="s">
        <v>93</v>
      </c>
      <c r="I61" s="96" t="s">
        <v>90</v>
      </c>
    </row>
    <row r="62" spans="1:9" ht="18" customHeight="1" x14ac:dyDescent="0.25">
      <c r="A62" s="58"/>
      <c r="B62" s="59">
        <v>45934</v>
      </c>
      <c r="C62" s="66" t="s">
        <v>191</v>
      </c>
      <c r="D62" s="61" t="s">
        <v>19</v>
      </c>
      <c r="E62" s="62"/>
      <c r="F62" s="282">
        <v>2.2999999999999998</v>
      </c>
      <c r="G62" s="95">
        <f t="shared" si="0"/>
        <v>129.00000000000006</v>
      </c>
      <c r="H62" s="96" t="s">
        <v>93</v>
      </c>
      <c r="I62" s="96" t="s">
        <v>454</v>
      </c>
    </row>
    <row r="63" spans="1:9" ht="18" customHeight="1" x14ac:dyDescent="0.25">
      <c r="A63" s="58"/>
      <c r="B63" s="59">
        <v>45936</v>
      </c>
      <c r="C63" s="66" t="s">
        <v>191</v>
      </c>
      <c r="D63" s="61" t="s">
        <v>19</v>
      </c>
      <c r="E63" s="62"/>
      <c r="F63" s="282">
        <v>0.8</v>
      </c>
      <c r="G63" s="95">
        <f t="shared" si="0"/>
        <v>128.20000000000005</v>
      </c>
      <c r="H63" s="96" t="s">
        <v>93</v>
      </c>
      <c r="I63" s="96" t="s">
        <v>90</v>
      </c>
    </row>
    <row r="64" spans="1:9" ht="18" customHeight="1" x14ac:dyDescent="0.25">
      <c r="A64" s="58"/>
      <c r="B64" s="59">
        <v>45937</v>
      </c>
      <c r="C64" s="66" t="s">
        <v>191</v>
      </c>
      <c r="D64" s="61" t="s">
        <v>19</v>
      </c>
      <c r="E64" s="62"/>
      <c r="F64" s="282">
        <v>2</v>
      </c>
      <c r="G64" s="95">
        <f t="shared" si="0"/>
        <v>126.20000000000005</v>
      </c>
      <c r="H64" s="96" t="s">
        <v>93</v>
      </c>
      <c r="I64" s="96" t="s">
        <v>90</v>
      </c>
    </row>
    <row r="65" spans="1:9" ht="18" customHeight="1" x14ac:dyDescent="0.25">
      <c r="A65" s="58"/>
      <c r="B65" s="59">
        <v>45938</v>
      </c>
      <c r="C65" s="66" t="s">
        <v>191</v>
      </c>
      <c r="D65" s="61" t="s">
        <v>19</v>
      </c>
      <c r="E65" s="62"/>
      <c r="F65" s="282">
        <v>2.2000000000000002</v>
      </c>
      <c r="G65" s="95">
        <f t="shared" si="0"/>
        <v>124.00000000000004</v>
      </c>
      <c r="H65" s="96" t="s">
        <v>93</v>
      </c>
      <c r="I65" s="96" t="s">
        <v>90</v>
      </c>
    </row>
    <row r="66" spans="1:9" ht="18" customHeight="1" x14ac:dyDescent="0.25">
      <c r="A66" s="58"/>
      <c r="B66" s="59">
        <v>45939</v>
      </c>
      <c r="C66" s="66" t="s">
        <v>191</v>
      </c>
      <c r="D66" s="61" t="s">
        <v>19</v>
      </c>
      <c r="E66" s="62"/>
      <c r="F66" s="282">
        <v>2</v>
      </c>
      <c r="G66" s="95">
        <f t="shared" si="0"/>
        <v>122.00000000000004</v>
      </c>
      <c r="H66" s="96" t="s">
        <v>93</v>
      </c>
      <c r="I66" s="96" t="s">
        <v>90</v>
      </c>
    </row>
    <row r="67" spans="1:9" ht="18" customHeight="1" x14ac:dyDescent="0.25">
      <c r="A67" s="58"/>
      <c r="B67" s="59">
        <v>45940</v>
      </c>
      <c r="C67" s="66" t="s">
        <v>191</v>
      </c>
      <c r="D67" s="61" t="s">
        <v>19</v>
      </c>
      <c r="E67" s="62"/>
      <c r="F67" s="282">
        <v>1.9</v>
      </c>
      <c r="G67" s="95">
        <f t="shared" si="0"/>
        <v>120.10000000000004</v>
      </c>
      <c r="H67" s="96" t="s">
        <v>93</v>
      </c>
      <c r="I67" s="96" t="s">
        <v>90</v>
      </c>
    </row>
    <row r="68" spans="1:9" ht="18" customHeight="1" x14ac:dyDescent="0.25">
      <c r="A68" s="58"/>
      <c r="B68" s="59"/>
      <c r="C68" s="66" t="s">
        <v>191</v>
      </c>
      <c r="D68" s="61" t="s">
        <v>19</v>
      </c>
      <c r="E68" s="62"/>
      <c r="F68" s="282"/>
      <c r="G68" s="95">
        <f t="shared" si="0"/>
        <v>120.10000000000004</v>
      </c>
      <c r="H68" s="96" t="s">
        <v>93</v>
      </c>
      <c r="I68" s="96" t="s">
        <v>90</v>
      </c>
    </row>
    <row r="69" spans="1:9" ht="18" customHeight="1" x14ac:dyDescent="0.25">
      <c r="A69" s="58"/>
      <c r="B69" s="59"/>
      <c r="C69" s="66" t="s">
        <v>191</v>
      </c>
      <c r="D69" s="61" t="s">
        <v>19</v>
      </c>
      <c r="E69" s="62"/>
      <c r="F69" s="282"/>
      <c r="G69" s="95">
        <f t="shared" si="0"/>
        <v>120.10000000000004</v>
      </c>
      <c r="H69" s="96" t="s">
        <v>93</v>
      </c>
      <c r="I69" s="96" t="s">
        <v>90</v>
      </c>
    </row>
    <row r="70" spans="1:9" ht="18" customHeight="1" x14ac:dyDescent="0.25">
      <c r="A70" s="58"/>
      <c r="B70" s="59"/>
      <c r="C70" s="66" t="s">
        <v>191</v>
      </c>
      <c r="D70" s="61" t="s">
        <v>19</v>
      </c>
      <c r="E70" s="62"/>
      <c r="F70" s="282"/>
      <c r="G70" s="95">
        <f t="shared" si="0"/>
        <v>120.10000000000004</v>
      </c>
      <c r="H70" s="96" t="s">
        <v>93</v>
      </c>
      <c r="I70" s="96" t="s">
        <v>90</v>
      </c>
    </row>
    <row r="71" spans="1:9" ht="18" customHeight="1" x14ac:dyDescent="0.25">
      <c r="A71" s="58"/>
      <c r="B71" s="59"/>
      <c r="C71" s="66" t="s">
        <v>191</v>
      </c>
      <c r="D71" s="61" t="s">
        <v>19</v>
      </c>
      <c r="E71" s="62"/>
      <c r="F71" s="282"/>
      <c r="G71" s="95">
        <f t="shared" si="0"/>
        <v>120.10000000000004</v>
      </c>
      <c r="H71" s="96" t="s">
        <v>93</v>
      </c>
      <c r="I71" s="96" t="s">
        <v>90</v>
      </c>
    </row>
    <row r="72" spans="1:9" ht="18" customHeight="1" x14ac:dyDescent="0.25">
      <c r="A72" s="58"/>
      <c r="B72" s="59"/>
      <c r="C72" s="66" t="s">
        <v>191</v>
      </c>
      <c r="D72" s="61" t="s">
        <v>19</v>
      </c>
      <c r="E72" s="62"/>
      <c r="F72" s="282"/>
      <c r="G72" s="95">
        <f t="shared" si="0"/>
        <v>120.10000000000004</v>
      </c>
      <c r="H72" s="96" t="s">
        <v>93</v>
      </c>
      <c r="I72" s="96" t="s">
        <v>90</v>
      </c>
    </row>
    <row r="73" spans="1:9" ht="18" customHeight="1" x14ac:dyDescent="0.25">
      <c r="A73" s="58"/>
      <c r="B73" s="59"/>
      <c r="C73" s="66" t="s">
        <v>191</v>
      </c>
      <c r="D73" s="61" t="s">
        <v>19</v>
      </c>
      <c r="E73" s="62"/>
      <c r="F73" s="282"/>
      <c r="G73" s="95">
        <f t="shared" si="0"/>
        <v>120.10000000000004</v>
      </c>
      <c r="H73" s="96" t="s">
        <v>93</v>
      </c>
      <c r="I73" s="96" t="s">
        <v>90</v>
      </c>
    </row>
    <row r="74" spans="1:9" ht="18" customHeight="1" x14ac:dyDescent="0.25">
      <c r="A74" s="58"/>
      <c r="B74" s="59"/>
      <c r="C74" s="66" t="s">
        <v>191</v>
      </c>
      <c r="D74" s="61" t="s">
        <v>19</v>
      </c>
      <c r="E74" s="62"/>
      <c r="F74" s="282"/>
      <c r="G74" s="95">
        <f t="shared" ref="G74:G137" si="1">+G73+E74-F74</f>
        <v>120.10000000000004</v>
      </c>
      <c r="H74" s="96" t="s">
        <v>93</v>
      </c>
      <c r="I74" s="96" t="s">
        <v>90</v>
      </c>
    </row>
    <row r="75" spans="1:9" ht="18" customHeight="1" x14ac:dyDescent="0.25">
      <c r="A75" s="58"/>
      <c r="B75" s="59"/>
      <c r="C75" s="66" t="s">
        <v>191</v>
      </c>
      <c r="D75" s="61" t="s">
        <v>19</v>
      </c>
      <c r="E75" s="62"/>
      <c r="F75" s="282"/>
      <c r="G75" s="95">
        <f t="shared" si="1"/>
        <v>120.10000000000004</v>
      </c>
      <c r="H75" s="96"/>
      <c r="I75" s="96"/>
    </row>
    <row r="76" spans="1:9" ht="18" customHeight="1" x14ac:dyDescent="0.25">
      <c r="A76" s="58"/>
      <c r="B76" s="59"/>
      <c r="C76" s="66" t="s">
        <v>191</v>
      </c>
      <c r="D76" s="61" t="s">
        <v>19</v>
      </c>
      <c r="E76" s="62"/>
      <c r="F76" s="282"/>
      <c r="G76" s="95">
        <f t="shared" si="1"/>
        <v>120.10000000000004</v>
      </c>
      <c r="H76" s="96"/>
      <c r="I76" s="96"/>
    </row>
    <row r="77" spans="1:9" ht="18" customHeight="1" x14ac:dyDescent="0.25">
      <c r="A77" s="58"/>
      <c r="B77" s="59"/>
      <c r="C77" s="66" t="s">
        <v>191</v>
      </c>
      <c r="D77" s="61" t="s">
        <v>19</v>
      </c>
      <c r="E77" s="62"/>
      <c r="F77" s="282"/>
      <c r="G77" s="95">
        <f t="shared" si="1"/>
        <v>120.10000000000004</v>
      </c>
      <c r="H77" s="96"/>
      <c r="I77" s="96"/>
    </row>
    <row r="78" spans="1:9" ht="18" customHeight="1" x14ac:dyDescent="0.25">
      <c r="A78" s="58"/>
      <c r="B78" s="59"/>
      <c r="C78" s="66" t="s">
        <v>191</v>
      </c>
      <c r="D78" s="61" t="s">
        <v>19</v>
      </c>
      <c r="E78" s="62"/>
      <c r="F78" s="282"/>
      <c r="G78" s="95">
        <f t="shared" si="1"/>
        <v>120.10000000000004</v>
      </c>
      <c r="H78" s="96"/>
      <c r="I78" s="96"/>
    </row>
    <row r="79" spans="1:9" ht="18" customHeight="1" x14ac:dyDescent="0.25">
      <c r="A79" s="58"/>
      <c r="B79" s="59"/>
      <c r="C79" s="66" t="s">
        <v>191</v>
      </c>
      <c r="D79" s="61" t="s">
        <v>19</v>
      </c>
      <c r="E79" s="62"/>
      <c r="F79" s="282"/>
      <c r="G79" s="95">
        <f t="shared" si="1"/>
        <v>120.10000000000004</v>
      </c>
      <c r="H79" s="96"/>
      <c r="I79" s="96"/>
    </row>
    <row r="80" spans="1:9" ht="18" customHeight="1" x14ac:dyDescent="0.25">
      <c r="A80" s="58"/>
      <c r="B80" s="59"/>
      <c r="C80" s="66" t="s">
        <v>191</v>
      </c>
      <c r="D80" s="61" t="s">
        <v>19</v>
      </c>
      <c r="E80" s="62"/>
      <c r="F80" s="282"/>
      <c r="G80" s="95">
        <f t="shared" si="1"/>
        <v>120.10000000000004</v>
      </c>
      <c r="H80" s="96"/>
      <c r="I80" s="96"/>
    </row>
    <row r="81" spans="1:9" ht="18" customHeight="1" x14ac:dyDescent="0.25">
      <c r="A81" s="58"/>
      <c r="B81" s="59"/>
      <c r="C81" s="66" t="s">
        <v>191</v>
      </c>
      <c r="D81" s="61" t="s">
        <v>19</v>
      </c>
      <c r="E81" s="62"/>
      <c r="F81" s="282"/>
      <c r="G81" s="95">
        <f t="shared" si="1"/>
        <v>120.10000000000004</v>
      </c>
      <c r="H81" s="96"/>
      <c r="I81" s="96"/>
    </row>
    <row r="82" spans="1:9" s="297" customFormat="1" ht="18" customHeight="1" x14ac:dyDescent="0.25">
      <c r="A82" s="291"/>
      <c r="B82" s="292"/>
      <c r="C82" s="66" t="s">
        <v>191</v>
      </c>
      <c r="D82" s="293" t="s">
        <v>19</v>
      </c>
      <c r="E82" s="294"/>
      <c r="F82" s="295"/>
      <c r="G82" s="95">
        <f t="shared" si="1"/>
        <v>120.10000000000004</v>
      </c>
      <c r="H82" s="96"/>
      <c r="I82" s="296"/>
    </row>
    <row r="83" spans="1:9" ht="18" customHeight="1" x14ac:dyDescent="0.25">
      <c r="A83" s="58"/>
      <c r="B83" s="59"/>
      <c r="C83" s="66" t="s">
        <v>191</v>
      </c>
      <c r="D83" s="61" t="s">
        <v>19</v>
      </c>
      <c r="E83" s="62"/>
      <c r="F83" s="282"/>
      <c r="G83" s="95">
        <f t="shared" si="1"/>
        <v>120.10000000000004</v>
      </c>
      <c r="H83" s="96"/>
      <c r="I83" s="296"/>
    </row>
    <row r="84" spans="1:9" ht="18" customHeight="1" x14ac:dyDescent="0.25">
      <c r="A84" s="58"/>
      <c r="B84" s="59"/>
      <c r="C84" s="66" t="s">
        <v>191</v>
      </c>
      <c r="D84" s="61" t="s">
        <v>19</v>
      </c>
      <c r="E84" s="62"/>
      <c r="F84" s="282"/>
      <c r="G84" s="95">
        <f t="shared" si="1"/>
        <v>120.10000000000004</v>
      </c>
      <c r="H84" s="96"/>
      <c r="I84" s="96"/>
    </row>
    <row r="85" spans="1:9" ht="18" customHeight="1" x14ac:dyDescent="0.25">
      <c r="A85" s="58"/>
      <c r="B85" s="59"/>
      <c r="C85" s="66" t="s">
        <v>191</v>
      </c>
      <c r="D85" s="61" t="s">
        <v>19</v>
      </c>
      <c r="E85" s="62"/>
      <c r="F85" s="282"/>
      <c r="G85" s="95">
        <f t="shared" si="1"/>
        <v>120.10000000000004</v>
      </c>
      <c r="H85" s="96"/>
      <c r="I85" s="96"/>
    </row>
    <row r="86" spans="1:9" ht="18" customHeight="1" x14ac:dyDescent="0.25">
      <c r="A86" s="58"/>
      <c r="B86" s="59"/>
      <c r="C86" s="66" t="s">
        <v>191</v>
      </c>
      <c r="D86" s="61" t="s">
        <v>19</v>
      </c>
      <c r="E86" s="62"/>
      <c r="F86" s="282"/>
      <c r="G86" s="95">
        <f t="shared" si="1"/>
        <v>120.10000000000004</v>
      </c>
      <c r="H86" s="96"/>
      <c r="I86" s="96"/>
    </row>
    <row r="87" spans="1:9" ht="18" customHeight="1" x14ac:dyDescent="0.25">
      <c r="A87" s="58"/>
      <c r="B87" s="59"/>
      <c r="C87" s="66" t="s">
        <v>191</v>
      </c>
      <c r="D87" s="61" t="s">
        <v>19</v>
      </c>
      <c r="E87" s="62"/>
      <c r="F87" s="282"/>
      <c r="G87" s="95">
        <f t="shared" si="1"/>
        <v>120.10000000000004</v>
      </c>
      <c r="H87" s="96"/>
      <c r="I87" s="96"/>
    </row>
    <row r="88" spans="1:9" ht="18" customHeight="1" x14ac:dyDescent="0.25">
      <c r="A88" s="58"/>
      <c r="B88" s="59"/>
      <c r="C88" s="66" t="s">
        <v>191</v>
      </c>
      <c r="D88" s="61" t="s">
        <v>19</v>
      </c>
      <c r="E88" s="62"/>
      <c r="F88" s="282"/>
      <c r="G88" s="95">
        <f t="shared" si="1"/>
        <v>120.10000000000004</v>
      </c>
      <c r="H88" s="96"/>
      <c r="I88" s="96"/>
    </row>
    <row r="89" spans="1:9" ht="18" customHeight="1" x14ac:dyDescent="0.25">
      <c r="A89" s="58"/>
      <c r="B89" s="59"/>
      <c r="C89" s="66" t="s">
        <v>191</v>
      </c>
      <c r="D89" s="61" t="s">
        <v>19</v>
      </c>
      <c r="E89" s="62"/>
      <c r="F89" s="282"/>
      <c r="G89" s="95">
        <f t="shared" si="1"/>
        <v>120.10000000000004</v>
      </c>
      <c r="H89" s="96"/>
      <c r="I89" s="96"/>
    </row>
    <row r="90" spans="1:9" ht="18" customHeight="1" x14ac:dyDescent="0.25">
      <c r="A90" s="58"/>
      <c r="B90" s="59"/>
      <c r="C90" s="66" t="s">
        <v>191</v>
      </c>
      <c r="D90" s="61" t="s">
        <v>19</v>
      </c>
      <c r="E90" s="62"/>
      <c r="F90" s="282"/>
      <c r="G90" s="95">
        <f t="shared" si="1"/>
        <v>120.10000000000004</v>
      </c>
      <c r="H90" s="96"/>
      <c r="I90" s="96"/>
    </row>
    <row r="91" spans="1:9" ht="18" customHeight="1" x14ac:dyDescent="0.25">
      <c r="A91" s="58"/>
      <c r="B91" s="59"/>
      <c r="C91" s="66" t="s">
        <v>191</v>
      </c>
      <c r="D91" s="61" t="s">
        <v>19</v>
      </c>
      <c r="E91" s="62"/>
      <c r="F91" s="282"/>
      <c r="G91" s="95">
        <f t="shared" si="1"/>
        <v>120.10000000000004</v>
      </c>
      <c r="H91" s="96"/>
      <c r="I91" s="96"/>
    </row>
    <row r="92" spans="1:9" ht="18" customHeight="1" x14ac:dyDescent="0.25">
      <c r="A92" s="58"/>
      <c r="B92" s="59"/>
      <c r="C92" s="66" t="s">
        <v>191</v>
      </c>
      <c r="D92" s="61" t="s">
        <v>19</v>
      </c>
      <c r="E92" s="62"/>
      <c r="F92" s="282"/>
      <c r="G92" s="95">
        <f t="shared" si="1"/>
        <v>120.10000000000004</v>
      </c>
      <c r="H92" s="96"/>
      <c r="I92" s="96"/>
    </row>
    <row r="93" spans="1:9" ht="18" customHeight="1" x14ac:dyDescent="0.25">
      <c r="A93" s="58"/>
      <c r="B93" s="59"/>
      <c r="C93" s="66" t="s">
        <v>191</v>
      </c>
      <c r="D93" s="61" t="s">
        <v>19</v>
      </c>
      <c r="E93" s="62"/>
      <c r="F93" s="282"/>
      <c r="G93" s="95">
        <f t="shared" si="1"/>
        <v>120.10000000000004</v>
      </c>
      <c r="H93" s="96"/>
      <c r="I93" s="96"/>
    </row>
    <row r="94" spans="1:9" ht="18" customHeight="1" x14ac:dyDescent="0.25">
      <c r="A94" s="58"/>
      <c r="B94" s="59"/>
      <c r="C94" s="66" t="s">
        <v>191</v>
      </c>
      <c r="D94" s="61" t="s">
        <v>19</v>
      </c>
      <c r="E94" s="62"/>
      <c r="F94" s="282"/>
      <c r="G94" s="95">
        <f t="shared" si="1"/>
        <v>120.10000000000004</v>
      </c>
      <c r="H94" s="96"/>
      <c r="I94" s="96"/>
    </row>
    <row r="95" spans="1:9" ht="18" customHeight="1" x14ac:dyDescent="0.25">
      <c r="A95" s="58"/>
      <c r="B95" s="59"/>
      <c r="C95" s="66" t="s">
        <v>191</v>
      </c>
      <c r="D95" s="61" t="s">
        <v>19</v>
      </c>
      <c r="E95" s="62"/>
      <c r="F95" s="282"/>
      <c r="G95" s="95">
        <f t="shared" si="1"/>
        <v>120.10000000000004</v>
      </c>
      <c r="H95" s="96"/>
      <c r="I95" s="96"/>
    </row>
    <row r="96" spans="1:9" ht="18" customHeight="1" x14ac:dyDescent="0.25">
      <c r="A96" s="58"/>
      <c r="B96" s="59"/>
      <c r="C96" s="66" t="s">
        <v>191</v>
      </c>
      <c r="D96" s="61" t="s">
        <v>19</v>
      </c>
      <c r="E96" s="62"/>
      <c r="F96" s="282"/>
      <c r="G96" s="95">
        <f t="shared" si="1"/>
        <v>120.10000000000004</v>
      </c>
      <c r="H96" s="96"/>
      <c r="I96" s="96"/>
    </row>
    <row r="97" spans="1:9" ht="18" customHeight="1" x14ac:dyDescent="0.25">
      <c r="A97" s="58"/>
      <c r="B97" s="59"/>
      <c r="C97" s="66" t="s">
        <v>191</v>
      </c>
      <c r="D97" s="61" t="s">
        <v>19</v>
      </c>
      <c r="E97" s="62"/>
      <c r="F97" s="282"/>
      <c r="G97" s="95">
        <f t="shared" si="1"/>
        <v>120.10000000000004</v>
      </c>
      <c r="H97" s="96"/>
      <c r="I97" s="96"/>
    </row>
    <row r="98" spans="1:9" ht="18" customHeight="1" x14ac:dyDescent="0.25">
      <c r="A98" s="58"/>
      <c r="B98" s="59"/>
      <c r="C98" s="66" t="s">
        <v>191</v>
      </c>
      <c r="D98" s="61" t="s">
        <v>19</v>
      </c>
      <c r="E98" s="62"/>
      <c r="F98" s="282"/>
      <c r="G98" s="95">
        <f t="shared" si="1"/>
        <v>120.10000000000004</v>
      </c>
      <c r="H98" s="96"/>
      <c r="I98" s="96"/>
    </row>
    <row r="99" spans="1:9" ht="18" customHeight="1" x14ac:dyDescent="0.25">
      <c r="A99" s="58"/>
      <c r="B99" s="59"/>
      <c r="C99" s="66" t="s">
        <v>191</v>
      </c>
      <c r="D99" s="61" t="s">
        <v>19</v>
      </c>
      <c r="E99" s="62"/>
      <c r="F99" s="282"/>
      <c r="G99" s="95">
        <f t="shared" si="1"/>
        <v>120.10000000000004</v>
      </c>
      <c r="H99" s="96"/>
      <c r="I99" s="99"/>
    </row>
    <row r="100" spans="1:9" ht="18" customHeight="1" x14ac:dyDescent="0.25">
      <c r="A100" s="58"/>
      <c r="B100" s="59"/>
      <c r="C100" s="66" t="s">
        <v>191</v>
      </c>
      <c r="D100" s="61" t="s">
        <v>19</v>
      </c>
      <c r="E100" s="62"/>
      <c r="F100" s="282"/>
      <c r="G100" s="95">
        <f t="shared" si="1"/>
        <v>120.10000000000004</v>
      </c>
      <c r="H100" s="96"/>
      <c r="I100" s="99"/>
    </row>
    <row r="101" spans="1:9" ht="18" customHeight="1" x14ac:dyDescent="0.25">
      <c r="A101" s="58"/>
      <c r="B101" s="59"/>
      <c r="C101" s="66" t="s">
        <v>191</v>
      </c>
      <c r="D101" s="61" t="s">
        <v>19</v>
      </c>
      <c r="E101" s="62"/>
      <c r="F101" s="282"/>
      <c r="G101" s="95">
        <f t="shared" si="1"/>
        <v>120.10000000000004</v>
      </c>
      <c r="H101" s="96"/>
      <c r="I101" s="99"/>
    </row>
    <row r="102" spans="1:9" ht="18" customHeight="1" x14ac:dyDescent="0.25">
      <c r="A102" s="58"/>
      <c r="B102" s="59"/>
      <c r="C102" s="66" t="s">
        <v>191</v>
      </c>
      <c r="D102" s="61" t="s">
        <v>19</v>
      </c>
      <c r="E102" s="62"/>
      <c r="F102" s="282"/>
      <c r="G102" s="95">
        <f t="shared" si="1"/>
        <v>120.10000000000004</v>
      </c>
      <c r="H102" s="96"/>
      <c r="I102" s="99"/>
    </row>
    <row r="103" spans="1:9" ht="18" customHeight="1" x14ac:dyDescent="0.25">
      <c r="A103" s="58"/>
      <c r="B103" s="59"/>
      <c r="C103" s="66" t="s">
        <v>191</v>
      </c>
      <c r="D103" s="61" t="s">
        <v>19</v>
      </c>
      <c r="E103" s="62"/>
      <c r="F103" s="282"/>
      <c r="G103" s="95">
        <f t="shared" si="1"/>
        <v>120.10000000000004</v>
      </c>
      <c r="H103" s="96"/>
      <c r="I103" s="99"/>
    </row>
    <row r="104" spans="1:9" ht="18" customHeight="1" x14ac:dyDescent="0.25">
      <c r="A104" s="58"/>
      <c r="B104" s="59"/>
      <c r="C104" s="66" t="s">
        <v>191</v>
      </c>
      <c r="D104" s="61" t="s">
        <v>19</v>
      </c>
      <c r="E104" s="62"/>
      <c r="F104" s="282"/>
      <c r="G104" s="95">
        <f t="shared" si="1"/>
        <v>120.10000000000004</v>
      </c>
      <c r="H104" s="96"/>
      <c r="I104" s="99"/>
    </row>
    <row r="105" spans="1:9" ht="18" customHeight="1" x14ac:dyDescent="0.25">
      <c r="A105" s="58"/>
      <c r="B105" s="59"/>
      <c r="C105" s="66" t="s">
        <v>191</v>
      </c>
      <c r="D105" s="61" t="s">
        <v>19</v>
      </c>
      <c r="E105" s="62"/>
      <c r="F105" s="282"/>
      <c r="G105" s="95">
        <f t="shared" si="1"/>
        <v>120.10000000000004</v>
      </c>
      <c r="H105" s="96"/>
      <c r="I105" s="99"/>
    </row>
    <row r="106" spans="1:9" ht="18" customHeight="1" x14ac:dyDescent="0.25">
      <c r="A106" s="58"/>
      <c r="B106" s="59"/>
      <c r="C106" s="66" t="s">
        <v>191</v>
      </c>
      <c r="D106" s="61" t="s">
        <v>19</v>
      </c>
      <c r="E106" s="62"/>
      <c r="F106" s="282"/>
      <c r="G106" s="95">
        <f t="shared" si="1"/>
        <v>120.10000000000004</v>
      </c>
      <c r="H106" s="96"/>
      <c r="I106" s="99"/>
    </row>
    <row r="107" spans="1:9" ht="18" customHeight="1" x14ac:dyDescent="0.25">
      <c r="A107" s="58"/>
      <c r="B107" s="59"/>
      <c r="C107" s="66" t="s">
        <v>191</v>
      </c>
      <c r="D107" s="61" t="s">
        <v>19</v>
      </c>
      <c r="E107" s="62"/>
      <c r="F107" s="282"/>
      <c r="G107" s="95">
        <f t="shared" si="1"/>
        <v>120.10000000000004</v>
      </c>
      <c r="H107" s="96"/>
      <c r="I107" s="99"/>
    </row>
    <row r="108" spans="1:9" ht="18" customHeight="1" x14ac:dyDescent="0.25">
      <c r="A108" s="58"/>
      <c r="B108" s="59"/>
      <c r="C108" s="66" t="s">
        <v>191</v>
      </c>
      <c r="D108" s="61" t="s">
        <v>19</v>
      </c>
      <c r="E108" s="62"/>
      <c r="F108" s="282"/>
      <c r="G108" s="95">
        <f t="shared" si="1"/>
        <v>120.10000000000004</v>
      </c>
      <c r="H108" s="96"/>
      <c r="I108" s="99"/>
    </row>
    <row r="109" spans="1:9" ht="18" customHeight="1" x14ac:dyDescent="0.25">
      <c r="A109" s="58"/>
      <c r="B109" s="59"/>
      <c r="C109" s="66" t="s">
        <v>191</v>
      </c>
      <c r="D109" s="61" t="s">
        <v>19</v>
      </c>
      <c r="E109" s="62"/>
      <c r="F109" s="282"/>
      <c r="G109" s="95">
        <f t="shared" si="1"/>
        <v>120.10000000000004</v>
      </c>
      <c r="H109" s="96"/>
      <c r="I109" s="99"/>
    </row>
    <row r="110" spans="1:9" ht="18" customHeight="1" x14ac:dyDescent="0.25">
      <c r="A110" s="58"/>
      <c r="B110" s="59"/>
      <c r="C110" s="66" t="s">
        <v>191</v>
      </c>
      <c r="D110" s="61" t="s">
        <v>19</v>
      </c>
      <c r="E110" s="62"/>
      <c r="F110" s="282"/>
      <c r="G110" s="95">
        <f t="shared" si="1"/>
        <v>120.10000000000004</v>
      </c>
      <c r="H110" s="96"/>
      <c r="I110" s="99"/>
    </row>
    <row r="111" spans="1:9" ht="18" customHeight="1" x14ac:dyDescent="0.25">
      <c r="A111" s="58"/>
      <c r="B111" s="59"/>
      <c r="C111" s="66" t="s">
        <v>191</v>
      </c>
      <c r="D111" s="61" t="s">
        <v>19</v>
      </c>
      <c r="E111" s="62"/>
      <c r="F111" s="282"/>
      <c r="G111" s="95">
        <f t="shared" si="1"/>
        <v>120.10000000000004</v>
      </c>
      <c r="H111" s="96"/>
      <c r="I111" s="99"/>
    </row>
    <row r="112" spans="1:9" ht="18" customHeight="1" x14ac:dyDescent="0.25">
      <c r="A112" s="58"/>
      <c r="B112" s="59"/>
      <c r="C112" s="66" t="s">
        <v>191</v>
      </c>
      <c r="D112" s="61" t="s">
        <v>19</v>
      </c>
      <c r="E112" s="62"/>
      <c r="F112" s="282"/>
      <c r="G112" s="95">
        <f t="shared" si="1"/>
        <v>120.10000000000004</v>
      </c>
      <c r="H112" s="96"/>
      <c r="I112" s="99"/>
    </row>
    <row r="113" spans="1:9" ht="18" customHeight="1" x14ac:dyDescent="0.25">
      <c r="A113" s="58"/>
      <c r="B113" s="59"/>
      <c r="C113" s="66" t="s">
        <v>191</v>
      </c>
      <c r="D113" s="61" t="s">
        <v>19</v>
      </c>
      <c r="E113" s="62"/>
      <c r="F113" s="282"/>
      <c r="G113" s="95">
        <f t="shared" si="1"/>
        <v>120.10000000000004</v>
      </c>
      <c r="H113" s="96"/>
      <c r="I113" s="99"/>
    </row>
    <row r="114" spans="1:9" ht="18" customHeight="1" x14ac:dyDescent="0.25">
      <c r="A114" s="58"/>
      <c r="B114" s="59"/>
      <c r="C114" s="66" t="s">
        <v>191</v>
      </c>
      <c r="D114" s="61" t="s">
        <v>19</v>
      </c>
      <c r="E114" s="62"/>
      <c r="F114" s="282"/>
      <c r="G114" s="95">
        <f t="shared" si="1"/>
        <v>120.10000000000004</v>
      </c>
      <c r="H114" s="96"/>
      <c r="I114" s="99"/>
    </row>
    <row r="115" spans="1:9" ht="18" customHeight="1" x14ac:dyDescent="0.25">
      <c r="A115" s="58"/>
      <c r="B115" s="59"/>
      <c r="C115" s="66" t="s">
        <v>191</v>
      </c>
      <c r="D115" s="61" t="s">
        <v>19</v>
      </c>
      <c r="E115" s="62"/>
      <c r="F115" s="282"/>
      <c r="G115" s="95">
        <f t="shared" si="1"/>
        <v>120.10000000000004</v>
      </c>
      <c r="H115" s="96"/>
      <c r="I115" s="99"/>
    </row>
    <row r="116" spans="1:9" ht="18" customHeight="1" x14ac:dyDescent="0.25">
      <c r="A116" s="58"/>
      <c r="B116" s="59"/>
      <c r="C116" s="66" t="s">
        <v>191</v>
      </c>
      <c r="D116" s="61" t="s">
        <v>19</v>
      </c>
      <c r="E116" s="62"/>
      <c r="F116" s="282"/>
      <c r="G116" s="95">
        <f t="shared" si="1"/>
        <v>120.10000000000004</v>
      </c>
      <c r="H116" s="96"/>
      <c r="I116" s="99"/>
    </row>
    <row r="117" spans="1:9" ht="18" customHeight="1" x14ac:dyDescent="0.25">
      <c r="A117" s="58"/>
      <c r="B117" s="59"/>
      <c r="C117" s="66" t="s">
        <v>191</v>
      </c>
      <c r="D117" s="61" t="s">
        <v>19</v>
      </c>
      <c r="E117" s="62"/>
      <c r="F117" s="282"/>
      <c r="G117" s="95">
        <f t="shared" si="1"/>
        <v>120.10000000000004</v>
      </c>
      <c r="H117" s="96"/>
      <c r="I117" s="99"/>
    </row>
    <row r="118" spans="1:9" ht="18" customHeight="1" x14ac:dyDescent="0.25">
      <c r="A118" s="58"/>
      <c r="B118" s="59"/>
      <c r="C118" s="66" t="s">
        <v>191</v>
      </c>
      <c r="D118" s="61" t="s">
        <v>19</v>
      </c>
      <c r="E118" s="62"/>
      <c r="F118" s="282"/>
      <c r="G118" s="95">
        <f t="shared" si="1"/>
        <v>120.10000000000004</v>
      </c>
      <c r="H118" s="96"/>
      <c r="I118" s="99"/>
    </row>
    <row r="119" spans="1:9" ht="18" customHeight="1" x14ac:dyDescent="0.25">
      <c r="A119" s="58"/>
      <c r="B119" s="59"/>
      <c r="C119" s="66" t="s">
        <v>191</v>
      </c>
      <c r="D119" s="61" t="s">
        <v>19</v>
      </c>
      <c r="E119" s="62"/>
      <c r="F119" s="282"/>
      <c r="G119" s="95">
        <f t="shared" si="1"/>
        <v>120.10000000000004</v>
      </c>
      <c r="H119" s="96"/>
      <c r="I119" s="99"/>
    </row>
    <row r="120" spans="1:9" ht="18" customHeight="1" x14ac:dyDescent="0.25">
      <c r="A120" s="58"/>
      <c r="B120" s="59"/>
      <c r="C120" s="66" t="s">
        <v>191</v>
      </c>
      <c r="D120" s="61" t="s">
        <v>19</v>
      </c>
      <c r="E120" s="62"/>
      <c r="F120" s="282"/>
      <c r="G120" s="95">
        <f t="shared" si="1"/>
        <v>120.10000000000004</v>
      </c>
      <c r="H120" s="96"/>
      <c r="I120" s="99"/>
    </row>
    <row r="121" spans="1:9" ht="18" customHeight="1" x14ac:dyDescent="0.25">
      <c r="A121" s="58"/>
      <c r="B121" s="59"/>
      <c r="C121" s="66" t="s">
        <v>191</v>
      </c>
      <c r="D121" s="61" t="s">
        <v>19</v>
      </c>
      <c r="E121" s="62"/>
      <c r="F121" s="282"/>
      <c r="G121" s="95">
        <f t="shared" si="1"/>
        <v>120.10000000000004</v>
      </c>
      <c r="H121" s="96"/>
      <c r="I121" s="99"/>
    </row>
    <row r="122" spans="1:9" ht="18" customHeight="1" x14ac:dyDescent="0.25">
      <c r="A122" s="58"/>
      <c r="B122" s="59"/>
      <c r="C122" s="66" t="s">
        <v>191</v>
      </c>
      <c r="D122" s="61" t="s">
        <v>19</v>
      </c>
      <c r="E122" s="62"/>
      <c r="F122" s="282"/>
      <c r="G122" s="95">
        <f t="shared" si="1"/>
        <v>120.10000000000004</v>
      </c>
      <c r="H122" s="96"/>
      <c r="I122" s="99"/>
    </row>
    <row r="123" spans="1:9" ht="18" customHeight="1" x14ac:dyDescent="0.25">
      <c r="A123" s="58"/>
      <c r="B123" s="59"/>
      <c r="C123" s="66" t="s">
        <v>191</v>
      </c>
      <c r="D123" s="61" t="s">
        <v>19</v>
      </c>
      <c r="E123" s="62"/>
      <c r="F123" s="282"/>
      <c r="G123" s="95">
        <f t="shared" si="1"/>
        <v>120.10000000000004</v>
      </c>
      <c r="H123" s="96"/>
      <c r="I123" s="99"/>
    </row>
    <row r="124" spans="1:9" ht="18" customHeight="1" x14ac:dyDescent="0.25">
      <c r="A124" s="58"/>
      <c r="B124" s="59"/>
      <c r="C124" s="66" t="s">
        <v>191</v>
      </c>
      <c r="D124" s="61" t="s">
        <v>19</v>
      </c>
      <c r="E124" s="62"/>
      <c r="F124" s="282"/>
      <c r="G124" s="95">
        <f t="shared" si="1"/>
        <v>120.10000000000004</v>
      </c>
      <c r="H124" s="96"/>
      <c r="I124" s="99"/>
    </row>
    <row r="125" spans="1:9" ht="18" customHeight="1" x14ac:dyDescent="0.25">
      <c r="A125" s="58"/>
      <c r="B125" s="59"/>
      <c r="C125" s="66" t="s">
        <v>191</v>
      </c>
      <c r="D125" s="61" t="s">
        <v>19</v>
      </c>
      <c r="E125" s="62"/>
      <c r="F125" s="282"/>
      <c r="G125" s="95">
        <f t="shared" si="1"/>
        <v>120.10000000000004</v>
      </c>
      <c r="H125" s="96"/>
      <c r="I125" s="99"/>
    </row>
    <row r="126" spans="1:9" ht="18" customHeight="1" x14ac:dyDescent="0.25">
      <c r="A126" s="58"/>
      <c r="B126" s="59"/>
      <c r="C126" s="66" t="s">
        <v>191</v>
      </c>
      <c r="D126" s="61" t="s">
        <v>19</v>
      </c>
      <c r="E126" s="62"/>
      <c r="F126" s="282"/>
      <c r="G126" s="95">
        <f t="shared" si="1"/>
        <v>120.10000000000004</v>
      </c>
      <c r="H126" s="96"/>
      <c r="I126" s="99"/>
    </row>
    <row r="127" spans="1:9" ht="18" customHeight="1" x14ac:dyDescent="0.25">
      <c r="A127" s="58"/>
      <c r="B127" s="59"/>
      <c r="C127" s="66" t="s">
        <v>191</v>
      </c>
      <c r="D127" s="61" t="s">
        <v>19</v>
      </c>
      <c r="E127" s="62"/>
      <c r="F127" s="282"/>
      <c r="G127" s="95">
        <f t="shared" si="1"/>
        <v>120.10000000000004</v>
      </c>
      <c r="H127" s="96"/>
      <c r="I127" s="99"/>
    </row>
    <row r="128" spans="1:9" ht="18" customHeight="1" x14ac:dyDescent="0.25">
      <c r="A128" s="58"/>
      <c r="B128" s="59"/>
      <c r="C128" s="66" t="s">
        <v>191</v>
      </c>
      <c r="D128" s="61" t="s">
        <v>19</v>
      </c>
      <c r="E128" s="62"/>
      <c r="F128" s="282"/>
      <c r="G128" s="95">
        <f t="shared" si="1"/>
        <v>120.10000000000004</v>
      </c>
      <c r="H128" s="96"/>
      <c r="I128" s="99"/>
    </row>
    <row r="129" spans="1:9" ht="18" customHeight="1" x14ac:dyDescent="0.25">
      <c r="A129" s="58"/>
      <c r="B129" s="59"/>
      <c r="C129" s="66" t="s">
        <v>191</v>
      </c>
      <c r="D129" s="61" t="s">
        <v>19</v>
      </c>
      <c r="E129" s="62"/>
      <c r="F129" s="282"/>
      <c r="G129" s="95">
        <f t="shared" si="1"/>
        <v>120.10000000000004</v>
      </c>
      <c r="H129" s="96"/>
      <c r="I129" s="99"/>
    </row>
    <row r="130" spans="1:9" ht="18" customHeight="1" x14ac:dyDescent="0.25">
      <c r="A130" s="58"/>
      <c r="B130" s="59"/>
      <c r="C130" s="66" t="s">
        <v>191</v>
      </c>
      <c r="D130" s="61" t="s">
        <v>19</v>
      </c>
      <c r="E130" s="62"/>
      <c r="F130" s="282"/>
      <c r="G130" s="95">
        <f t="shared" si="1"/>
        <v>120.10000000000004</v>
      </c>
      <c r="H130" s="96"/>
      <c r="I130" s="99"/>
    </row>
    <row r="131" spans="1:9" ht="18" customHeight="1" x14ac:dyDescent="0.25">
      <c r="A131" s="58"/>
      <c r="B131" s="59"/>
      <c r="C131" s="66" t="s">
        <v>191</v>
      </c>
      <c r="D131" s="61" t="s">
        <v>19</v>
      </c>
      <c r="E131" s="62"/>
      <c r="F131" s="282"/>
      <c r="G131" s="95">
        <f t="shared" si="1"/>
        <v>120.10000000000004</v>
      </c>
      <c r="H131" s="96"/>
      <c r="I131" s="99"/>
    </row>
    <row r="132" spans="1:9" ht="18" customHeight="1" x14ac:dyDescent="0.25">
      <c r="A132" s="58"/>
      <c r="B132" s="59"/>
      <c r="C132" s="66" t="s">
        <v>191</v>
      </c>
      <c r="D132" s="61" t="s">
        <v>19</v>
      </c>
      <c r="E132" s="62"/>
      <c r="F132" s="282"/>
      <c r="G132" s="95">
        <f t="shared" si="1"/>
        <v>120.10000000000004</v>
      </c>
      <c r="H132" s="96"/>
      <c r="I132" s="99"/>
    </row>
    <row r="133" spans="1:9" ht="18" customHeight="1" x14ac:dyDescent="0.25">
      <c r="A133" s="58"/>
      <c r="B133" s="59"/>
      <c r="C133" s="66" t="s">
        <v>191</v>
      </c>
      <c r="D133" s="61" t="s">
        <v>19</v>
      </c>
      <c r="E133" s="62"/>
      <c r="F133" s="282"/>
      <c r="G133" s="95">
        <f t="shared" si="1"/>
        <v>120.10000000000004</v>
      </c>
      <c r="H133" s="96"/>
      <c r="I133" s="99"/>
    </row>
    <row r="134" spans="1:9" ht="18" customHeight="1" x14ac:dyDescent="0.25">
      <c r="A134" s="58"/>
      <c r="B134" s="59"/>
      <c r="C134" s="66" t="s">
        <v>191</v>
      </c>
      <c r="D134" s="61" t="s">
        <v>19</v>
      </c>
      <c r="E134" s="62"/>
      <c r="F134" s="282"/>
      <c r="G134" s="95">
        <f t="shared" si="1"/>
        <v>120.10000000000004</v>
      </c>
      <c r="H134" s="96"/>
      <c r="I134" s="99"/>
    </row>
    <row r="135" spans="1:9" ht="18" customHeight="1" x14ac:dyDescent="0.25">
      <c r="A135" s="58"/>
      <c r="B135" s="59"/>
      <c r="C135" s="66" t="s">
        <v>191</v>
      </c>
      <c r="D135" s="61" t="s">
        <v>19</v>
      </c>
      <c r="E135" s="62"/>
      <c r="F135" s="282"/>
      <c r="G135" s="95">
        <f t="shared" si="1"/>
        <v>120.10000000000004</v>
      </c>
      <c r="H135" s="96"/>
      <c r="I135" s="99"/>
    </row>
    <row r="136" spans="1:9" ht="18" customHeight="1" x14ac:dyDescent="0.25">
      <c r="A136" s="58"/>
      <c r="B136" s="59"/>
      <c r="C136" s="66" t="s">
        <v>191</v>
      </c>
      <c r="D136" s="65" t="s">
        <v>19</v>
      </c>
      <c r="E136" s="62"/>
      <c r="F136" s="282"/>
      <c r="G136" s="95">
        <f t="shared" si="1"/>
        <v>120.10000000000004</v>
      </c>
      <c r="H136" s="96"/>
      <c r="I136" s="99"/>
    </row>
    <row r="137" spans="1:9" ht="18" customHeight="1" x14ac:dyDescent="0.25">
      <c r="A137" s="58"/>
      <c r="B137" s="59"/>
      <c r="C137" s="66" t="s">
        <v>191</v>
      </c>
      <c r="D137" s="65" t="s">
        <v>19</v>
      </c>
      <c r="E137" s="62"/>
      <c r="F137" s="282"/>
      <c r="G137" s="95">
        <f t="shared" si="1"/>
        <v>120.10000000000004</v>
      </c>
      <c r="H137" s="96"/>
      <c r="I137" s="99"/>
    </row>
    <row r="138" spans="1:9" ht="18" customHeight="1" x14ac:dyDescent="0.25">
      <c r="A138" s="58"/>
      <c r="B138" s="59"/>
      <c r="C138" s="66" t="s">
        <v>191</v>
      </c>
      <c r="D138" s="65" t="s">
        <v>19</v>
      </c>
      <c r="E138" s="62"/>
      <c r="F138" s="282"/>
      <c r="G138" s="95">
        <f t="shared" ref="G138:G152" si="2">+G137+E138-F138</f>
        <v>120.10000000000004</v>
      </c>
      <c r="H138" s="96"/>
      <c r="I138" s="99"/>
    </row>
    <row r="139" spans="1:9" ht="18" customHeight="1" x14ac:dyDescent="0.25">
      <c r="A139" s="58"/>
      <c r="B139" s="59"/>
      <c r="C139" s="66" t="s">
        <v>191</v>
      </c>
      <c r="D139" s="65" t="s">
        <v>19</v>
      </c>
      <c r="E139" s="62"/>
      <c r="F139" s="282"/>
      <c r="G139" s="95">
        <f t="shared" si="2"/>
        <v>120.10000000000004</v>
      </c>
      <c r="H139" s="96"/>
      <c r="I139" s="99"/>
    </row>
    <row r="140" spans="1:9" ht="18" customHeight="1" x14ac:dyDescent="0.25">
      <c r="A140" s="58"/>
      <c r="B140" s="59"/>
      <c r="C140" s="66" t="s">
        <v>191</v>
      </c>
      <c r="D140" s="65" t="s">
        <v>19</v>
      </c>
      <c r="E140" s="62"/>
      <c r="F140" s="282"/>
      <c r="G140" s="95">
        <f t="shared" si="2"/>
        <v>120.10000000000004</v>
      </c>
      <c r="H140" s="96"/>
      <c r="I140" s="99"/>
    </row>
    <row r="141" spans="1:9" ht="18" customHeight="1" x14ac:dyDescent="0.25">
      <c r="A141" s="58"/>
      <c r="B141" s="59"/>
      <c r="C141" s="66" t="s">
        <v>191</v>
      </c>
      <c r="D141" s="65" t="s">
        <v>19</v>
      </c>
      <c r="E141" s="62"/>
      <c r="F141" s="282"/>
      <c r="G141" s="95">
        <f t="shared" si="2"/>
        <v>120.10000000000004</v>
      </c>
      <c r="H141" s="96"/>
      <c r="I141" s="99"/>
    </row>
    <row r="142" spans="1:9" ht="18" customHeight="1" x14ac:dyDescent="0.25">
      <c r="A142" s="58"/>
      <c r="B142" s="59"/>
      <c r="C142" s="66" t="s">
        <v>191</v>
      </c>
      <c r="D142" s="65" t="s">
        <v>19</v>
      </c>
      <c r="E142" s="62"/>
      <c r="F142" s="282"/>
      <c r="G142" s="95">
        <f t="shared" si="2"/>
        <v>120.10000000000004</v>
      </c>
      <c r="H142" s="96"/>
      <c r="I142" s="99"/>
    </row>
    <row r="143" spans="1:9" ht="18" customHeight="1" x14ac:dyDescent="0.25">
      <c r="A143" s="58"/>
      <c r="B143" s="59"/>
      <c r="C143" s="66" t="s">
        <v>191</v>
      </c>
      <c r="D143" s="65" t="s">
        <v>19</v>
      </c>
      <c r="E143" s="62"/>
      <c r="F143" s="282"/>
      <c r="G143" s="95">
        <f t="shared" si="2"/>
        <v>120.10000000000004</v>
      </c>
      <c r="H143" s="96"/>
      <c r="I143" s="99"/>
    </row>
    <row r="144" spans="1:9" ht="18" customHeight="1" x14ac:dyDescent="0.25">
      <c r="A144" s="58"/>
      <c r="B144" s="59"/>
      <c r="C144" s="66" t="s">
        <v>191</v>
      </c>
      <c r="D144" s="65" t="s">
        <v>19</v>
      </c>
      <c r="E144" s="62"/>
      <c r="F144" s="282"/>
      <c r="G144" s="95">
        <f t="shared" si="2"/>
        <v>120.10000000000004</v>
      </c>
      <c r="H144" s="96"/>
      <c r="I144" s="99"/>
    </row>
    <row r="145" spans="1:9" ht="18" customHeight="1" x14ac:dyDescent="0.25">
      <c r="A145" s="58"/>
      <c r="B145" s="59"/>
      <c r="C145" s="66" t="s">
        <v>191</v>
      </c>
      <c r="D145" s="65" t="s">
        <v>19</v>
      </c>
      <c r="E145" s="62"/>
      <c r="F145" s="282"/>
      <c r="G145" s="95">
        <f t="shared" si="2"/>
        <v>120.10000000000004</v>
      </c>
      <c r="H145" s="96"/>
      <c r="I145" s="99"/>
    </row>
    <row r="146" spans="1:9" ht="18" customHeight="1" x14ac:dyDescent="0.25">
      <c r="A146" s="58"/>
      <c r="B146" s="59"/>
      <c r="C146" s="66" t="s">
        <v>191</v>
      </c>
      <c r="D146" s="65" t="s">
        <v>19</v>
      </c>
      <c r="E146" s="62"/>
      <c r="F146" s="282"/>
      <c r="G146" s="95">
        <f t="shared" si="2"/>
        <v>120.10000000000004</v>
      </c>
      <c r="H146" s="96"/>
      <c r="I146" s="99"/>
    </row>
    <row r="147" spans="1:9" ht="18" customHeight="1" x14ac:dyDescent="0.25">
      <c r="A147" s="58"/>
      <c r="B147" s="59"/>
      <c r="C147" s="66" t="s">
        <v>191</v>
      </c>
      <c r="D147" s="65" t="s">
        <v>19</v>
      </c>
      <c r="E147" s="62"/>
      <c r="F147" s="282"/>
      <c r="G147" s="95">
        <f t="shared" si="2"/>
        <v>120.10000000000004</v>
      </c>
      <c r="H147" s="96"/>
      <c r="I147" s="99"/>
    </row>
    <row r="148" spans="1:9" ht="18" customHeight="1" x14ac:dyDescent="0.25">
      <c r="A148" s="58"/>
      <c r="B148" s="59"/>
      <c r="C148" s="66"/>
      <c r="D148" s="65" t="s">
        <v>19</v>
      </c>
      <c r="E148" s="62"/>
      <c r="F148" s="282"/>
      <c r="G148" s="95">
        <f t="shared" si="2"/>
        <v>120.10000000000004</v>
      </c>
      <c r="H148" s="96"/>
      <c r="I148" s="99"/>
    </row>
    <row r="149" spans="1:9" ht="18" customHeight="1" x14ac:dyDescent="0.25">
      <c r="A149" s="58"/>
      <c r="B149" s="59"/>
      <c r="C149" s="66"/>
      <c r="D149" s="65" t="s">
        <v>19</v>
      </c>
      <c r="E149" s="62"/>
      <c r="F149" s="282"/>
      <c r="G149" s="95">
        <f t="shared" si="2"/>
        <v>120.10000000000004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120.10000000000004</v>
      </c>
      <c r="H150" s="104"/>
      <c r="I150" s="99"/>
    </row>
    <row r="151" spans="1:9" x14ac:dyDescent="0.25">
      <c r="A151" s="65"/>
      <c r="B151" s="59"/>
      <c r="C151" s="105"/>
      <c r="D151" s="65" t="s">
        <v>19</v>
      </c>
      <c r="E151" s="289"/>
      <c r="F151" s="283"/>
      <c r="G151" s="95">
        <f t="shared" si="2"/>
        <v>120.10000000000004</v>
      </c>
      <c r="H151" s="106"/>
      <c r="I151" s="86"/>
    </row>
    <row r="152" spans="1:9" x14ac:dyDescent="0.25">
      <c r="A152" s="65"/>
      <c r="B152" s="73"/>
      <c r="C152" s="58"/>
      <c r="D152" s="65" t="s">
        <v>19</v>
      </c>
      <c r="E152" s="290"/>
      <c r="F152" s="284"/>
      <c r="G152" s="95">
        <f t="shared" si="2"/>
        <v>120.10000000000004</v>
      </c>
      <c r="H152" s="107"/>
      <c r="I152" s="86"/>
    </row>
    <row r="153" spans="1:9" x14ac:dyDescent="0.25">
      <c r="A153" s="58"/>
      <c r="B153" s="58"/>
      <c r="C153" s="81" t="s">
        <v>13</v>
      </c>
      <c r="D153" s="65"/>
      <c r="E153" s="285">
        <f>SUM(E9:E152)</f>
        <v>0</v>
      </c>
      <c r="F153" s="285">
        <f>SUM(F9:F152)</f>
        <v>216.90000000000003</v>
      </c>
      <c r="G153" s="320">
        <f>E153-F153+G8</f>
        <v>120.09999999999997</v>
      </c>
      <c r="H153" s="108"/>
      <c r="I153" s="109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89D8-36DB-48BF-858B-EA93DCB678F8}">
  <sheetPr codeName="Sheet16"/>
  <dimension ref="A1:N155"/>
  <sheetViews>
    <sheetView topLeftCell="A101" workbookViewId="0">
      <selection activeCell="F101" sqref="F101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18.1406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39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>
        <v>629</v>
      </c>
      <c r="H8" s="92"/>
      <c r="I8" s="93"/>
    </row>
    <row r="9" spans="1:10" ht="18" customHeight="1" x14ac:dyDescent="0.25">
      <c r="A9" s="58"/>
      <c r="B9" s="59">
        <v>45679</v>
      </c>
      <c r="C9" s="66" t="s">
        <v>192</v>
      </c>
      <c r="D9" s="61" t="s">
        <v>19</v>
      </c>
      <c r="E9" s="62"/>
      <c r="F9" s="62">
        <v>2.2000000000000002</v>
      </c>
      <c r="G9" s="95">
        <f>+G8+E9-F9</f>
        <v>626.79999999999995</v>
      </c>
      <c r="H9" s="96" t="s">
        <v>94</v>
      </c>
      <c r="I9" s="96" t="s">
        <v>213</v>
      </c>
    </row>
    <row r="10" spans="1:10" ht="18" customHeight="1" x14ac:dyDescent="0.25">
      <c r="A10" s="58"/>
      <c r="B10" s="59">
        <v>45680</v>
      </c>
      <c r="C10" s="66" t="s">
        <v>192</v>
      </c>
      <c r="D10" s="61" t="s">
        <v>19</v>
      </c>
      <c r="E10" s="62"/>
      <c r="F10" s="97">
        <v>4.5999999999999996</v>
      </c>
      <c r="G10" s="95">
        <f t="shared" ref="G10:G74" si="0">+G9+E10-F10</f>
        <v>622.19999999999993</v>
      </c>
      <c r="H10" s="96"/>
      <c r="I10" s="96"/>
    </row>
    <row r="11" spans="1:10" ht="18" customHeight="1" x14ac:dyDescent="0.25">
      <c r="A11" s="58"/>
      <c r="B11" s="70">
        <v>45681</v>
      </c>
      <c r="C11" s="66" t="s">
        <v>192</v>
      </c>
      <c r="D11" s="61" t="s">
        <v>19</v>
      </c>
      <c r="E11" s="62"/>
      <c r="F11" s="97">
        <v>0.7</v>
      </c>
      <c r="G11" s="95">
        <f t="shared" si="0"/>
        <v>621.49999999999989</v>
      </c>
      <c r="H11" s="96"/>
      <c r="I11" s="96"/>
    </row>
    <row r="12" spans="1:10" ht="18" customHeight="1" x14ac:dyDescent="0.25">
      <c r="A12" s="58"/>
      <c r="B12" s="59">
        <v>45693</v>
      </c>
      <c r="C12" s="66" t="s">
        <v>192</v>
      </c>
      <c r="D12" s="61" t="s">
        <v>19</v>
      </c>
      <c r="E12" s="62"/>
      <c r="F12" s="97">
        <v>2.7</v>
      </c>
      <c r="G12" s="95">
        <f t="shared" si="0"/>
        <v>618.79999999999984</v>
      </c>
      <c r="H12" s="96"/>
      <c r="I12" s="96"/>
    </row>
    <row r="13" spans="1:10" ht="18" customHeight="1" x14ac:dyDescent="0.25">
      <c r="A13" s="58"/>
      <c r="B13" s="59">
        <v>45694</v>
      </c>
      <c r="C13" s="66" t="s">
        <v>192</v>
      </c>
      <c r="D13" s="61" t="s">
        <v>19</v>
      </c>
      <c r="E13" s="62"/>
      <c r="F13" s="97">
        <v>3.4</v>
      </c>
      <c r="G13" s="95">
        <f>+G12+E13-F13</f>
        <v>615.39999999999986</v>
      </c>
      <c r="H13" s="96"/>
      <c r="I13" s="96"/>
    </row>
    <row r="14" spans="1:10" ht="18" customHeight="1" x14ac:dyDescent="0.25">
      <c r="A14" s="58"/>
      <c r="B14" s="59">
        <v>45702</v>
      </c>
      <c r="C14" s="66" t="s">
        <v>192</v>
      </c>
      <c r="D14" s="61" t="s">
        <v>19</v>
      </c>
      <c r="E14" s="62"/>
      <c r="F14" s="97">
        <v>0.1</v>
      </c>
      <c r="G14" s="95">
        <f t="shared" si="0"/>
        <v>615.29999999999984</v>
      </c>
      <c r="H14" s="96" t="s">
        <v>129</v>
      </c>
      <c r="I14" s="96" t="s">
        <v>90</v>
      </c>
    </row>
    <row r="15" spans="1:10" ht="18" customHeight="1" x14ac:dyDescent="0.25">
      <c r="A15" s="58"/>
      <c r="B15" s="59">
        <v>45703</v>
      </c>
      <c r="C15" s="66" t="s">
        <v>192</v>
      </c>
      <c r="D15" s="61" t="s">
        <v>19</v>
      </c>
      <c r="E15" s="62"/>
      <c r="F15" s="97">
        <v>1</v>
      </c>
      <c r="G15" s="95">
        <f t="shared" si="0"/>
        <v>614.29999999999984</v>
      </c>
      <c r="H15" s="96"/>
      <c r="I15" s="96"/>
    </row>
    <row r="16" spans="1:10" ht="18" customHeight="1" x14ac:dyDescent="0.25">
      <c r="A16" s="58"/>
      <c r="B16" s="59">
        <v>45705</v>
      </c>
      <c r="C16" s="66" t="s">
        <v>192</v>
      </c>
      <c r="D16" s="61" t="s">
        <v>19</v>
      </c>
      <c r="E16" s="62"/>
      <c r="F16" s="97">
        <v>2.1</v>
      </c>
      <c r="G16" s="95">
        <f t="shared" si="0"/>
        <v>612.19999999999982</v>
      </c>
      <c r="H16" s="96"/>
      <c r="I16" s="96"/>
      <c r="J16" s="72"/>
    </row>
    <row r="17" spans="1:14" ht="18" customHeight="1" x14ac:dyDescent="0.25">
      <c r="A17" s="58"/>
      <c r="B17" s="98">
        <v>45706</v>
      </c>
      <c r="C17" s="66" t="s">
        <v>192</v>
      </c>
      <c r="D17" s="61" t="s">
        <v>19</v>
      </c>
      <c r="E17" s="62"/>
      <c r="F17" s="62">
        <v>0.8</v>
      </c>
      <c r="G17" s="95">
        <f t="shared" si="0"/>
        <v>611.39999999999986</v>
      </c>
      <c r="H17" s="96"/>
      <c r="I17" s="96"/>
      <c r="J17" s="72"/>
    </row>
    <row r="18" spans="1:14" ht="18" customHeight="1" x14ac:dyDescent="0.25">
      <c r="A18" s="58"/>
      <c r="B18" s="59">
        <v>45707</v>
      </c>
      <c r="C18" s="66" t="s">
        <v>192</v>
      </c>
      <c r="D18" s="61" t="s">
        <v>19</v>
      </c>
      <c r="E18" s="62"/>
      <c r="F18" s="97">
        <v>0.5</v>
      </c>
      <c r="G18" s="95">
        <f t="shared" si="0"/>
        <v>610.89999999999986</v>
      </c>
      <c r="H18" s="96"/>
      <c r="I18" s="96"/>
      <c r="J18" s="72"/>
    </row>
    <row r="19" spans="1:14" ht="18" customHeight="1" x14ac:dyDescent="0.25">
      <c r="A19" s="58"/>
      <c r="B19" s="59">
        <v>45713</v>
      </c>
      <c r="C19" s="66" t="s">
        <v>192</v>
      </c>
      <c r="D19" s="61" t="s">
        <v>19</v>
      </c>
      <c r="E19" s="62"/>
      <c r="F19" s="97">
        <v>0.5</v>
      </c>
      <c r="G19" s="95">
        <f t="shared" si="0"/>
        <v>610.39999999999986</v>
      </c>
      <c r="H19" s="96"/>
      <c r="I19" s="96"/>
      <c r="J19" s="72"/>
    </row>
    <row r="20" spans="1:14" ht="18" customHeight="1" x14ac:dyDescent="0.25">
      <c r="A20" s="58"/>
      <c r="B20" s="59">
        <v>45714</v>
      </c>
      <c r="C20" s="66" t="s">
        <v>192</v>
      </c>
      <c r="D20" s="61" t="s">
        <v>19</v>
      </c>
      <c r="E20" s="62"/>
      <c r="F20" s="97">
        <v>1</v>
      </c>
      <c r="G20" s="95">
        <f t="shared" si="0"/>
        <v>609.39999999999986</v>
      </c>
      <c r="H20" s="96"/>
      <c r="I20" s="96"/>
      <c r="J20" s="72"/>
    </row>
    <row r="21" spans="1:14" ht="18" customHeight="1" x14ac:dyDescent="0.25">
      <c r="A21" s="58"/>
      <c r="B21" s="59">
        <v>45715</v>
      </c>
      <c r="C21" s="66" t="s">
        <v>192</v>
      </c>
      <c r="D21" s="61" t="s">
        <v>19</v>
      </c>
      <c r="E21" s="62"/>
      <c r="F21" s="97">
        <v>1.7</v>
      </c>
      <c r="G21" s="95">
        <f t="shared" si="0"/>
        <v>607.69999999999982</v>
      </c>
      <c r="H21" s="96"/>
      <c r="I21" s="96"/>
      <c r="J21" s="72"/>
    </row>
    <row r="22" spans="1:14" ht="18" customHeight="1" x14ac:dyDescent="0.25">
      <c r="A22" s="58"/>
      <c r="B22" s="59">
        <v>45716</v>
      </c>
      <c r="C22" s="66" t="s">
        <v>192</v>
      </c>
      <c r="D22" s="61" t="s">
        <v>19</v>
      </c>
      <c r="E22" s="62"/>
      <c r="F22" s="62">
        <v>0.4</v>
      </c>
      <c r="G22" s="95">
        <f t="shared" si="0"/>
        <v>607.29999999999984</v>
      </c>
      <c r="H22" s="96"/>
      <c r="I22" s="96"/>
      <c r="J22" s="72"/>
      <c r="N22" s="55">
        <f>4*16+12</f>
        <v>76</v>
      </c>
    </row>
    <row r="23" spans="1:14" ht="18" customHeight="1" x14ac:dyDescent="0.25">
      <c r="A23" s="58"/>
      <c r="B23" s="59">
        <v>45717</v>
      </c>
      <c r="C23" s="66" t="s">
        <v>192</v>
      </c>
      <c r="D23" s="61" t="s">
        <v>19</v>
      </c>
      <c r="E23" s="62"/>
      <c r="F23" s="62">
        <v>1.6</v>
      </c>
      <c r="G23" s="95">
        <f t="shared" si="0"/>
        <v>605.69999999999982</v>
      </c>
      <c r="H23" s="96"/>
      <c r="I23" s="96"/>
      <c r="J23" s="72"/>
      <c r="N23" s="55">
        <f>+N22*12</f>
        <v>912</v>
      </c>
    </row>
    <row r="24" spans="1:14" ht="18" customHeight="1" x14ac:dyDescent="0.25">
      <c r="A24" s="58"/>
      <c r="B24" s="59">
        <v>45719</v>
      </c>
      <c r="C24" s="66" t="s">
        <v>192</v>
      </c>
      <c r="D24" s="61" t="s">
        <v>19</v>
      </c>
      <c r="E24" s="62"/>
      <c r="F24" s="97">
        <v>1.6</v>
      </c>
      <c r="G24" s="95">
        <f t="shared" si="0"/>
        <v>604.0999999999998</v>
      </c>
      <c r="H24" s="96"/>
      <c r="I24" s="96"/>
      <c r="J24" s="72"/>
      <c r="N24" s="55">
        <f>+N23*12</f>
        <v>10944</v>
      </c>
    </row>
    <row r="25" spans="1:14" ht="18" customHeight="1" x14ac:dyDescent="0.25">
      <c r="A25" s="355"/>
      <c r="B25" s="356">
        <v>45720</v>
      </c>
      <c r="C25" s="357" t="s">
        <v>192</v>
      </c>
      <c r="D25" s="358" t="s">
        <v>19</v>
      </c>
      <c r="E25" s="281"/>
      <c r="F25" s="281">
        <v>4.5</v>
      </c>
      <c r="G25" s="95">
        <f t="shared" si="0"/>
        <v>599.5999999999998</v>
      </c>
      <c r="H25" s="354"/>
      <c r="I25" s="354"/>
      <c r="N25" s="55">
        <f>+N24*89</f>
        <v>974016</v>
      </c>
    </row>
    <row r="26" spans="1:14" ht="18" customHeight="1" x14ac:dyDescent="0.25">
      <c r="A26" s="58"/>
      <c r="B26" s="59">
        <v>45721</v>
      </c>
      <c r="C26" s="66" t="s">
        <v>192</v>
      </c>
      <c r="D26" s="61" t="s">
        <v>19</v>
      </c>
      <c r="E26" s="62"/>
      <c r="F26" s="97">
        <v>7.9</v>
      </c>
      <c r="G26" s="95">
        <f t="shared" si="0"/>
        <v>591.69999999999982</v>
      </c>
      <c r="H26" s="96"/>
      <c r="I26" s="96"/>
      <c r="N26" s="55">
        <f>+N25/2848</f>
        <v>342</v>
      </c>
    </row>
    <row r="27" spans="1:14" ht="18" customHeight="1" x14ac:dyDescent="0.25">
      <c r="A27" s="58"/>
      <c r="B27" s="59">
        <v>45722</v>
      </c>
      <c r="C27" s="66" t="s">
        <v>192</v>
      </c>
      <c r="D27" s="61" t="s">
        <v>19</v>
      </c>
      <c r="E27" s="62"/>
      <c r="F27" s="97">
        <v>3.5</v>
      </c>
      <c r="G27" s="95">
        <f t="shared" si="0"/>
        <v>588.19999999999982</v>
      </c>
      <c r="H27" s="96"/>
      <c r="I27" s="96"/>
    </row>
    <row r="28" spans="1:14" s="102" customFormat="1" ht="18" customHeight="1" x14ac:dyDescent="0.25">
      <c r="A28" s="100"/>
      <c r="B28" s="101">
        <v>45723</v>
      </c>
      <c r="C28" s="66" t="s">
        <v>192</v>
      </c>
      <c r="D28" s="61" t="s">
        <v>19</v>
      </c>
      <c r="E28" s="288"/>
      <c r="F28" s="281">
        <v>3.2</v>
      </c>
      <c r="G28" s="95">
        <f t="shared" si="0"/>
        <v>584.99999999999977</v>
      </c>
      <c r="H28" s="96"/>
      <c r="I28" s="96"/>
    </row>
    <row r="29" spans="1:14" ht="18" customHeight="1" x14ac:dyDescent="0.25">
      <c r="A29" s="58"/>
      <c r="B29" s="59">
        <v>45724</v>
      </c>
      <c r="C29" s="66" t="s">
        <v>192</v>
      </c>
      <c r="D29" s="61" t="s">
        <v>19</v>
      </c>
      <c r="E29" s="62"/>
      <c r="F29" s="97">
        <v>1.8</v>
      </c>
      <c r="G29" s="95">
        <f t="shared" si="0"/>
        <v>583.19999999999982</v>
      </c>
      <c r="H29" s="96"/>
      <c r="I29" s="96"/>
    </row>
    <row r="30" spans="1:14" ht="18" customHeight="1" x14ac:dyDescent="0.25">
      <c r="A30" s="58"/>
      <c r="B30" s="59">
        <v>45726</v>
      </c>
      <c r="C30" s="66" t="s">
        <v>192</v>
      </c>
      <c r="D30" s="61" t="s">
        <v>19</v>
      </c>
      <c r="E30" s="62"/>
      <c r="F30" s="62">
        <v>2.5</v>
      </c>
      <c r="G30" s="95">
        <f t="shared" si="0"/>
        <v>580.69999999999982</v>
      </c>
      <c r="H30" s="96"/>
      <c r="I30" s="96"/>
    </row>
    <row r="31" spans="1:14" ht="18" customHeight="1" x14ac:dyDescent="0.25">
      <c r="A31" s="58"/>
      <c r="B31" s="59">
        <v>45727</v>
      </c>
      <c r="C31" s="66" t="s">
        <v>192</v>
      </c>
      <c r="D31" s="61" t="s">
        <v>19</v>
      </c>
      <c r="E31" s="62"/>
      <c r="F31" s="62">
        <v>5.0999999999999996</v>
      </c>
      <c r="G31" s="95">
        <f t="shared" si="0"/>
        <v>575.5999999999998</v>
      </c>
      <c r="H31" s="96"/>
      <c r="I31" s="96"/>
    </row>
    <row r="32" spans="1:14" ht="18" customHeight="1" x14ac:dyDescent="0.25">
      <c r="A32" s="58"/>
      <c r="B32" s="59">
        <v>45728</v>
      </c>
      <c r="C32" s="66" t="s">
        <v>192</v>
      </c>
      <c r="D32" s="61" t="s">
        <v>19</v>
      </c>
      <c r="E32" s="62"/>
      <c r="F32" s="62">
        <v>1.9</v>
      </c>
      <c r="G32" s="95">
        <f t="shared" si="0"/>
        <v>573.69999999999982</v>
      </c>
      <c r="H32" s="96"/>
      <c r="I32" s="96"/>
    </row>
    <row r="33" spans="1:9" ht="18" customHeight="1" x14ac:dyDescent="0.25">
      <c r="A33" s="58"/>
      <c r="B33" s="59">
        <v>45730</v>
      </c>
      <c r="C33" s="66" t="s">
        <v>192</v>
      </c>
      <c r="D33" s="61" t="s">
        <v>19</v>
      </c>
      <c r="E33" s="62"/>
      <c r="F33" s="62">
        <v>5.9</v>
      </c>
      <c r="G33" s="95">
        <f t="shared" si="0"/>
        <v>567.79999999999984</v>
      </c>
      <c r="H33" s="96"/>
      <c r="I33" s="96"/>
    </row>
    <row r="34" spans="1:9" ht="18" customHeight="1" x14ac:dyDescent="0.25">
      <c r="A34" s="58"/>
      <c r="B34" s="59">
        <v>45731</v>
      </c>
      <c r="C34" s="66" t="s">
        <v>192</v>
      </c>
      <c r="D34" s="61" t="s">
        <v>19</v>
      </c>
      <c r="E34" s="62"/>
      <c r="F34" s="62">
        <v>2.7</v>
      </c>
      <c r="G34" s="95">
        <f t="shared" si="0"/>
        <v>565.0999999999998</v>
      </c>
      <c r="H34" s="96"/>
      <c r="I34" s="96"/>
    </row>
    <row r="35" spans="1:9" ht="18" customHeight="1" x14ac:dyDescent="0.25">
      <c r="A35" s="58"/>
      <c r="B35" s="59">
        <v>45736</v>
      </c>
      <c r="C35" s="66" t="s">
        <v>192</v>
      </c>
      <c r="D35" s="61" t="s">
        <v>19</v>
      </c>
      <c r="E35" s="62"/>
      <c r="F35" s="62">
        <v>5.7</v>
      </c>
      <c r="G35" s="95">
        <f t="shared" si="0"/>
        <v>559.39999999999975</v>
      </c>
      <c r="H35" s="96"/>
      <c r="I35" s="96"/>
    </row>
    <row r="36" spans="1:9" ht="18" customHeight="1" x14ac:dyDescent="0.25">
      <c r="A36" s="58"/>
      <c r="B36" s="59">
        <v>45737</v>
      </c>
      <c r="C36" s="66" t="s">
        <v>192</v>
      </c>
      <c r="D36" s="61" t="s">
        <v>19</v>
      </c>
      <c r="E36" s="62"/>
      <c r="F36" s="62">
        <v>4.9000000000000004</v>
      </c>
      <c r="G36" s="95">
        <f t="shared" si="0"/>
        <v>554.49999999999977</v>
      </c>
      <c r="H36" s="96"/>
      <c r="I36" s="96"/>
    </row>
    <row r="37" spans="1:9" ht="18" customHeight="1" x14ac:dyDescent="0.25">
      <c r="A37" s="58"/>
      <c r="B37" s="59">
        <v>45738</v>
      </c>
      <c r="C37" s="66" t="s">
        <v>192</v>
      </c>
      <c r="D37" s="61" t="s">
        <v>19</v>
      </c>
      <c r="E37" s="62"/>
      <c r="F37" s="62">
        <v>3.7</v>
      </c>
      <c r="G37" s="95">
        <f t="shared" si="0"/>
        <v>550.79999999999973</v>
      </c>
      <c r="H37" s="96"/>
      <c r="I37" s="96"/>
    </row>
    <row r="38" spans="1:9" ht="18" customHeight="1" x14ac:dyDescent="0.25">
      <c r="A38" s="58"/>
      <c r="B38" s="59">
        <v>45740</v>
      </c>
      <c r="C38" s="66" t="s">
        <v>192</v>
      </c>
      <c r="D38" s="61" t="s">
        <v>19</v>
      </c>
      <c r="E38" s="62"/>
      <c r="F38" s="62">
        <v>4</v>
      </c>
      <c r="G38" s="95">
        <f t="shared" si="0"/>
        <v>546.79999999999973</v>
      </c>
      <c r="H38" s="96"/>
      <c r="I38" s="96"/>
    </row>
    <row r="39" spans="1:9" ht="18" customHeight="1" x14ac:dyDescent="0.25">
      <c r="A39" s="58"/>
      <c r="B39" s="59">
        <v>45741</v>
      </c>
      <c r="C39" s="66" t="s">
        <v>192</v>
      </c>
      <c r="D39" s="61" t="s">
        <v>19</v>
      </c>
      <c r="E39" s="62"/>
      <c r="F39" s="62">
        <v>5.2</v>
      </c>
      <c r="G39" s="95">
        <f t="shared" si="0"/>
        <v>541.59999999999968</v>
      </c>
      <c r="H39" s="96"/>
      <c r="I39" s="96"/>
    </row>
    <row r="40" spans="1:9" ht="18" customHeight="1" x14ac:dyDescent="0.25">
      <c r="A40" s="58"/>
      <c r="B40" s="59">
        <v>45742</v>
      </c>
      <c r="C40" s="66" t="s">
        <v>192</v>
      </c>
      <c r="D40" s="61" t="s">
        <v>19</v>
      </c>
      <c r="E40" s="62"/>
      <c r="F40" s="62">
        <v>3.7</v>
      </c>
      <c r="G40" s="95">
        <f t="shared" si="0"/>
        <v>537.89999999999964</v>
      </c>
      <c r="H40" s="96"/>
      <c r="I40" s="96"/>
    </row>
    <row r="41" spans="1:9" ht="18" customHeight="1" x14ac:dyDescent="0.25">
      <c r="A41" s="58"/>
      <c r="B41" s="59">
        <v>45743</v>
      </c>
      <c r="C41" s="66" t="s">
        <v>192</v>
      </c>
      <c r="D41" s="61" t="s">
        <v>19</v>
      </c>
      <c r="E41" s="62"/>
      <c r="F41" s="103">
        <v>1.6</v>
      </c>
      <c r="G41" s="95">
        <f t="shared" si="0"/>
        <v>536.29999999999961</v>
      </c>
      <c r="H41" s="96"/>
      <c r="I41" s="96" t="s">
        <v>380</v>
      </c>
    </row>
    <row r="42" spans="1:9" ht="18" customHeight="1" x14ac:dyDescent="0.25">
      <c r="A42" s="58"/>
      <c r="B42" s="59">
        <v>45751</v>
      </c>
      <c r="C42" s="66" t="s">
        <v>192</v>
      </c>
      <c r="D42" s="61" t="s">
        <v>19</v>
      </c>
      <c r="E42" s="62"/>
      <c r="F42" s="103">
        <v>1.6</v>
      </c>
      <c r="G42" s="95">
        <f t="shared" si="0"/>
        <v>534.69999999999959</v>
      </c>
      <c r="H42" s="96"/>
      <c r="I42" s="96"/>
    </row>
    <row r="43" spans="1:9" ht="18" customHeight="1" x14ac:dyDescent="0.25">
      <c r="A43" s="58"/>
      <c r="B43" s="59">
        <v>45752</v>
      </c>
      <c r="C43" s="66" t="s">
        <v>192</v>
      </c>
      <c r="D43" s="61" t="s">
        <v>19</v>
      </c>
      <c r="E43" s="62"/>
      <c r="F43" s="103">
        <v>0.7</v>
      </c>
      <c r="G43" s="95">
        <f t="shared" si="0"/>
        <v>533.99999999999955</v>
      </c>
      <c r="H43" s="96"/>
      <c r="I43" s="96"/>
    </row>
    <row r="44" spans="1:9" ht="18" customHeight="1" x14ac:dyDescent="0.25">
      <c r="A44" s="58"/>
      <c r="B44" s="59">
        <v>45755</v>
      </c>
      <c r="C44" s="66" t="s">
        <v>192</v>
      </c>
      <c r="D44" s="61" t="s">
        <v>19</v>
      </c>
      <c r="E44" s="62"/>
      <c r="F44" s="103">
        <v>5.9</v>
      </c>
      <c r="G44" s="95">
        <f t="shared" si="0"/>
        <v>528.09999999999957</v>
      </c>
      <c r="H44" s="96"/>
      <c r="I44" s="96"/>
    </row>
    <row r="45" spans="1:9" ht="18" customHeight="1" x14ac:dyDescent="0.25">
      <c r="A45" s="58"/>
      <c r="B45" s="59">
        <v>45756</v>
      </c>
      <c r="C45" s="66" t="s">
        <v>192</v>
      </c>
      <c r="D45" s="61" t="s">
        <v>19</v>
      </c>
      <c r="E45" s="62"/>
      <c r="F45" s="103">
        <v>8</v>
      </c>
      <c r="G45" s="95">
        <f t="shared" si="0"/>
        <v>520.09999999999957</v>
      </c>
      <c r="H45" s="96"/>
      <c r="I45" s="96"/>
    </row>
    <row r="46" spans="1:9" ht="18" customHeight="1" x14ac:dyDescent="0.25">
      <c r="A46" s="58"/>
      <c r="B46" s="98">
        <v>45765</v>
      </c>
      <c r="C46" s="66" t="s">
        <v>192</v>
      </c>
      <c r="D46" s="61" t="s">
        <v>19</v>
      </c>
      <c r="E46" s="62"/>
      <c r="F46" s="103">
        <v>1.5</v>
      </c>
      <c r="G46" s="95">
        <f t="shared" si="0"/>
        <v>518.59999999999957</v>
      </c>
      <c r="H46" s="96"/>
      <c r="I46" s="96"/>
    </row>
    <row r="47" spans="1:9" ht="18" customHeight="1" x14ac:dyDescent="0.25">
      <c r="A47" s="58"/>
      <c r="B47" s="59">
        <v>45783</v>
      </c>
      <c r="C47" s="66" t="s">
        <v>192</v>
      </c>
      <c r="D47" s="61" t="s">
        <v>19</v>
      </c>
      <c r="E47" s="62"/>
      <c r="F47" s="103">
        <v>1.5</v>
      </c>
      <c r="G47" s="95">
        <f t="shared" si="0"/>
        <v>517.09999999999957</v>
      </c>
      <c r="H47" s="96"/>
      <c r="I47" s="96"/>
    </row>
    <row r="48" spans="1:9" ht="18" customHeight="1" x14ac:dyDescent="0.25">
      <c r="A48" s="58"/>
      <c r="B48" s="59">
        <v>45784</v>
      </c>
      <c r="C48" s="66" t="s">
        <v>192</v>
      </c>
      <c r="D48" s="61" t="s">
        <v>19</v>
      </c>
      <c r="E48" s="62"/>
      <c r="F48" s="103">
        <v>1.2</v>
      </c>
      <c r="G48" s="376">
        <f t="shared" si="0"/>
        <v>515.89999999999952</v>
      </c>
      <c r="H48" s="96"/>
      <c r="I48" s="96"/>
    </row>
    <row r="49" spans="1:9" ht="18" customHeight="1" x14ac:dyDescent="0.25">
      <c r="A49" s="58"/>
      <c r="B49" s="59">
        <v>45786</v>
      </c>
      <c r="C49" s="66" t="s">
        <v>192</v>
      </c>
      <c r="D49" s="61" t="s">
        <v>19</v>
      </c>
      <c r="E49" s="62"/>
      <c r="F49" s="103">
        <v>2.5</v>
      </c>
      <c r="G49" s="95">
        <f t="shared" si="0"/>
        <v>513.39999999999952</v>
      </c>
      <c r="H49" s="96"/>
      <c r="I49" s="96"/>
    </row>
    <row r="50" spans="1:9" ht="18" customHeight="1" x14ac:dyDescent="0.25">
      <c r="A50" s="58"/>
      <c r="B50" s="59">
        <v>45787</v>
      </c>
      <c r="C50" s="66" t="s">
        <v>192</v>
      </c>
      <c r="D50" s="61" t="s">
        <v>19</v>
      </c>
      <c r="E50" s="62"/>
      <c r="F50" s="103">
        <v>3.3</v>
      </c>
      <c r="G50" s="95">
        <f t="shared" si="0"/>
        <v>510.09999999999951</v>
      </c>
      <c r="H50" s="96"/>
      <c r="I50" s="96"/>
    </row>
    <row r="51" spans="1:9" ht="18" customHeight="1" x14ac:dyDescent="0.25">
      <c r="A51" s="58"/>
      <c r="B51" s="59">
        <v>45789</v>
      </c>
      <c r="C51" s="66" t="s">
        <v>192</v>
      </c>
      <c r="D51" s="61" t="s">
        <v>19</v>
      </c>
      <c r="E51" s="62"/>
      <c r="F51" s="103">
        <v>5.5</v>
      </c>
      <c r="G51" s="95">
        <f t="shared" si="0"/>
        <v>504.59999999999951</v>
      </c>
      <c r="H51" s="96"/>
      <c r="I51" s="96"/>
    </row>
    <row r="52" spans="1:9" ht="18" customHeight="1" x14ac:dyDescent="0.25">
      <c r="A52" s="58"/>
      <c r="B52" s="59">
        <v>45790</v>
      </c>
      <c r="C52" s="66" t="s">
        <v>192</v>
      </c>
      <c r="D52" s="61" t="s">
        <v>19</v>
      </c>
      <c r="E52" s="62"/>
      <c r="F52" s="103">
        <v>4</v>
      </c>
      <c r="G52" s="95">
        <f t="shared" si="0"/>
        <v>500.59999999999951</v>
      </c>
      <c r="H52" s="96"/>
      <c r="I52" s="96"/>
    </row>
    <row r="53" spans="1:9" ht="18" customHeight="1" x14ac:dyDescent="0.25">
      <c r="A53" s="58"/>
      <c r="B53" s="59">
        <v>45794</v>
      </c>
      <c r="C53" s="66" t="s">
        <v>192</v>
      </c>
      <c r="D53" s="61" t="s">
        <v>19</v>
      </c>
      <c r="E53" s="62"/>
      <c r="F53" s="103">
        <v>7</v>
      </c>
      <c r="G53" s="95">
        <f t="shared" si="0"/>
        <v>493.59999999999951</v>
      </c>
      <c r="H53" s="96"/>
      <c r="I53" s="96"/>
    </row>
    <row r="54" spans="1:9" ht="18" customHeight="1" x14ac:dyDescent="0.25">
      <c r="A54" s="58"/>
      <c r="B54" s="59">
        <v>45796</v>
      </c>
      <c r="C54" s="66" t="s">
        <v>192</v>
      </c>
      <c r="D54" s="61" t="s">
        <v>19</v>
      </c>
      <c r="E54" s="62"/>
      <c r="F54" s="103">
        <v>1</v>
      </c>
      <c r="G54" s="95">
        <f t="shared" si="0"/>
        <v>492.59999999999951</v>
      </c>
      <c r="H54" s="96"/>
      <c r="I54" s="96"/>
    </row>
    <row r="55" spans="1:9" ht="18" customHeight="1" x14ac:dyDescent="0.25">
      <c r="A55" s="58"/>
      <c r="B55" s="59">
        <v>45800</v>
      </c>
      <c r="C55" s="66" t="s">
        <v>192</v>
      </c>
      <c r="D55" s="61" t="s">
        <v>19</v>
      </c>
      <c r="E55" s="62"/>
      <c r="F55" s="103">
        <v>2.2000000000000002</v>
      </c>
      <c r="G55" s="95">
        <f t="shared" si="0"/>
        <v>490.39999999999952</v>
      </c>
      <c r="H55" s="96"/>
      <c r="I55" s="96"/>
    </row>
    <row r="56" spans="1:9" ht="18" customHeight="1" x14ac:dyDescent="0.25">
      <c r="A56" s="58"/>
      <c r="B56" s="59">
        <v>45801</v>
      </c>
      <c r="C56" s="66" t="s">
        <v>192</v>
      </c>
      <c r="D56" s="61" t="s">
        <v>19</v>
      </c>
      <c r="E56" s="62"/>
      <c r="F56" s="103">
        <v>4.8</v>
      </c>
      <c r="G56" s="95">
        <f t="shared" si="0"/>
        <v>485.59999999999951</v>
      </c>
      <c r="H56" s="96"/>
      <c r="I56" s="96"/>
    </row>
    <row r="57" spans="1:9" ht="18" customHeight="1" x14ac:dyDescent="0.25">
      <c r="A57" s="58"/>
      <c r="B57" s="59">
        <v>45803</v>
      </c>
      <c r="C57" s="66" t="s">
        <v>192</v>
      </c>
      <c r="D57" s="61" t="s">
        <v>19</v>
      </c>
      <c r="E57" s="62"/>
      <c r="F57" s="103">
        <v>11</v>
      </c>
      <c r="G57" s="95">
        <f t="shared" si="0"/>
        <v>474.59999999999951</v>
      </c>
      <c r="H57" s="96"/>
      <c r="I57" s="96"/>
    </row>
    <row r="58" spans="1:9" ht="18" customHeight="1" x14ac:dyDescent="0.25">
      <c r="A58" s="58"/>
      <c r="B58" s="59">
        <v>45804</v>
      </c>
      <c r="C58" s="66" t="s">
        <v>192</v>
      </c>
      <c r="D58" s="61" t="s">
        <v>19</v>
      </c>
      <c r="E58" s="62"/>
      <c r="F58" s="103">
        <v>2.7</v>
      </c>
      <c r="G58" s="95">
        <f t="shared" si="0"/>
        <v>471.89999999999952</v>
      </c>
      <c r="H58" s="96"/>
      <c r="I58" s="96"/>
    </row>
    <row r="59" spans="1:9" ht="18" customHeight="1" x14ac:dyDescent="0.25">
      <c r="A59" s="58"/>
      <c r="B59" s="59">
        <v>45817</v>
      </c>
      <c r="C59" s="66" t="s">
        <v>192</v>
      </c>
      <c r="D59" s="61" t="s">
        <v>19</v>
      </c>
      <c r="E59" s="62"/>
      <c r="F59" s="282">
        <v>0.6</v>
      </c>
      <c r="G59" s="95">
        <f t="shared" si="0"/>
        <v>471.2999999999995</v>
      </c>
      <c r="H59" s="96"/>
      <c r="I59" s="96"/>
    </row>
    <row r="60" spans="1:9" ht="18" customHeight="1" x14ac:dyDescent="0.25">
      <c r="A60" s="58"/>
      <c r="B60" s="59">
        <v>45818</v>
      </c>
      <c r="C60" s="66" t="s">
        <v>192</v>
      </c>
      <c r="D60" s="61" t="s">
        <v>19</v>
      </c>
      <c r="E60" s="62"/>
      <c r="F60" s="282">
        <v>6.8</v>
      </c>
      <c r="G60" s="95">
        <f t="shared" si="0"/>
        <v>464.49999999999949</v>
      </c>
      <c r="H60" s="96"/>
      <c r="I60" s="96" t="s">
        <v>400</v>
      </c>
    </row>
    <row r="61" spans="1:9" ht="18" customHeight="1" x14ac:dyDescent="0.25">
      <c r="A61" s="58"/>
      <c r="B61" s="59">
        <v>45819</v>
      </c>
      <c r="C61" s="66" t="s">
        <v>192</v>
      </c>
      <c r="D61" s="61" t="s">
        <v>19</v>
      </c>
      <c r="E61" s="62"/>
      <c r="F61" s="282">
        <v>8.5</v>
      </c>
      <c r="G61" s="95">
        <f t="shared" si="0"/>
        <v>455.99999999999949</v>
      </c>
      <c r="H61" s="96"/>
      <c r="I61" s="96"/>
    </row>
    <row r="62" spans="1:9" ht="18" customHeight="1" x14ac:dyDescent="0.25">
      <c r="A62" s="58"/>
      <c r="B62" s="59">
        <v>45820</v>
      </c>
      <c r="C62" s="66" t="s">
        <v>192</v>
      </c>
      <c r="D62" s="61" t="s">
        <v>19</v>
      </c>
      <c r="E62" s="62"/>
      <c r="F62" s="282">
        <v>1.5</v>
      </c>
      <c r="G62" s="95">
        <f t="shared" si="0"/>
        <v>454.49999999999949</v>
      </c>
      <c r="H62" s="96"/>
      <c r="I62" s="96"/>
    </row>
    <row r="63" spans="1:9" ht="18" customHeight="1" x14ac:dyDescent="0.25">
      <c r="A63" s="58"/>
      <c r="B63" s="59">
        <v>45821</v>
      </c>
      <c r="C63" s="66" t="s">
        <v>192</v>
      </c>
      <c r="D63" s="61" t="s">
        <v>19</v>
      </c>
      <c r="E63" s="62"/>
      <c r="F63" s="282">
        <v>0.6</v>
      </c>
      <c r="G63" s="95">
        <f t="shared" si="0"/>
        <v>453.89999999999947</v>
      </c>
      <c r="H63" s="96"/>
      <c r="I63" s="96"/>
    </row>
    <row r="64" spans="1:9" ht="18" customHeight="1" x14ac:dyDescent="0.25">
      <c r="A64" s="58"/>
      <c r="B64" s="59">
        <v>45829</v>
      </c>
      <c r="C64" s="66" t="s">
        <v>192</v>
      </c>
      <c r="D64" s="61" t="s">
        <v>19</v>
      </c>
      <c r="E64" s="62"/>
      <c r="F64" s="282">
        <v>1.2</v>
      </c>
      <c r="G64" s="95">
        <f t="shared" si="0"/>
        <v>452.69999999999948</v>
      </c>
      <c r="H64" s="96"/>
      <c r="I64" s="96"/>
    </row>
    <row r="65" spans="1:9" ht="18" customHeight="1" x14ac:dyDescent="0.25">
      <c r="A65" s="58"/>
      <c r="B65" s="59">
        <v>45833</v>
      </c>
      <c r="C65" s="66" t="s">
        <v>192</v>
      </c>
      <c r="D65" s="61" t="s">
        <v>19</v>
      </c>
      <c r="E65" s="62"/>
      <c r="F65" s="282">
        <v>6.7</v>
      </c>
      <c r="G65" s="95">
        <f t="shared" si="0"/>
        <v>445.99999999999949</v>
      </c>
      <c r="H65" s="96"/>
      <c r="I65" s="96"/>
    </row>
    <row r="66" spans="1:9" ht="18" customHeight="1" x14ac:dyDescent="0.25">
      <c r="A66" s="58"/>
      <c r="B66" s="59">
        <v>45834</v>
      </c>
      <c r="C66" s="66" t="s">
        <v>192</v>
      </c>
      <c r="D66" s="61" t="s">
        <v>19</v>
      </c>
      <c r="E66" s="62"/>
      <c r="F66" s="282">
        <v>10</v>
      </c>
      <c r="G66" s="95">
        <f t="shared" si="0"/>
        <v>435.99999999999949</v>
      </c>
      <c r="H66" s="96"/>
      <c r="I66" s="96"/>
    </row>
    <row r="67" spans="1:9" ht="18" customHeight="1" x14ac:dyDescent="0.25">
      <c r="A67" s="58"/>
      <c r="B67" s="59">
        <v>45835</v>
      </c>
      <c r="C67" s="66" t="s">
        <v>192</v>
      </c>
      <c r="D67" s="61" t="s">
        <v>19</v>
      </c>
      <c r="E67" s="62"/>
      <c r="F67" s="282">
        <v>4.5</v>
      </c>
      <c r="G67" s="95">
        <f t="shared" si="0"/>
        <v>431.49999999999949</v>
      </c>
      <c r="H67" s="96"/>
      <c r="I67" s="96"/>
    </row>
    <row r="68" spans="1:9" ht="18" customHeight="1" x14ac:dyDescent="0.25">
      <c r="A68" s="58"/>
      <c r="B68" s="59">
        <v>45836</v>
      </c>
      <c r="C68" s="66" t="s">
        <v>192</v>
      </c>
      <c r="D68" s="61" t="s">
        <v>19</v>
      </c>
      <c r="E68" s="62"/>
      <c r="F68" s="282">
        <v>1.3</v>
      </c>
      <c r="G68" s="95">
        <f t="shared" si="0"/>
        <v>430.19999999999948</v>
      </c>
      <c r="H68" s="96"/>
      <c r="I68" s="96"/>
    </row>
    <row r="69" spans="1:9" ht="18" customHeight="1" x14ac:dyDescent="0.25">
      <c r="A69" s="58"/>
      <c r="B69" s="59">
        <v>45839</v>
      </c>
      <c r="C69" s="66" t="s">
        <v>192</v>
      </c>
      <c r="D69" s="61" t="s">
        <v>19</v>
      </c>
      <c r="E69" s="62"/>
      <c r="F69" s="282">
        <v>5.0999999999999996</v>
      </c>
      <c r="G69" s="95">
        <f t="shared" si="0"/>
        <v>425.09999999999945</v>
      </c>
      <c r="H69" s="96"/>
      <c r="I69" s="96"/>
    </row>
    <row r="70" spans="1:9" ht="18" customHeight="1" x14ac:dyDescent="0.25">
      <c r="A70" s="58"/>
      <c r="B70" s="59">
        <v>45840</v>
      </c>
      <c r="C70" s="66" t="s">
        <v>192</v>
      </c>
      <c r="D70" s="61" t="s">
        <v>19</v>
      </c>
      <c r="E70" s="62"/>
      <c r="F70" s="282">
        <v>7.8</v>
      </c>
      <c r="G70" s="95">
        <f t="shared" si="0"/>
        <v>417.29999999999944</v>
      </c>
      <c r="H70" s="96" t="s">
        <v>93</v>
      </c>
      <c r="I70" s="96" t="s">
        <v>90</v>
      </c>
    </row>
    <row r="71" spans="1:9" ht="18" customHeight="1" x14ac:dyDescent="0.25">
      <c r="A71" s="58"/>
      <c r="B71" s="59">
        <v>45841</v>
      </c>
      <c r="C71" s="66" t="s">
        <v>192</v>
      </c>
      <c r="D71" s="61" t="s">
        <v>19</v>
      </c>
      <c r="E71" s="62"/>
      <c r="F71" s="282">
        <v>8.1999999999999993</v>
      </c>
      <c r="G71" s="95">
        <f t="shared" si="0"/>
        <v>409.09999999999945</v>
      </c>
      <c r="H71" s="96" t="s">
        <v>93</v>
      </c>
      <c r="I71" s="96" t="s">
        <v>90</v>
      </c>
    </row>
    <row r="72" spans="1:9" ht="18" customHeight="1" x14ac:dyDescent="0.25">
      <c r="A72" s="58"/>
      <c r="B72" s="59">
        <v>45842</v>
      </c>
      <c r="C72" s="66" t="s">
        <v>192</v>
      </c>
      <c r="D72" s="61" t="s">
        <v>19</v>
      </c>
      <c r="E72" s="62"/>
      <c r="F72" s="282">
        <v>1.3</v>
      </c>
      <c r="G72" s="95">
        <f t="shared" si="0"/>
        <v>407.79999999999944</v>
      </c>
      <c r="H72" s="96" t="s">
        <v>93</v>
      </c>
      <c r="I72" s="96" t="s">
        <v>90</v>
      </c>
    </row>
    <row r="73" spans="1:9" ht="18" customHeight="1" x14ac:dyDescent="0.25">
      <c r="A73" s="58"/>
      <c r="B73" s="59">
        <v>45853</v>
      </c>
      <c r="C73" s="66" t="s">
        <v>192</v>
      </c>
      <c r="D73" s="61" t="s">
        <v>19</v>
      </c>
      <c r="E73" s="62"/>
      <c r="F73" s="282">
        <v>5.6</v>
      </c>
      <c r="G73" s="95">
        <f>+G72+E73-F73</f>
        <v>402.19999999999942</v>
      </c>
      <c r="H73" s="96" t="s">
        <v>93</v>
      </c>
      <c r="I73" s="96" t="s">
        <v>90</v>
      </c>
    </row>
    <row r="74" spans="1:9" ht="18" customHeight="1" x14ac:dyDescent="0.25">
      <c r="A74" s="58"/>
      <c r="B74" s="59">
        <v>45854</v>
      </c>
      <c r="C74" s="66" t="s">
        <v>192</v>
      </c>
      <c r="D74" s="61" t="s">
        <v>19</v>
      </c>
      <c r="E74" s="62"/>
      <c r="F74" s="282">
        <v>10.5</v>
      </c>
      <c r="G74" s="95">
        <f t="shared" si="0"/>
        <v>391.69999999999942</v>
      </c>
      <c r="H74" s="96" t="s">
        <v>93</v>
      </c>
      <c r="I74" s="96" t="s">
        <v>90</v>
      </c>
    </row>
    <row r="75" spans="1:9" ht="18" customHeight="1" x14ac:dyDescent="0.25">
      <c r="A75" s="58"/>
      <c r="B75" s="59">
        <v>45855</v>
      </c>
      <c r="C75" s="66" t="s">
        <v>192</v>
      </c>
      <c r="D75" s="61" t="s">
        <v>19</v>
      </c>
      <c r="E75" s="62"/>
      <c r="F75" s="282">
        <v>2.8</v>
      </c>
      <c r="G75" s="95">
        <f t="shared" ref="G75:G139" si="1">+G74+E75-F75</f>
        <v>388.89999999999941</v>
      </c>
      <c r="H75" s="96" t="s">
        <v>93</v>
      </c>
      <c r="I75" s="96" t="s">
        <v>90</v>
      </c>
    </row>
    <row r="76" spans="1:9" ht="18" customHeight="1" x14ac:dyDescent="0.25">
      <c r="A76" s="58"/>
      <c r="B76" s="59">
        <v>45856</v>
      </c>
      <c r="C76" s="66" t="s">
        <v>192</v>
      </c>
      <c r="D76" s="61" t="s">
        <v>19</v>
      </c>
      <c r="E76" s="62"/>
      <c r="F76" s="282">
        <v>7.2</v>
      </c>
      <c r="G76" s="95">
        <f t="shared" si="1"/>
        <v>381.69999999999942</v>
      </c>
      <c r="H76" s="96"/>
      <c r="I76" s="96"/>
    </row>
    <row r="77" spans="1:9" ht="18" customHeight="1" x14ac:dyDescent="0.25">
      <c r="A77" s="58"/>
      <c r="B77" s="59">
        <v>45857</v>
      </c>
      <c r="C77" s="66" t="s">
        <v>192</v>
      </c>
      <c r="D77" s="61" t="s">
        <v>19</v>
      </c>
      <c r="E77" s="62"/>
      <c r="F77" s="282">
        <v>10</v>
      </c>
      <c r="G77" s="95">
        <f t="shared" si="1"/>
        <v>371.69999999999942</v>
      </c>
      <c r="H77" s="96"/>
      <c r="I77" s="96"/>
    </row>
    <row r="78" spans="1:9" ht="18" customHeight="1" x14ac:dyDescent="0.25">
      <c r="A78" s="58"/>
      <c r="B78" s="59">
        <v>45873</v>
      </c>
      <c r="C78" s="66" t="s">
        <v>192</v>
      </c>
      <c r="D78" s="61" t="s">
        <v>19</v>
      </c>
      <c r="E78" s="62"/>
      <c r="F78" s="282">
        <v>10.5</v>
      </c>
      <c r="G78" s="95">
        <f t="shared" si="1"/>
        <v>361.19999999999942</v>
      </c>
      <c r="H78" s="96"/>
      <c r="I78" s="96"/>
    </row>
    <row r="79" spans="1:9" ht="18" customHeight="1" x14ac:dyDescent="0.25">
      <c r="A79" s="58"/>
      <c r="B79" s="59">
        <v>45875</v>
      </c>
      <c r="C79" s="66" t="s">
        <v>192</v>
      </c>
      <c r="D79" s="61" t="s">
        <v>19</v>
      </c>
      <c r="E79" s="62"/>
      <c r="F79" s="282">
        <v>3.2</v>
      </c>
      <c r="G79" s="95">
        <f t="shared" si="1"/>
        <v>357.99999999999943</v>
      </c>
      <c r="H79" s="96"/>
      <c r="I79" s="96"/>
    </row>
    <row r="80" spans="1:9" ht="18" customHeight="1" x14ac:dyDescent="0.25">
      <c r="A80" s="58"/>
      <c r="B80" s="59">
        <v>45880</v>
      </c>
      <c r="C80" s="66" t="s">
        <v>192</v>
      </c>
      <c r="D80" s="61" t="s">
        <v>19</v>
      </c>
      <c r="E80" s="62"/>
      <c r="F80" s="282">
        <v>6.1</v>
      </c>
      <c r="G80" s="95">
        <f t="shared" si="1"/>
        <v>351.89999999999941</v>
      </c>
      <c r="H80" s="96"/>
      <c r="I80" s="96"/>
    </row>
    <row r="81" spans="1:10" ht="18" customHeight="1" x14ac:dyDescent="0.25">
      <c r="A81" s="58"/>
      <c r="B81" s="59">
        <v>45881</v>
      </c>
      <c r="C81" s="66" t="s">
        <v>192</v>
      </c>
      <c r="D81" s="61" t="s">
        <v>19</v>
      </c>
      <c r="E81" s="62"/>
      <c r="F81" s="282">
        <v>6.8</v>
      </c>
      <c r="G81" s="95">
        <f t="shared" si="1"/>
        <v>345.0999999999994</v>
      </c>
      <c r="H81" s="96"/>
      <c r="I81" s="96"/>
    </row>
    <row r="82" spans="1:10" ht="18" customHeight="1" x14ac:dyDescent="0.25">
      <c r="A82" s="58"/>
      <c r="B82" s="59">
        <v>45881</v>
      </c>
      <c r="C82" s="66" t="s">
        <v>192</v>
      </c>
      <c r="D82" s="61" t="s">
        <v>19</v>
      </c>
      <c r="E82" s="62"/>
      <c r="F82" s="282">
        <v>6.7</v>
      </c>
      <c r="G82" s="95">
        <f t="shared" si="1"/>
        <v>338.39999999999941</v>
      </c>
      <c r="H82" s="96"/>
      <c r="I82" s="96"/>
    </row>
    <row r="83" spans="1:10" ht="18" customHeight="1" x14ac:dyDescent="0.25">
      <c r="A83" s="58"/>
      <c r="B83" s="59">
        <v>45884</v>
      </c>
      <c r="C83" s="66" t="s">
        <v>192</v>
      </c>
      <c r="D83" s="61"/>
      <c r="E83" s="62"/>
      <c r="F83" s="282">
        <v>7.3</v>
      </c>
      <c r="G83" s="95">
        <f t="shared" si="1"/>
        <v>331.0999999999994</v>
      </c>
      <c r="H83" s="96"/>
      <c r="I83" s="96"/>
    </row>
    <row r="84" spans="1:10" s="297" customFormat="1" ht="18" customHeight="1" x14ac:dyDescent="0.25">
      <c r="A84" s="291"/>
      <c r="B84" s="292">
        <v>45885</v>
      </c>
      <c r="C84" s="66" t="s">
        <v>192</v>
      </c>
      <c r="D84" s="293" t="s">
        <v>19</v>
      </c>
      <c r="E84" s="294"/>
      <c r="F84" s="295">
        <v>7.7</v>
      </c>
      <c r="G84" s="95">
        <f>+G82+E84-F84</f>
        <v>330.69999999999942</v>
      </c>
      <c r="H84" s="96"/>
      <c r="I84" s="296"/>
    </row>
    <row r="85" spans="1:10" ht="18" customHeight="1" x14ac:dyDescent="0.25">
      <c r="A85" s="58"/>
      <c r="B85" s="59">
        <v>45905</v>
      </c>
      <c r="C85" s="66" t="s">
        <v>192</v>
      </c>
      <c r="D85" s="61" t="s">
        <v>19</v>
      </c>
      <c r="E85" s="62"/>
      <c r="F85" s="282">
        <v>2</v>
      </c>
      <c r="G85" s="95">
        <f t="shared" si="1"/>
        <v>328.69999999999942</v>
      </c>
      <c r="H85" s="96"/>
      <c r="I85" s="296"/>
    </row>
    <row r="86" spans="1:10" ht="18" customHeight="1" x14ac:dyDescent="0.25">
      <c r="A86" s="58"/>
      <c r="B86" s="59">
        <v>45911</v>
      </c>
      <c r="C86" s="66" t="s">
        <v>192</v>
      </c>
      <c r="D86" s="61" t="s">
        <v>19</v>
      </c>
      <c r="E86" s="62"/>
      <c r="F86" s="282">
        <v>2</v>
      </c>
      <c r="G86" s="95">
        <f t="shared" si="1"/>
        <v>326.69999999999942</v>
      </c>
      <c r="H86" s="96" t="s">
        <v>440</v>
      </c>
      <c r="I86" s="96"/>
      <c r="J86" s="55" t="s">
        <v>441</v>
      </c>
    </row>
    <row r="87" spans="1:10" ht="18" customHeight="1" x14ac:dyDescent="0.25">
      <c r="A87" s="58"/>
      <c r="B87" s="59">
        <v>45915</v>
      </c>
      <c r="C87" s="66" t="s">
        <v>192</v>
      </c>
      <c r="D87" s="61" t="s">
        <v>19</v>
      </c>
      <c r="E87" s="62"/>
      <c r="F87" s="282">
        <v>3.1</v>
      </c>
      <c r="G87" s="95">
        <f t="shared" si="1"/>
        <v>323.5999999999994</v>
      </c>
      <c r="H87" s="96"/>
      <c r="I87" s="96"/>
    </row>
    <row r="88" spans="1:10" ht="18" customHeight="1" x14ac:dyDescent="0.25">
      <c r="A88" s="58"/>
      <c r="B88" s="59">
        <v>45916</v>
      </c>
      <c r="C88" s="66" t="s">
        <v>192</v>
      </c>
      <c r="D88" s="61" t="s">
        <v>19</v>
      </c>
      <c r="E88" s="62"/>
      <c r="F88" s="282">
        <v>9.5</v>
      </c>
      <c r="G88" s="95">
        <f t="shared" si="1"/>
        <v>314.0999999999994</v>
      </c>
      <c r="H88" s="96"/>
      <c r="I88" s="96"/>
    </row>
    <row r="89" spans="1:10" ht="18" customHeight="1" x14ac:dyDescent="0.25">
      <c r="A89" s="58"/>
      <c r="B89" s="59">
        <v>45918</v>
      </c>
      <c r="C89" s="66" t="s">
        <v>192</v>
      </c>
      <c r="D89" s="61" t="s">
        <v>19</v>
      </c>
      <c r="E89" s="62"/>
      <c r="F89" s="282">
        <v>3</v>
      </c>
      <c r="G89" s="95">
        <f t="shared" si="1"/>
        <v>311.0999999999994</v>
      </c>
      <c r="H89" s="96"/>
      <c r="I89" s="96"/>
    </row>
    <row r="90" spans="1:10" ht="18" customHeight="1" x14ac:dyDescent="0.25">
      <c r="A90" s="58"/>
      <c r="B90" s="59">
        <v>45919</v>
      </c>
      <c r="C90" s="66" t="s">
        <v>192</v>
      </c>
      <c r="D90" s="61" t="s">
        <v>19</v>
      </c>
      <c r="E90" s="62"/>
      <c r="F90" s="282">
        <v>4.3</v>
      </c>
      <c r="G90" s="95">
        <f t="shared" si="1"/>
        <v>306.79999999999939</v>
      </c>
      <c r="H90" s="96"/>
      <c r="I90" s="96"/>
    </row>
    <row r="91" spans="1:10" ht="18" customHeight="1" x14ac:dyDescent="0.25">
      <c r="A91" s="58"/>
      <c r="B91" s="59">
        <v>45920</v>
      </c>
      <c r="C91" s="66" t="s">
        <v>192</v>
      </c>
      <c r="D91" s="61" t="s">
        <v>19</v>
      </c>
      <c r="E91" s="62"/>
      <c r="F91" s="282">
        <v>6</v>
      </c>
      <c r="G91" s="95">
        <f t="shared" si="1"/>
        <v>300.79999999999939</v>
      </c>
      <c r="H91" s="96"/>
      <c r="I91" s="96"/>
    </row>
    <row r="92" spans="1:10" ht="18" customHeight="1" x14ac:dyDescent="0.25">
      <c r="A92" s="58"/>
      <c r="B92" s="59" t="s">
        <v>444</v>
      </c>
      <c r="C92" s="66" t="s">
        <v>192</v>
      </c>
      <c r="D92" s="61" t="s">
        <v>19</v>
      </c>
      <c r="E92" s="62"/>
      <c r="F92" s="282">
        <v>6.5</v>
      </c>
      <c r="G92" s="95">
        <f t="shared" si="1"/>
        <v>294.29999999999939</v>
      </c>
      <c r="H92" s="96"/>
      <c r="I92" s="96"/>
    </row>
    <row r="93" spans="1:10" ht="18" customHeight="1" x14ac:dyDescent="0.25">
      <c r="A93" s="58"/>
      <c r="B93" s="59">
        <v>45923</v>
      </c>
      <c r="C93" s="66" t="s">
        <v>192</v>
      </c>
      <c r="D93" s="61" t="s">
        <v>19</v>
      </c>
      <c r="E93" s="62"/>
      <c r="F93" s="282">
        <v>4.7</v>
      </c>
      <c r="G93" s="95">
        <f t="shared" si="1"/>
        <v>289.5999999999994</v>
      </c>
      <c r="H93" s="96"/>
      <c r="I93" s="96"/>
    </row>
    <row r="94" spans="1:10" ht="18" customHeight="1" x14ac:dyDescent="0.25">
      <c r="A94" s="58"/>
      <c r="B94" s="59">
        <v>45926</v>
      </c>
      <c r="C94" s="66" t="s">
        <v>192</v>
      </c>
      <c r="D94" s="61" t="s">
        <v>19</v>
      </c>
      <c r="E94" s="62"/>
      <c r="F94" s="282">
        <v>3</v>
      </c>
      <c r="G94" s="95">
        <f t="shared" si="1"/>
        <v>286.5999999999994</v>
      </c>
      <c r="H94" s="96" t="s">
        <v>449</v>
      </c>
      <c r="I94" s="96"/>
    </row>
    <row r="95" spans="1:10" ht="18" customHeight="1" x14ac:dyDescent="0.25">
      <c r="A95" s="58"/>
      <c r="B95" s="59">
        <v>45932</v>
      </c>
      <c r="C95" s="66" t="s">
        <v>192</v>
      </c>
      <c r="D95" s="61" t="s">
        <v>19</v>
      </c>
      <c r="E95" s="62"/>
      <c r="F95" s="282">
        <v>5.6</v>
      </c>
      <c r="G95" s="95">
        <f t="shared" si="1"/>
        <v>280.99999999999937</v>
      </c>
      <c r="H95" s="96"/>
      <c r="I95" s="96"/>
    </row>
    <row r="96" spans="1:10" ht="18" customHeight="1" x14ac:dyDescent="0.25">
      <c r="A96" s="58"/>
      <c r="B96" s="59">
        <v>45932</v>
      </c>
      <c r="C96" s="66" t="s">
        <v>192</v>
      </c>
      <c r="D96" s="61" t="s">
        <v>19</v>
      </c>
      <c r="E96" s="62"/>
      <c r="F96" s="282">
        <v>1</v>
      </c>
      <c r="G96" s="95">
        <f t="shared" si="1"/>
        <v>279.99999999999937</v>
      </c>
      <c r="H96" s="96" t="s">
        <v>451</v>
      </c>
      <c r="I96" s="96" t="s">
        <v>450</v>
      </c>
    </row>
    <row r="97" spans="1:9" ht="18" customHeight="1" x14ac:dyDescent="0.25">
      <c r="A97" s="58"/>
      <c r="B97" s="59">
        <v>45933</v>
      </c>
      <c r="C97" s="66" t="s">
        <v>192</v>
      </c>
      <c r="D97" s="61" t="s">
        <v>19</v>
      </c>
      <c r="E97" s="62"/>
      <c r="F97" s="282">
        <v>5.6</v>
      </c>
      <c r="G97" s="95">
        <f t="shared" si="1"/>
        <v>274.39999999999935</v>
      </c>
      <c r="H97" s="96"/>
      <c r="I97" s="96"/>
    </row>
    <row r="98" spans="1:9" ht="18" customHeight="1" x14ac:dyDescent="0.25">
      <c r="A98" s="58"/>
      <c r="B98" s="59">
        <v>45934</v>
      </c>
      <c r="C98" s="66" t="s">
        <v>192</v>
      </c>
      <c r="D98" s="61" t="s">
        <v>19</v>
      </c>
      <c r="E98" s="62"/>
      <c r="F98" s="282">
        <v>4.7</v>
      </c>
      <c r="G98" s="95">
        <f t="shared" si="1"/>
        <v>269.69999999999936</v>
      </c>
      <c r="H98" s="96"/>
      <c r="I98" s="96"/>
    </row>
    <row r="99" spans="1:9" ht="18" customHeight="1" x14ac:dyDescent="0.25">
      <c r="A99" s="58"/>
      <c r="B99" s="59">
        <v>45936</v>
      </c>
      <c r="C99" s="66" t="s">
        <v>192</v>
      </c>
      <c r="D99" s="61" t="s">
        <v>19</v>
      </c>
      <c r="E99" s="62"/>
      <c r="F99" s="282">
        <v>6.8</v>
      </c>
      <c r="G99" s="95">
        <f t="shared" si="1"/>
        <v>262.89999999999935</v>
      </c>
      <c r="H99" s="96"/>
      <c r="I99" s="96"/>
    </row>
    <row r="100" spans="1:9" ht="18" customHeight="1" x14ac:dyDescent="0.25">
      <c r="A100" s="58"/>
      <c r="B100" s="59">
        <v>45937</v>
      </c>
      <c r="C100" s="66" t="s">
        <v>192</v>
      </c>
      <c r="D100" s="61" t="s">
        <v>19</v>
      </c>
      <c r="E100" s="62"/>
      <c r="F100" s="282">
        <v>7.1</v>
      </c>
      <c r="G100" s="95">
        <f t="shared" si="1"/>
        <v>255.79999999999936</v>
      </c>
      <c r="H100" s="96"/>
      <c r="I100" s="96"/>
    </row>
    <row r="101" spans="1:9" ht="18" customHeight="1" x14ac:dyDescent="0.25">
      <c r="A101" s="58"/>
      <c r="B101" s="59">
        <v>45940</v>
      </c>
      <c r="C101" s="66" t="s">
        <v>192</v>
      </c>
      <c r="D101" s="61" t="s">
        <v>19</v>
      </c>
      <c r="E101" s="62"/>
      <c r="F101" s="282">
        <v>4.5999999999999996</v>
      </c>
      <c r="G101" s="95">
        <f t="shared" si="1"/>
        <v>251.19999999999936</v>
      </c>
      <c r="H101" s="96"/>
      <c r="I101" s="99"/>
    </row>
    <row r="102" spans="1:9" ht="18" customHeight="1" x14ac:dyDescent="0.25">
      <c r="A102" s="58"/>
      <c r="B102" s="59"/>
      <c r="C102" s="66" t="s">
        <v>192</v>
      </c>
      <c r="D102" s="61" t="s">
        <v>19</v>
      </c>
      <c r="E102" s="62"/>
      <c r="F102" s="282"/>
      <c r="G102" s="95">
        <f t="shared" si="1"/>
        <v>251.19999999999936</v>
      </c>
      <c r="H102" s="96"/>
      <c r="I102" s="99"/>
    </row>
    <row r="103" spans="1:9" ht="18" customHeight="1" x14ac:dyDescent="0.25">
      <c r="A103" s="58"/>
      <c r="B103" s="59"/>
      <c r="C103" s="66" t="s">
        <v>192</v>
      </c>
      <c r="D103" s="61" t="s">
        <v>19</v>
      </c>
      <c r="E103" s="62"/>
      <c r="F103" s="282"/>
      <c r="G103" s="95">
        <f t="shared" si="1"/>
        <v>251.19999999999936</v>
      </c>
      <c r="H103" s="96"/>
      <c r="I103" s="99"/>
    </row>
    <row r="104" spans="1:9" ht="18" customHeight="1" x14ac:dyDescent="0.25">
      <c r="A104" s="58"/>
      <c r="B104" s="59"/>
      <c r="C104" s="66" t="s">
        <v>192</v>
      </c>
      <c r="D104" s="61" t="s">
        <v>19</v>
      </c>
      <c r="E104" s="62"/>
      <c r="F104" s="282"/>
      <c r="G104" s="95">
        <f t="shared" si="1"/>
        <v>251.19999999999936</v>
      </c>
      <c r="H104" s="96"/>
      <c r="I104" s="99"/>
    </row>
    <row r="105" spans="1:9" ht="18" customHeight="1" x14ac:dyDescent="0.25">
      <c r="A105" s="58"/>
      <c r="B105" s="59"/>
      <c r="C105" s="66" t="s">
        <v>192</v>
      </c>
      <c r="D105" s="61" t="s">
        <v>19</v>
      </c>
      <c r="E105" s="62"/>
      <c r="F105" s="282"/>
      <c r="G105" s="95">
        <f t="shared" si="1"/>
        <v>251.19999999999936</v>
      </c>
      <c r="H105" s="96"/>
      <c r="I105" s="99"/>
    </row>
    <row r="106" spans="1:9" ht="18" customHeight="1" x14ac:dyDescent="0.25">
      <c r="A106" s="58"/>
      <c r="B106" s="59"/>
      <c r="C106" s="66" t="s">
        <v>192</v>
      </c>
      <c r="D106" s="61" t="s">
        <v>19</v>
      </c>
      <c r="E106" s="62"/>
      <c r="F106" s="282"/>
      <c r="G106" s="95">
        <f t="shared" si="1"/>
        <v>251.19999999999936</v>
      </c>
      <c r="H106" s="96"/>
      <c r="I106" s="99"/>
    </row>
    <row r="107" spans="1:9" ht="18" customHeight="1" x14ac:dyDescent="0.25">
      <c r="A107" s="58"/>
      <c r="B107" s="59"/>
      <c r="C107" s="66" t="s">
        <v>192</v>
      </c>
      <c r="D107" s="61" t="s">
        <v>19</v>
      </c>
      <c r="E107" s="62"/>
      <c r="F107" s="282"/>
      <c r="G107" s="95">
        <f t="shared" si="1"/>
        <v>251.19999999999936</v>
      </c>
      <c r="H107" s="96"/>
      <c r="I107" s="99"/>
    </row>
    <row r="108" spans="1:9" ht="18" customHeight="1" x14ac:dyDescent="0.25">
      <c r="A108" s="58"/>
      <c r="B108" s="59"/>
      <c r="C108" s="66" t="s">
        <v>192</v>
      </c>
      <c r="D108" s="61" t="s">
        <v>19</v>
      </c>
      <c r="E108" s="62"/>
      <c r="F108" s="282"/>
      <c r="G108" s="95">
        <f t="shared" si="1"/>
        <v>251.19999999999936</v>
      </c>
      <c r="H108" s="96"/>
      <c r="I108" s="99"/>
    </row>
    <row r="109" spans="1:9" ht="18" customHeight="1" x14ac:dyDescent="0.25">
      <c r="A109" s="58"/>
      <c r="B109" s="59"/>
      <c r="C109" s="66" t="s">
        <v>192</v>
      </c>
      <c r="D109" s="61" t="s">
        <v>19</v>
      </c>
      <c r="E109" s="62"/>
      <c r="F109" s="282"/>
      <c r="G109" s="95">
        <f t="shared" si="1"/>
        <v>251.19999999999936</v>
      </c>
      <c r="H109" s="96"/>
      <c r="I109" s="99"/>
    </row>
    <row r="110" spans="1:9" ht="18" customHeight="1" x14ac:dyDescent="0.25">
      <c r="A110" s="58"/>
      <c r="B110" s="59"/>
      <c r="C110" s="66" t="s">
        <v>192</v>
      </c>
      <c r="D110" s="61" t="s">
        <v>19</v>
      </c>
      <c r="E110" s="62"/>
      <c r="F110" s="282"/>
      <c r="G110" s="95">
        <f t="shared" si="1"/>
        <v>251.19999999999936</v>
      </c>
      <c r="H110" s="96"/>
      <c r="I110" s="99"/>
    </row>
    <row r="111" spans="1:9" ht="18" customHeight="1" x14ac:dyDescent="0.25">
      <c r="A111" s="58"/>
      <c r="B111" s="59"/>
      <c r="C111" s="66" t="s">
        <v>192</v>
      </c>
      <c r="D111" s="61" t="s">
        <v>19</v>
      </c>
      <c r="E111" s="62"/>
      <c r="F111" s="282"/>
      <c r="G111" s="95">
        <f t="shared" si="1"/>
        <v>251.19999999999936</v>
      </c>
      <c r="H111" s="96"/>
      <c r="I111" s="99"/>
    </row>
    <row r="112" spans="1:9" ht="18" customHeight="1" x14ac:dyDescent="0.25">
      <c r="A112" s="58"/>
      <c r="B112" s="59"/>
      <c r="C112" s="66" t="s">
        <v>192</v>
      </c>
      <c r="D112" s="61" t="s">
        <v>19</v>
      </c>
      <c r="E112" s="62"/>
      <c r="F112" s="282"/>
      <c r="G112" s="95">
        <f t="shared" si="1"/>
        <v>251.19999999999936</v>
      </c>
      <c r="H112" s="96"/>
      <c r="I112" s="99"/>
    </row>
    <row r="113" spans="1:9" ht="18" customHeight="1" x14ac:dyDescent="0.25">
      <c r="A113" s="58"/>
      <c r="B113" s="59"/>
      <c r="C113" s="66" t="s">
        <v>192</v>
      </c>
      <c r="D113" s="61" t="s">
        <v>19</v>
      </c>
      <c r="E113" s="62"/>
      <c r="F113" s="282"/>
      <c r="G113" s="95">
        <f t="shared" si="1"/>
        <v>251.19999999999936</v>
      </c>
      <c r="H113" s="96"/>
      <c r="I113" s="99"/>
    </row>
    <row r="114" spans="1:9" ht="18" customHeight="1" x14ac:dyDescent="0.25">
      <c r="A114" s="58"/>
      <c r="B114" s="59"/>
      <c r="C114" s="66" t="s">
        <v>192</v>
      </c>
      <c r="D114" s="61" t="s">
        <v>19</v>
      </c>
      <c r="E114" s="62"/>
      <c r="F114" s="282"/>
      <c r="G114" s="95">
        <f t="shared" si="1"/>
        <v>251.19999999999936</v>
      </c>
      <c r="H114" s="96"/>
      <c r="I114" s="99"/>
    </row>
    <row r="115" spans="1:9" ht="18" customHeight="1" x14ac:dyDescent="0.25">
      <c r="A115" s="58"/>
      <c r="B115" s="59"/>
      <c r="C115" s="66" t="s">
        <v>192</v>
      </c>
      <c r="D115" s="61" t="s">
        <v>19</v>
      </c>
      <c r="E115" s="62"/>
      <c r="F115" s="282"/>
      <c r="G115" s="95">
        <f t="shared" si="1"/>
        <v>251.19999999999936</v>
      </c>
      <c r="H115" s="96"/>
      <c r="I115" s="99"/>
    </row>
    <row r="116" spans="1:9" ht="18" customHeight="1" x14ac:dyDescent="0.25">
      <c r="A116" s="58"/>
      <c r="B116" s="59"/>
      <c r="C116" s="66" t="s">
        <v>192</v>
      </c>
      <c r="D116" s="61" t="s">
        <v>19</v>
      </c>
      <c r="E116" s="62"/>
      <c r="F116" s="282"/>
      <c r="G116" s="95">
        <f t="shared" si="1"/>
        <v>251.19999999999936</v>
      </c>
      <c r="H116" s="96"/>
      <c r="I116" s="99"/>
    </row>
    <row r="117" spans="1:9" ht="18" customHeight="1" x14ac:dyDescent="0.25">
      <c r="A117" s="58"/>
      <c r="B117" s="59"/>
      <c r="C117" s="66" t="s">
        <v>192</v>
      </c>
      <c r="D117" s="61" t="s">
        <v>19</v>
      </c>
      <c r="E117" s="62"/>
      <c r="F117" s="282"/>
      <c r="G117" s="95">
        <f t="shared" si="1"/>
        <v>251.19999999999936</v>
      </c>
      <c r="H117" s="96"/>
      <c r="I117" s="99"/>
    </row>
    <row r="118" spans="1:9" ht="18" customHeight="1" x14ac:dyDescent="0.25">
      <c r="A118" s="58"/>
      <c r="B118" s="59"/>
      <c r="C118" s="66" t="s">
        <v>192</v>
      </c>
      <c r="D118" s="61" t="s">
        <v>19</v>
      </c>
      <c r="E118" s="62"/>
      <c r="F118" s="282"/>
      <c r="G118" s="95">
        <f t="shared" si="1"/>
        <v>251.19999999999936</v>
      </c>
      <c r="H118" s="96"/>
      <c r="I118" s="99"/>
    </row>
    <row r="119" spans="1:9" ht="18" customHeight="1" x14ac:dyDescent="0.25">
      <c r="A119" s="58"/>
      <c r="B119" s="59"/>
      <c r="C119" s="66" t="s">
        <v>192</v>
      </c>
      <c r="D119" s="61" t="s">
        <v>19</v>
      </c>
      <c r="E119" s="62"/>
      <c r="F119" s="282"/>
      <c r="G119" s="95">
        <f t="shared" si="1"/>
        <v>251.19999999999936</v>
      </c>
      <c r="H119" s="96"/>
      <c r="I119" s="99"/>
    </row>
    <row r="120" spans="1:9" ht="18" customHeight="1" x14ac:dyDescent="0.25">
      <c r="A120" s="58"/>
      <c r="B120" s="59"/>
      <c r="C120" s="66" t="s">
        <v>192</v>
      </c>
      <c r="D120" s="61" t="s">
        <v>19</v>
      </c>
      <c r="E120" s="62"/>
      <c r="F120" s="282"/>
      <c r="G120" s="95">
        <f t="shared" si="1"/>
        <v>251.19999999999936</v>
      </c>
      <c r="H120" s="96"/>
      <c r="I120" s="99"/>
    </row>
    <row r="121" spans="1:9" ht="18" customHeight="1" x14ac:dyDescent="0.25">
      <c r="A121" s="58"/>
      <c r="B121" s="59"/>
      <c r="C121" s="66" t="s">
        <v>192</v>
      </c>
      <c r="D121" s="61" t="s">
        <v>19</v>
      </c>
      <c r="E121" s="62"/>
      <c r="F121" s="282"/>
      <c r="G121" s="95">
        <f t="shared" si="1"/>
        <v>251.19999999999936</v>
      </c>
      <c r="H121" s="96"/>
      <c r="I121" s="99"/>
    </row>
    <row r="122" spans="1:9" ht="18" customHeight="1" x14ac:dyDescent="0.25">
      <c r="A122" s="58"/>
      <c r="B122" s="59"/>
      <c r="C122" s="66" t="s">
        <v>192</v>
      </c>
      <c r="D122" s="61" t="s">
        <v>19</v>
      </c>
      <c r="E122" s="62"/>
      <c r="F122" s="282"/>
      <c r="G122" s="95">
        <f t="shared" si="1"/>
        <v>251.19999999999936</v>
      </c>
      <c r="H122" s="96"/>
      <c r="I122" s="99"/>
    </row>
    <row r="123" spans="1:9" ht="18" customHeight="1" x14ac:dyDescent="0.25">
      <c r="A123" s="58"/>
      <c r="B123" s="59"/>
      <c r="C123" s="66" t="s">
        <v>192</v>
      </c>
      <c r="D123" s="61" t="s">
        <v>19</v>
      </c>
      <c r="E123" s="62"/>
      <c r="F123" s="282"/>
      <c r="G123" s="95">
        <f t="shared" si="1"/>
        <v>251.19999999999936</v>
      </c>
      <c r="H123" s="96"/>
      <c r="I123" s="99"/>
    </row>
    <row r="124" spans="1:9" ht="18" customHeight="1" x14ac:dyDescent="0.25">
      <c r="A124" s="58"/>
      <c r="B124" s="59"/>
      <c r="C124" s="66" t="s">
        <v>192</v>
      </c>
      <c r="D124" s="61" t="s">
        <v>19</v>
      </c>
      <c r="E124" s="62"/>
      <c r="F124" s="282"/>
      <c r="G124" s="95">
        <f t="shared" si="1"/>
        <v>251.19999999999936</v>
      </c>
      <c r="H124" s="96"/>
      <c r="I124" s="99"/>
    </row>
    <row r="125" spans="1:9" ht="18" customHeight="1" x14ac:dyDescent="0.25">
      <c r="A125" s="58"/>
      <c r="B125" s="59"/>
      <c r="C125" s="66" t="s">
        <v>192</v>
      </c>
      <c r="D125" s="61" t="s">
        <v>19</v>
      </c>
      <c r="E125" s="62"/>
      <c r="F125" s="282"/>
      <c r="G125" s="95">
        <f t="shared" si="1"/>
        <v>251.19999999999936</v>
      </c>
      <c r="H125" s="96"/>
      <c r="I125" s="99"/>
    </row>
    <row r="126" spans="1:9" ht="18" customHeight="1" x14ac:dyDescent="0.25">
      <c r="A126" s="58"/>
      <c r="B126" s="59"/>
      <c r="C126" s="66" t="s">
        <v>192</v>
      </c>
      <c r="D126" s="61" t="s">
        <v>19</v>
      </c>
      <c r="E126" s="62"/>
      <c r="F126" s="282"/>
      <c r="G126" s="95">
        <f t="shared" si="1"/>
        <v>251.19999999999936</v>
      </c>
      <c r="H126" s="96"/>
      <c r="I126" s="99"/>
    </row>
    <row r="127" spans="1:9" ht="18" customHeight="1" x14ac:dyDescent="0.25">
      <c r="A127" s="58"/>
      <c r="B127" s="59"/>
      <c r="C127" s="66" t="s">
        <v>192</v>
      </c>
      <c r="D127" s="61" t="s">
        <v>19</v>
      </c>
      <c r="E127" s="62"/>
      <c r="F127" s="282"/>
      <c r="G127" s="95">
        <f t="shared" si="1"/>
        <v>251.19999999999936</v>
      </c>
      <c r="H127" s="96"/>
      <c r="I127" s="99"/>
    </row>
    <row r="128" spans="1:9" ht="18" customHeight="1" x14ac:dyDescent="0.25">
      <c r="A128" s="58"/>
      <c r="B128" s="59"/>
      <c r="C128" s="66" t="s">
        <v>192</v>
      </c>
      <c r="D128" s="61" t="s">
        <v>19</v>
      </c>
      <c r="E128" s="62"/>
      <c r="F128" s="282"/>
      <c r="G128" s="95">
        <f t="shared" si="1"/>
        <v>251.19999999999936</v>
      </c>
      <c r="H128" s="96"/>
      <c r="I128" s="99"/>
    </row>
    <row r="129" spans="1:9" ht="18" customHeight="1" x14ac:dyDescent="0.25">
      <c r="A129" s="58"/>
      <c r="B129" s="59"/>
      <c r="C129" s="66" t="s">
        <v>192</v>
      </c>
      <c r="D129" s="61" t="s">
        <v>19</v>
      </c>
      <c r="E129" s="62"/>
      <c r="F129" s="282"/>
      <c r="G129" s="95">
        <f t="shared" si="1"/>
        <v>251.19999999999936</v>
      </c>
      <c r="H129" s="96"/>
      <c r="I129" s="99"/>
    </row>
    <row r="130" spans="1:9" ht="18" customHeight="1" x14ac:dyDescent="0.25">
      <c r="A130" s="58"/>
      <c r="B130" s="59"/>
      <c r="C130" s="66" t="s">
        <v>192</v>
      </c>
      <c r="D130" s="61" t="s">
        <v>19</v>
      </c>
      <c r="E130" s="62"/>
      <c r="F130" s="282"/>
      <c r="G130" s="95">
        <f t="shared" si="1"/>
        <v>251.19999999999936</v>
      </c>
      <c r="H130" s="96"/>
      <c r="I130" s="99"/>
    </row>
    <row r="131" spans="1:9" ht="18" customHeight="1" x14ac:dyDescent="0.25">
      <c r="A131" s="58"/>
      <c r="B131" s="59"/>
      <c r="C131" s="66" t="s">
        <v>192</v>
      </c>
      <c r="D131" s="61" t="s">
        <v>19</v>
      </c>
      <c r="E131" s="62"/>
      <c r="F131" s="282"/>
      <c r="G131" s="95">
        <f t="shared" si="1"/>
        <v>251.19999999999936</v>
      </c>
      <c r="H131" s="96"/>
      <c r="I131" s="99"/>
    </row>
    <row r="132" spans="1:9" ht="18" customHeight="1" x14ac:dyDescent="0.25">
      <c r="A132" s="58"/>
      <c r="B132" s="59"/>
      <c r="C132" s="66" t="s">
        <v>192</v>
      </c>
      <c r="D132" s="61" t="s">
        <v>19</v>
      </c>
      <c r="E132" s="62"/>
      <c r="F132" s="282"/>
      <c r="G132" s="95">
        <f t="shared" si="1"/>
        <v>251.19999999999936</v>
      </c>
      <c r="H132" s="96"/>
      <c r="I132" s="99"/>
    </row>
    <row r="133" spans="1:9" ht="18" customHeight="1" x14ac:dyDescent="0.25">
      <c r="A133" s="58"/>
      <c r="B133" s="59"/>
      <c r="C133" s="66" t="s">
        <v>192</v>
      </c>
      <c r="D133" s="61" t="s">
        <v>19</v>
      </c>
      <c r="E133" s="62"/>
      <c r="F133" s="282"/>
      <c r="G133" s="95">
        <f t="shared" si="1"/>
        <v>251.19999999999936</v>
      </c>
      <c r="H133" s="96"/>
      <c r="I133" s="99"/>
    </row>
    <row r="134" spans="1:9" ht="18" customHeight="1" x14ac:dyDescent="0.25">
      <c r="A134" s="58"/>
      <c r="B134" s="59"/>
      <c r="C134" s="66" t="s">
        <v>192</v>
      </c>
      <c r="D134" s="61" t="s">
        <v>19</v>
      </c>
      <c r="E134" s="62"/>
      <c r="F134" s="282"/>
      <c r="G134" s="95">
        <f t="shared" si="1"/>
        <v>251.19999999999936</v>
      </c>
      <c r="H134" s="96"/>
      <c r="I134" s="99"/>
    </row>
    <row r="135" spans="1:9" ht="18" customHeight="1" x14ac:dyDescent="0.25">
      <c r="A135" s="58"/>
      <c r="B135" s="59"/>
      <c r="C135" s="66" t="s">
        <v>192</v>
      </c>
      <c r="D135" s="61" t="s">
        <v>19</v>
      </c>
      <c r="E135" s="62"/>
      <c r="F135" s="282"/>
      <c r="G135" s="95">
        <f t="shared" si="1"/>
        <v>251.19999999999936</v>
      </c>
      <c r="H135" s="96"/>
      <c r="I135" s="99"/>
    </row>
    <row r="136" spans="1:9" ht="18" customHeight="1" x14ac:dyDescent="0.25">
      <c r="A136" s="58"/>
      <c r="B136" s="59"/>
      <c r="C136" s="66" t="s">
        <v>192</v>
      </c>
      <c r="D136" s="61" t="s">
        <v>19</v>
      </c>
      <c r="E136" s="62"/>
      <c r="F136" s="282"/>
      <c r="G136" s="95">
        <f t="shared" si="1"/>
        <v>251.19999999999936</v>
      </c>
      <c r="H136" s="96"/>
      <c r="I136" s="99"/>
    </row>
    <row r="137" spans="1:9" ht="18" customHeight="1" x14ac:dyDescent="0.25">
      <c r="A137" s="58"/>
      <c r="B137" s="59"/>
      <c r="C137" s="66" t="s">
        <v>192</v>
      </c>
      <c r="D137" s="61" t="s">
        <v>19</v>
      </c>
      <c r="E137" s="62"/>
      <c r="F137" s="282"/>
      <c r="G137" s="95">
        <f t="shared" si="1"/>
        <v>251.19999999999936</v>
      </c>
      <c r="H137" s="96"/>
      <c r="I137" s="99"/>
    </row>
    <row r="138" spans="1:9" ht="18" customHeight="1" x14ac:dyDescent="0.25">
      <c r="A138" s="58"/>
      <c r="B138" s="59"/>
      <c r="C138" s="66" t="s">
        <v>192</v>
      </c>
      <c r="D138" s="65" t="s">
        <v>19</v>
      </c>
      <c r="E138" s="62"/>
      <c r="F138" s="282"/>
      <c r="G138" s="95">
        <f t="shared" si="1"/>
        <v>251.19999999999936</v>
      </c>
      <c r="H138" s="96"/>
      <c r="I138" s="99"/>
    </row>
    <row r="139" spans="1:9" ht="18" customHeight="1" x14ac:dyDescent="0.25">
      <c r="A139" s="58"/>
      <c r="B139" s="59"/>
      <c r="C139" s="66" t="s">
        <v>192</v>
      </c>
      <c r="D139" s="65" t="s">
        <v>19</v>
      </c>
      <c r="E139" s="62"/>
      <c r="F139" s="282"/>
      <c r="G139" s="95">
        <f t="shared" si="1"/>
        <v>251.19999999999936</v>
      </c>
      <c r="H139" s="96"/>
      <c r="I139" s="99"/>
    </row>
    <row r="140" spans="1:9" ht="18" customHeight="1" x14ac:dyDescent="0.25">
      <c r="A140" s="58"/>
      <c r="B140" s="59"/>
      <c r="C140" s="66" t="s">
        <v>192</v>
      </c>
      <c r="D140" s="65" t="s">
        <v>19</v>
      </c>
      <c r="E140" s="62"/>
      <c r="F140" s="282"/>
      <c r="G140" s="95">
        <f t="shared" ref="G140:G154" si="2">+G139+E140-F140</f>
        <v>251.19999999999936</v>
      </c>
      <c r="H140" s="96"/>
      <c r="I140" s="99"/>
    </row>
    <row r="141" spans="1:9" ht="18" customHeight="1" x14ac:dyDescent="0.25">
      <c r="A141" s="58"/>
      <c r="B141" s="59"/>
      <c r="C141" s="66" t="s">
        <v>192</v>
      </c>
      <c r="D141" s="65" t="s">
        <v>19</v>
      </c>
      <c r="E141" s="62"/>
      <c r="F141" s="282"/>
      <c r="G141" s="95">
        <f t="shared" si="2"/>
        <v>251.19999999999936</v>
      </c>
      <c r="H141" s="96"/>
      <c r="I141" s="99"/>
    </row>
    <row r="142" spans="1:9" ht="18" customHeight="1" x14ac:dyDescent="0.25">
      <c r="A142" s="58"/>
      <c r="B142" s="59"/>
      <c r="C142" s="66" t="s">
        <v>192</v>
      </c>
      <c r="D142" s="65" t="s">
        <v>19</v>
      </c>
      <c r="E142" s="62"/>
      <c r="F142" s="282"/>
      <c r="G142" s="95">
        <f t="shared" si="2"/>
        <v>251.19999999999936</v>
      </c>
      <c r="H142" s="96"/>
      <c r="I142" s="99"/>
    </row>
    <row r="143" spans="1:9" ht="18" customHeight="1" x14ac:dyDescent="0.25">
      <c r="A143" s="58"/>
      <c r="B143" s="59"/>
      <c r="C143" s="66" t="s">
        <v>192</v>
      </c>
      <c r="D143" s="65" t="s">
        <v>19</v>
      </c>
      <c r="E143" s="62"/>
      <c r="F143" s="282"/>
      <c r="G143" s="95">
        <f t="shared" si="2"/>
        <v>251.19999999999936</v>
      </c>
      <c r="H143" s="96"/>
      <c r="I143" s="99"/>
    </row>
    <row r="144" spans="1:9" ht="18" customHeight="1" x14ac:dyDescent="0.25">
      <c r="A144" s="58"/>
      <c r="B144" s="59"/>
      <c r="C144" s="66" t="s">
        <v>192</v>
      </c>
      <c r="D144" s="65" t="s">
        <v>19</v>
      </c>
      <c r="E144" s="62"/>
      <c r="F144" s="282"/>
      <c r="G144" s="95">
        <f t="shared" si="2"/>
        <v>251.19999999999936</v>
      </c>
      <c r="H144" s="96"/>
      <c r="I144" s="99"/>
    </row>
    <row r="145" spans="1:9" ht="18" customHeight="1" x14ac:dyDescent="0.25">
      <c r="A145" s="58"/>
      <c r="B145" s="59"/>
      <c r="C145" s="66" t="s">
        <v>192</v>
      </c>
      <c r="D145" s="65" t="s">
        <v>19</v>
      </c>
      <c r="E145" s="62"/>
      <c r="F145" s="282"/>
      <c r="G145" s="95">
        <f t="shared" si="2"/>
        <v>251.19999999999936</v>
      </c>
      <c r="H145" s="96"/>
      <c r="I145" s="99"/>
    </row>
    <row r="146" spans="1:9" ht="18" customHeight="1" x14ac:dyDescent="0.25">
      <c r="A146" s="58"/>
      <c r="B146" s="59"/>
      <c r="C146" s="66" t="s">
        <v>192</v>
      </c>
      <c r="D146" s="65" t="s">
        <v>19</v>
      </c>
      <c r="E146" s="62"/>
      <c r="F146" s="282"/>
      <c r="G146" s="95">
        <f t="shared" si="2"/>
        <v>251.19999999999936</v>
      </c>
      <c r="H146" s="96"/>
      <c r="I146" s="99"/>
    </row>
    <row r="147" spans="1:9" ht="18" customHeight="1" x14ac:dyDescent="0.25">
      <c r="A147" s="58"/>
      <c r="B147" s="59"/>
      <c r="C147" s="66" t="s">
        <v>192</v>
      </c>
      <c r="D147" s="65" t="s">
        <v>19</v>
      </c>
      <c r="E147" s="62"/>
      <c r="F147" s="282"/>
      <c r="G147" s="95">
        <f t="shared" si="2"/>
        <v>251.19999999999936</v>
      </c>
      <c r="H147" s="96"/>
      <c r="I147" s="99"/>
    </row>
    <row r="148" spans="1:9" ht="18" customHeight="1" x14ac:dyDescent="0.25">
      <c r="A148" s="58"/>
      <c r="B148" s="59"/>
      <c r="C148" s="66" t="s">
        <v>192</v>
      </c>
      <c r="D148" s="65" t="s">
        <v>19</v>
      </c>
      <c r="E148" s="62"/>
      <c r="F148" s="282"/>
      <c r="G148" s="95">
        <f t="shared" si="2"/>
        <v>251.19999999999936</v>
      </c>
      <c r="H148" s="96"/>
      <c r="I148" s="99"/>
    </row>
    <row r="149" spans="1:9" ht="18" customHeight="1" x14ac:dyDescent="0.25">
      <c r="A149" s="58"/>
      <c r="B149" s="59"/>
      <c r="C149" s="66" t="s">
        <v>192</v>
      </c>
      <c r="D149" s="65" t="s">
        <v>19</v>
      </c>
      <c r="E149" s="62"/>
      <c r="F149" s="282"/>
      <c r="G149" s="95">
        <f t="shared" si="2"/>
        <v>251.19999999999936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251.19999999999936</v>
      </c>
      <c r="H150" s="96"/>
      <c r="I150" s="99"/>
    </row>
    <row r="151" spans="1:9" ht="18" customHeight="1" x14ac:dyDescent="0.25">
      <c r="A151" s="58"/>
      <c r="B151" s="59"/>
      <c r="C151" s="66"/>
      <c r="D151" s="65" t="s">
        <v>19</v>
      </c>
      <c r="E151" s="62"/>
      <c r="F151" s="282"/>
      <c r="G151" s="95">
        <f t="shared" si="2"/>
        <v>251.19999999999936</v>
      </c>
      <c r="H151" s="96"/>
      <c r="I151" s="99"/>
    </row>
    <row r="152" spans="1:9" ht="18" customHeight="1" x14ac:dyDescent="0.25">
      <c r="A152" s="58"/>
      <c r="B152" s="59"/>
      <c r="C152" s="66"/>
      <c r="D152" s="65" t="s">
        <v>19</v>
      </c>
      <c r="E152" s="62"/>
      <c r="F152" s="282"/>
      <c r="G152" s="95">
        <f t="shared" si="2"/>
        <v>251.19999999999936</v>
      </c>
      <c r="H152" s="104"/>
      <c r="I152" s="99"/>
    </row>
    <row r="153" spans="1:9" x14ac:dyDescent="0.25">
      <c r="A153" s="65"/>
      <c r="B153" s="59"/>
      <c r="C153" s="105"/>
      <c r="D153" s="65" t="s">
        <v>19</v>
      </c>
      <c r="E153" s="289"/>
      <c r="F153" s="283"/>
      <c r="G153" s="95">
        <f t="shared" si="2"/>
        <v>251.19999999999936</v>
      </c>
      <c r="H153" s="106"/>
      <c r="I153" s="86"/>
    </row>
    <row r="154" spans="1:9" x14ac:dyDescent="0.25">
      <c r="A154" s="65"/>
      <c r="B154" s="73"/>
      <c r="C154" s="58"/>
      <c r="D154" s="65" t="s">
        <v>19</v>
      </c>
      <c r="E154" s="290"/>
      <c r="F154" s="284"/>
      <c r="G154" s="95">
        <f t="shared" si="2"/>
        <v>251.19999999999936</v>
      </c>
      <c r="H154" s="107"/>
      <c r="I154" s="86"/>
    </row>
    <row r="155" spans="1:9" x14ac:dyDescent="0.25">
      <c r="A155" s="58"/>
      <c r="B155" s="58"/>
      <c r="C155" s="81" t="s">
        <v>13</v>
      </c>
      <c r="D155" s="65"/>
      <c r="E155" s="285">
        <f>SUM(E9:E154)</f>
        <v>0</v>
      </c>
      <c r="F155" s="285">
        <f>SUM(F9:F154)</f>
        <v>385.10000000000014</v>
      </c>
      <c r="G155" s="320">
        <f>E155-F155+G8</f>
        <v>243.89999999999986</v>
      </c>
      <c r="H155" s="108"/>
      <c r="I155" s="109"/>
    </row>
  </sheetData>
  <mergeCells count="1">
    <mergeCell ref="A4:I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719C-8710-4F2E-803F-8ED1AF2A7F23}">
  <sheetPr codeName="Sheet17"/>
  <dimension ref="A1:N154"/>
  <sheetViews>
    <sheetView workbookViewId="0">
      <selection activeCell="F13" sqref="F13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18.1406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39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/>
      <c r="H8" s="92"/>
      <c r="I8" s="93"/>
    </row>
    <row r="9" spans="1:10" ht="18" customHeight="1" x14ac:dyDescent="0.25">
      <c r="A9" s="58"/>
      <c r="B9" s="59">
        <v>45852</v>
      </c>
      <c r="C9" s="66" t="s">
        <v>419</v>
      </c>
      <c r="D9" s="61" t="s">
        <v>19</v>
      </c>
      <c r="E9" s="62">
        <v>57</v>
      </c>
      <c r="F9" s="62">
        <v>7</v>
      </c>
      <c r="G9" s="95">
        <f>+G8+E9-F9</f>
        <v>50</v>
      </c>
      <c r="H9" s="96" t="s">
        <v>94</v>
      </c>
      <c r="I9" s="96" t="s">
        <v>213</v>
      </c>
    </row>
    <row r="10" spans="1:10" ht="18" customHeight="1" x14ac:dyDescent="0.25">
      <c r="A10" s="58"/>
      <c r="B10" s="59">
        <v>45854</v>
      </c>
      <c r="C10" s="66" t="s">
        <v>419</v>
      </c>
      <c r="D10" s="61" t="s">
        <v>19</v>
      </c>
      <c r="E10" s="62"/>
      <c r="F10" s="97">
        <v>2</v>
      </c>
      <c r="G10" s="95">
        <f t="shared" ref="G10:G73" si="0">+G9+E10-F10</f>
        <v>48</v>
      </c>
      <c r="H10" s="96"/>
      <c r="I10" s="96"/>
    </row>
    <row r="11" spans="1:10" ht="18" customHeight="1" x14ac:dyDescent="0.25">
      <c r="A11" s="58"/>
      <c r="B11" s="70">
        <v>45855</v>
      </c>
      <c r="C11" s="66" t="s">
        <v>419</v>
      </c>
      <c r="D11" s="61" t="s">
        <v>19</v>
      </c>
      <c r="E11" s="62"/>
      <c r="F11" s="97">
        <v>2.2000000000000002</v>
      </c>
      <c r="G11" s="95">
        <f t="shared" si="0"/>
        <v>45.8</v>
      </c>
      <c r="H11" s="96"/>
      <c r="I11" s="96"/>
    </row>
    <row r="12" spans="1:10" ht="18" customHeight="1" x14ac:dyDescent="0.25">
      <c r="A12" s="58"/>
      <c r="B12" s="59">
        <v>45856</v>
      </c>
      <c r="C12" s="66" t="s">
        <v>419</v>
      </c>
      <c r="D12" s="61" t="s">
        <v>19</v>
      </c>
      <c r="E12" s="62"/>
      <c r="F12" s="97">
        <v>10</v>
      </c>
      <c r="G12" s="95">
        <f t="shared" si="0"/>
        <v>35.799999999999997</v>
      </c>
      <c r="H12" s="96"/>
      <c r="I12" s="96"/>
    </row>
    <row r="13" spans="1:10" ht="18" customHeight="1" x14ac:dyDescent="0.25">
      <c r="A13" s="58"/>
      <c r="B13" s="59"/>
      <c r="C13" s="66" t="s">
        <v>419</v>
      </c>
      <c r="D13" s="61" t="s">
        <v>19</v>
      </c>
      <c r="E13" s="62"/>
      <c r="F13" s="97"/>
      <c r="G13" s="95">
        <f>+G12+E13-F13</f>
        <v>35.799999999999997</v>
      </c>
      <c r="H13" s="96"/>
      <c r="I13" s="96"/>
    </row>
    <row r="14" spans="1:10" ht="18" customHeight="1" x14ac:dyDescent="0.25">
      <c r="A14" s="58"/>
      <c r="B14" s="59"/>
      <c r="C14" s="66" t="s">
        <v>419</v>
      </c>
      <c r="D14" s="61" t="s">
        <v>19</v>
      </c>
      <c r="E14" s="62"/>
      <c r="F14" s="97"/>
      <c r="G14" s="95">
        <f t="shared" si="0"/>
        <v>35.799999999999997</v>
      </c>
      <c r="H14" s="96" t="s">
        <v>129</v>
      </c>
      <c r="I14" s="96" t="s">
        <v>90</v>
      </c>
    </row>
    <row r="15" spans="1:10" ht="18" customHeight="1" x14ac:dyDescent="0.25">
      <c r="A15" s="58"/>
      <c r="B15" s="59"/>
      <c r="C15" s="66" t="s">
        <v>419</v>
      </c>
      <c r="D15" s="61" t="s">
        <v>19</v>
      </c>
      <c r="E15" s="62"/>
      <c r="F15" s="97"/>
      <c r="G15" s="95">
        <f t="shared" si="0"/>
        <v>35.799999999999997</v>
      </c>
      <c r="H15" s="96"/>
      <c r="I15" s="96"/>
    </row>
    <row r="16" spans="1:10" ht="18" customHeight="1" x14ac:dyDescent="0.25">
      <c r="A16" s="58"/>
      <c r="B16" s="59"/>
      <c r="C16" s="66" t="s">
        <v>419</v>
      </c>
      <c r="D16" s="61" t="s">
        <v>19</v>
      </c>
      <c r="E16" s="62"/>
      <c r="F16" s="97"/>
      <c r="G16" s="95">
        <f t="shared" si="0"/>
        <v>35.799999999999997</v>
      </c>
      <c r="H16" s="96"/>
      <c r="I16" s="96"/>
      <c r="J16" s="72"/>
    </row>
    <row r="17" spans="1:14" ht="18" customHeight="1" x14ac:dyDescent="0.25">
      <c r="A17" s="58"/>
      <c r="B17" s="98"/>
      <c r="C17" s="66" t="s">
        <v>419</v>
      </c>
      <c r="D17" s="61" t="s">
        <v>19</v>
      </c>
      <c r="E17" s="62"/>
      <c r="F17" s="62"/>
      <c r="G17" s="95">
        <f t="shared" si="0"/>
        <v>35.799999999999997</v>
      </c>
      <c r="H17" s="96"/>
      <c r="I17" s="96"/>
      <c r="J17" s="72"/>
    </row>
    <row r="18" spans="1:14" ht="18" customHeight="1" x14ac:dyDescent="0.25">
      <c r="A18" s="58"/>
      <c r="B18" s="59"/>
      <c r="C18" s="66" t="s">
        <v>419</v>
      </c>
      <c r="D18" s="61" t="s">
        <v>19</v>
      </c>
      <c r="E18" s="62"/>
      <c r="F18" s="97"/>
      <c r="G18" s="95">
        <f t="shared" si="0"/>
        <v>35.799999999999997</v>
      </c>
      <c r="H18" s="96"/>
      <c r="I18" s="96"/>
      <c r="J18" s="72"/>
    </row>
    <row r="19" spans="1:14" ht="18" customHeight="1" x14ac:dyDescent="0.25">
      <c r="A19" s="58"/>
      <c r="B19" s="59"/>
      <c r="C19" s="66" t="s">
        <v>419</v>
      </c>
      <c r="D19" s="61" t="s">
        <v>19</v>
      </c>
      <c r="E19" s="62"/>
      <c r="F19" s="97"/>
      <c r="G19" s="95">
        <f t="shared" si="0"/>
        <v>35.799999999999997</v>
      </c>
      <c r="H19" s="96"/>
      <c r="I19" s="96"/>
      <c r="J19" s="72"/>
    </row>
    <row r="20" spans="1:14" ht="18" customHeight="1" x14ac:dyDescent="0.25">
      <c r="A20" s="58"/>
      <c r="B20" s="59"/>
      <c r="C20" s="66" t="s">
        <v>419</v>
      </c>
      <c r="D20" s="61" t="s">
        <v>19</v>
      </c>
      <c r="E20" s="62"/>
      <c r="F20" s="97"/>
      <c r="G20" s="95">
        <f t="shared" si="0"/>
        <v>35.799999999999997</v>
      </c>
      <c r="H20" s="96"/>
      <c r="I20" s="96"/>
      <c r="J20" s="72"/>
    </row>
    <row r="21" spans="1:14" ht="18" customHeight="1" x14ac:dyDescent="0.25">
      <c r="A21" s="58"/>
      <c r="B21" s="59"/>
      <c r="C21" s="66" t="s">
        <v>419</v>
      </c>
      <c r="D21" s="61" t="s">
        <v>19</v>
      </c>
      <c r="E21" s="62"/>
      <c r="F21" s="97"/>
      <c r="G21" s="95">
        <f t="shared" si="0"/>
        <v>35.799999999999997</v>
      </c>
      <c r="H21" s="96"/>
      <c r="I21" s="96"/>
      <c r="J21" s="72"/>
    </row>
    <row r="22" spans="1:14" ht="18" customHeight="1" x14ac:dyDescent="0.25">
      <c r="A22" s="58"/>
      <c r="B22" s="59"/>
      <c r="C22" s="66" t="s">
        <v>419</v>
      </c>
      <c r="D22" s="61" t="s">
        <v>19</v>
      </c>
      <c r="E22" s="62"/>
      <c r="F22" s="62"/>
      <c r="G22" s="95">
        <f t="shared" si="0"/>
        <v>35.799999999999997</v>
      </c>
      <c r="H22" s="96"/>
      <c r="I22" s="96"/>
      <c r="J22" s="72"/>
      <c r="N22" s="55">
        <f>4*16+12</f>
        <v>76</v>
      </c>
    </row>
    <row r="23" spans="1:14" ht="18" customHeight="1" x14ac:dyDescent="0.25">
      <c r="A23" s="58"/>
      <c r="B23" s="59"/>
      <c r="C23" s="66" t="s">
        <v>419</v>
      </c>
      <c r="D23" s="61" t="s">
        <v>19</v>
      </c>
      <c r="E23" s="62"/>
      <c r="F23" s="62"/>
      <c r="G23" s="95">
        <f t="shared" si="0"/>
        <v>35.799999999999997</v>
      </c>
      <c r="H23" s="96"/>
      <c r="I23" s="96"/>
      <c r="J23" s="72"/>
      <c r="N23" s="55">
        <f>+N22*12</f>
        <v>912</v>
      </c>
    </row>
    <row r="24" spans="1:14" ht="18" customHeight="1" x14ac:dyDescent="0.25">
      <c r="A24" s="58"/>
      <c r="B24" s="59"/>
      <c r="C24" s="66" t="s">
        <v>419</v>
      </c>
      <c r="D24" s="61" t="s">
        <v>19</v>
      </c>
      <c r="E24" s="62"/>
      <c r="F24" s="97"/>
      <c r="G24" s="95">
        <f t="shared" si="0"/>
        <v>35.799999999999997</v>
      </c>
      <c r="H24" s="96"/>
      <c r="I24" s="96"/>
      <c r="J24" s="72"/>
      <c r="N24" s="55">
        <f>+N23*12</f>
        <v>10944</v>
      </c>
    </row>
    <row r="25" spans="1:14" ht="18" customHeight="1" x14ac:dyDescent="0.25">
      <c r="A25" s="355"/>
      <c r="B25" s="356"/>
      <c r="C25" s="66" t="s">
        <v>419</v>
      </c>
      <c r="D25" s="358" t="s">
        <v>19</v>
      </c>
      <c r="E25" s="281"/>
      <c r="F25" s="281"/>
      <c r="G25" s="95">
        <f t="shared" si="0"/>
        <v>35.799999999999997</v>
      </c>
      <c r="H25" s="354"/>
      <c r="I25" s="354"/>
      <c r="N25" s="55">
        <f>+N24*89</f>
        <v>974016</v>
      </c>
    </row>
    <row r="26" spans="1:14" ht="18" customHeight="1" x14ac:dyDescent="0.25">
      <c r="A26" s="58"/>
      <c r="B26" s="59"/>
      <c r="C26" s="66" t="s">
        <v>419</v>
      </c>
      <c r="D26" s="61" t="s">
        <v>19</v>
      </c>
      <c r="E26" s="62"/>
      <c r="F26" s="97"/>
      <c r="G26" s="95">
        <f t="shared" si="0"/>
        <v>35.799999999999997</v>
      </c>
      <c r="H26" s="96"/>
      <c r="I26" s="96"/>
      <c r="N26" s="55">
        <f>+N25/2848</f>
        <v>342</v>
      </c>
    </row>
    <row r="27" spans="1:14" ht="18" customHeight="1" x14ac:dyDescent="0.25">
      <c r="A27" s="58"/>
      <c r="B27" s="59"/>
      <c r="C27" s="66" t="s">
        <v>419</v>
      </c>
      <c r="D27" s="61" t="s">
        <v>19</v>
      </c>
      <c r="E27" s="62"/>
      <c r="F27" s="97"/>
      <c r="G27" s="95">
        <f t="shared" si="0"/>
        <v>35.799999999999997</v>
      </c>
      <c r="H27" s="96"/>
      <c r="I27" s="96"/>
    </row>
    <row r="28" spans="1:14" s="102" customFormat="1" ht="18" customHeight="1" x14ac:dyDescent="0.25">
      <c r="A28" s="100"/>
      <c r="B28" s="101"/>
      <c r="C28" s="66" t="s">
        <v>419</v>
      </c>
      <c r="D28" s="61" t="s">
        <v>19</v>
      </c>
      <c r="E28" s="288"/>
      <c r="F28" s="281"/>
      <c r="G28" s="95">
        <f t="shared" si="0"/>
        <v>35.799999999999997</v>
      </c>
      <c r="H28" s="96"/>
      <c r="I28" s="96"/>
    </row>
    <row r="29" spans="1:14" ht="18" customHeight="1" x14ac:dyDescent="0.25">
      <c r="A29" s="58"/>
      <c r="B29" s="59"/>
      <c r="C29" s="66" t="s">
        <v>419</v>
      </c>
      <c r="D29" s="61" t="s">
        <v>19</v>
      </c>
      <c r="E29" s="62"/>
      <c r="F29" s="97"/>
      <c r="G29" s="95">
        <f t="shared" si="0"/>
        <v>35.799999999999997</v>
      </c>
      <c r="H29" s="96"/>
      <c r="I29" s="96"/>
    </row>
    <row r="30" spans="1:14" ht="18" customHeight="1" x14ac:dyDescent="0.25">
      <c r="A30" s="58"/>
      <c r="B30" s="59"/>
      <c r="C30" s="66" t="s">
        <v>419</v>
      </c>
      <c r="D30" s="61" t="s">
        <v>19</v>
      </c>
      <c r="E30" s="62"/>
      <c r="F30" s="62"/>
      <c r="G30" s="95">
        <f t="shared" si="0"/>
        <v>35.799999999999997</v>
      </c>
      <c r="H30" s="96"/>
      <c r="I30" s="96"/>
    </row>
    <row r="31" spans="1:14" ht="18" customHeight="1" x14ac:dyDescent="0.25">
      <c r="A31" s="58"/>
      <c r="B31" s="59"/>
      <c r="C31" s="66" t="s">
        <v>419</v>
      </c>
      <c r="D31" s="61" t="s">
        <v>19</v>
      </c>
      <c r="E31" s="62"/>
      <c r="F31" s="62"/>
      <c r="G31" s="95">
        <f t="shared" si="0"/>
        <v>35.799999999999997</v>
      </c>
      <c r="H31" s="96"/>
      <c r="I31" s="96"/>
    </row>
    <row r="32" spans="1:14" ht="18" customHeight="1" x14ac:dyDescent="0.25">
      <c r="A32" s="58"/>
      <c r="B32" s="59"/>
      <c r="C32" s="66" t="s">
        <v>419</v>
      </c>
      <c r="D32" s="61" t="s">
        <v>19</v>
      </c>
      <c r="E32" s="62"/>
      <c r="F32" s="62"/>
      <c r="G32" s="95">
        <f t="shared" si="0"/>
        <v>35.799999999999997</v>
      </c>
      <c r="H32" s="96"/>
      <c r="I32" s="96"/>
    </row>
    <row r="33" spans="1:9" ht="18" customHeight="1" x14ac:dyDescent="0.25">
      <c r="A33" s="58"/>
      <c r="B33" s="59"/>
      <c r="C33" s="66" t="s">
        <v>419</v>
      </c>
      <c r="D33" s="61" t="s">
        <v>19</v>
      </c>
      <c r="E33" s="62"/>
      <c r="F33" s="62"/>
      <c r="G33" s="95">
        <f t="shared" si="0"/>
        <v>35.799999999999997</v>
      </c>
      <c r="H33" s="96"/>
      <c r="I33" s="96"/>
    </row>
    <row r="34" spans="1:9" ht="18" customHeight="1" x14ac:dyDescent="0.25">
      <c r="A34" s="58"/>
      <c r="B34" s="59"/>
      <c r="C34" s="66" t="s">
        <v>419</v>
      </c>
      <c r="D34" s="61" t="s">
        <v>19</v>
      </c>
      <c r="E34" s="62"/>
      <c r="F34" s="62"/>
      <c r="G34" s="95">
        <f t="shared" si="0"/>
        <v>35.799999999999997</v>
      </c>
      <c r="H34" s="96"/>
      <c r="I34" s="96"/>
    </row>
    <row r="35" spans="1:9" ht="18" customHeight="1" x14ac:dyDescent="0.25">
      <c r="A35" s="58"/>
      <c r="B35" s="59"/>
      <c r="C35" s="66" t="s">
        <v>419</v>
      </c>
      <c r="D35" s="61" t="s">
        <v>19</v>
      </c>
      <c r="E35" s="62"/>
      <c r="F35" s="62"/>
      <c r="G35" s="95">
        <f t="shared" si="0"/>
        <v>35.799999999999997</v>
      </c>
      <c r="H35" s="96"/>
      <c r="I35" s="96"/>
    </row>
    <row r="36" spans="1:9" ht="18" customHeight="1" x14ac:dyDescent="0.25">
      <c r="A36" s="58"/>
      <c r="B36" s="59"/>
      <c r="C36" s="66" t="s">
        <v>419</v>
      </c>
      <c r="D36" s="61" t="s">
        <v>19</v>
      </c>
      <c r="E36" s="62"/>
      <c r="F36" s="62"/>
      <c r="G36" s="95">
        <f t="shared" si="0"/>
        <v>35.799999999999997</v>
      </c>
      <c r="H36" s="96"/>
      <c r="I36" s="96"/>
    </row>
    <row r="37" spans="1:9" ht="18" customHeight="1" x14ac:dyDescent="0.25">
      <c r="A37" s="58"/>
      <c r="B37" s="59"/>
      <c r="C37" s="66" t="s">
        <v>419</v>
      </c>
      <c r="D37" s="61" t="s">
        <v>19</v>
      </c>
      <c r="E37" s="62"/>
      <c r="F37" s="62"/>
      <c r="G37" s="95">
        <f t="shared" si="0"/>
        <v>35.799999999999997</v>
      </c>
      <c r="H37" s="96"/>
      <c r="I37" s="96"/>
    </row>
    <row r="38" spans="1:9" ht="18" customHeight="1" x14ac:dyDescent="0.25">
      <c r="A38" s="58"/>
      <c r="B38" s="59"/>
      <c r="C38" s="66" t="s">
        <v>419</v>
      </c>
      <c r="D38" s="61" t="s">
        <v>19</v>
      </c>
      <c r="E38" s="62"/>
      <c r="F38" s="62"/>
      <c r="G38" s="95">
        <f t="shared" si="0"/>
        <v>35.799999999999997</v>
      </c>
      <c r="H38" s="96"/>
      <c r="I38" s="96"/>
    </row>
    <row r="39" spans="1:9" ht="18" customHeight="1" x14ac:dyDescent="0.25">
      <c r="A39" s="58"/>
      <c r="B39" s="59"/>
      <c r="C39" s="66" t="s">
        <v>419</v>
      </c>
      <c r="D39" s="61" t="s">
        <v>19</v>
      </c>
      <c r="E39" s="62"/>
      <c r="F39" s="62"/>
      <c r="G39" s="95">
        <f t="shared" si="0"/>
        <v>35.799999999999997</v>
      </c>
      <c r="H39" s="96"/>
      <c r="I39" s="96"/>
    </row>
    <row r="40" spans="1:9" ht="18" customHeight="1" x14ac:dyDescent="0.25">
      <c r="A40" s="58"/>
      <c r="B40" s="59"/>
      <c r="C40" s="66" t="s">
        <v>419</v>
      </c>
      <c r="D40" s="61" t="s">
        <v>19</v>
      </c>
      <c r="E40" s="62"/>
      <c r="F40" s="62"/>
      <c r="G40" s="95">
        <f t="shared" si="0"/>
        <v>35.799999999999997</v>
      </c>
      <c r="H40" s="96"/>
      <c r="I40" s="96"/>
    </row>
    <row r="41" spans="1:9" ht="18" customHeight="1" x14ac:dyDescent="0.25">
      <c r="A41" s="58"/>
      <c r="B41" s="59"/>
      <c r="C41" s="66" t="s">
        <v>419</v>
      </c>
      <c r="D41" s="61" t="s">
        <v>19</v>
      </c>
      <c r="E41" s="62"/>
      <c r="F41" s="103"/>
      <c r="G41" s="95">
        <f t="shared" si="0"/>
        <v>35.799999999999997</v>
      </c>
      <c r="H41" s="96"/>
      <c r="I41" s="96" t="s">
        <v>380</v>
      </c>
    </row>
    <row r="42" spans="1:9" ht="18" customHeight="1" x14ac:dyDescent="0.25">
      <c r="A42" s="58"/>
      <c r="B42" s="59"/>
      <c r="C42" s="66" t="s">
        <v>419</v>
      </c>
      <c r="D42" s="61" t="s">
        <v>19</v>
      </c>
      <c r="E42" s="62"/>
      <c r="F42" s="103"/>
      <c r="G42" s="95">
        <f t="shared" si="0"/>
        <v>35.799999999999997</v>
      </c>
      <c r="H42" s="96"/>
      <c r="I42" s="96"/>
    </row>
    <row r="43" spans="1:9" ht="18" customHeight="1" x14ac:dyDescent="0.25">
      <c r="A43" s="58"/>
      <c r="B43" s="59"/>
      <c r="C43" s="66" t="s">
        <v>419</v>
      </c>
      <c r="D43" s="61" t="s">
        <v>19</v>
      </c>
      <c r="E43" s="62"/>
      <c r="F43" s="103"/>
      <c r="G43" s="95">
        <f t="shared" si="0"/>
        <v>35.799999999999997</v>
      </c>
      <c r="H43" s="96"/>
      <c r="I43" s="96"/>
    </row>
    <row r="44" spans="1:9" ht="18" customHeight="1" x14ac:dyDescent="0.25">
      <c r="A44" s="58"/>
      <c r="B44" s="59"/>
      <c r="C44" s="66" t="s">
        <v>419</v>
      </c>
      <c r="D44" s="61" t="s">
        <v>19</v>
      </c>
      <c r="E44" s="62"/>
      <c r="F44" s="103"/>
      <c r="G44" s="95">
        <f t="shared" si="0"/>
        <v>35.799999999999997</v>
      </c>
      <c r="H44" s="96"/>
      <c r="I44" s="96"/>
    </row>
    <row r="45" spans="1:9" ht="18" customHeight="1" x14ac:dyDescent="0.25">
      <c r="A45" s="58"/>
      <c r="B45" s="59"/>
      <c r="C45" s="66" t="s">
        <v>419</v>
      </c>
      <c r="D45" s="61" t="s">
        <v>19</v>
      </c>
      <c r="E45" s="62"/>
      <c r="F45" s="103"/>
      <c r="G45" s="95">
        <f t="shared" si="0"/>
        <v>35.799999999999997</v>
      </c>
      <c r="H45" s="96"/>
      <c r="I45" s="96"/>
    </row>
    <row r="46" spans="1:9" ht="18" customHeight="1" x14ac:dyDescent="0.25">
      <c r="A46" s="58"/>
      <c r="B46" s="98"/>
      <c r="C46" s="66" t="s">
        <v>419</v>
      </c>
      <c r="D46" s="61" t="s">
        <v>19</v>
      </c>
      <c r="E46" s="62"/>
      <c r="F46" s="103"/>
      <c r="G46" s="95">
        <f t="shared" si="0"/>
        <v>35.799999999999997</v>
      </c>
      <c r="H46" s="96"/>
      <c r="I46" s="96"/>
    </row>
    <row r="47" spans="1:9" ht="18" customHeight="1" x14ac:dyDescent="0.25">
      <c r="A47" s="58"/>
      <c r="B47" s="59"/>
      <c r="C47" s="66" t="s">
        <v>419</v>
      </c>
      <c r="D47" s="61" t="s">
        <v>19</v>
      </c>
      <c r="E47" s="62"/>
      <c r="F47" s="103"/>
      <c r="G47" s="95">
        <f t="shared" si="0"/>
        <v>35.799999999999997</v>
      </c>
      <c r="H47" s="96"/>
      <c r="I47" s="96"/>
    </row>
    <row r="48" spans="1:9" ht="18" customHeight="1" x14ac:dyDescent="0.25">
      <c r="A48" s="58"/>
      <c r="B48" s="59"/>
      <c r="C48" s="66" t="s">
        <v>419</v>
      </c>
      <c r="D48" s="61" t="s">
        <v>19</v>
      </c>
      <c r="E48" s="62"/>
      <c r="F48" s="103"/>
      <c r="G48" s="376">
        <f t="shared" si="0"/>
        <v>35.799999999999997</v>
      </c>
      <c r="H48" s="96"/>
      <c r="I48" s="96"/>
    </row>
    <row r="49" spans="1:9" ht="18" customHeight="1" x14ac:dyDescent="0.25">
      <c r="A49" s="58"/>
      <c r="B49" s="59"/>
      <c r="C49" s="66" t="s">
        <v>419</v>
      </c>
      <c r="D49" s="61" t="s">
        <v>19</v>
      </c>
      <c r="E49" s="62"/>
      <c r="F49" s="103"/>
      <c r="G49" s="95">
        <f t="shared" si="0"/>
        <v>35.799999999999997</v>
      </c>
      <c r="H49" s="96"/>
      <c r="I49" s="96"/>
    </row>
    <row r="50" spans="1:9" ht="18" customHeight="1" x14ac:dyDescent="0.25">
      <c r="A50" s="58"/>
      <c r="B50" s="59"/>
      <c r="C50" s="66" t="s">
        <v>419</v>
      </c>
      <c r="D50" s="61" t="s">
        <v>19</v>
      </c>
      <c r="E50" s="62"/>
      <c r="F50" s="103"/>
      <c r="G50" s="95">
        <f t="shared" si="0"/>
        <v>35.799999999999997</v>
      </c>
      <c r="H50" s="96"/>
      <c r="I50" s="96"/>
    </row>
    <row r="51" spans="1:9" ht="18" customHeight="1" x14ac:dyDescent="0.25">
      <c r="A51" s="58"/>
      <c r="B51" s="59"/>
      <c r="C51" s="66" t="s">
        <v>419</v>
      </c>
      <c r="D51" s="61" t="s">
        <v>19</v>
      </c>
      <c r="E51" s="62"/>
      <c r="F51" s="103"/>
      <c r="G51" s="95">
        <f t="shared" si="0"/>
        <v>35.799999999999997</v>
      </c>
      <c r="H51" s="96"/>
      <c r="I51" s="96"/>
    </row>
    <row r="52" spans="1:9" ht="18" customHeight="1" x14ac:dyDescent="0.25">
      <c r="A52" s="58"/>
      <c r="B52" s="59"/>
      <c r="C52" s="66" t="s">
        <v>419</v>
      </c>
      <c r="D52" s="61" t="s">
        <v>19</v>
      </c>
      <c r="E52" s="62"/>
      <c r="F52" s="103"/>
      <c r="G52" s="95">
        <f t="shared" si="0"/>
        <v>35.799999999999997</v>
      </c>
      <c r="H52" s="96"/>
      <c r="I52" s="96"/>
    </row>
    <row r="53" spans="1:9" ht="18" customHeight="1" x14ac:dyDescent="0.25">
      <c r="A53" s="58"/>
      <c r="B53" s="59"/>
      <c r="C53" s="66" t="s">
        <v>419</v>
      </c>
      <c r="D53" s="61" t="s">
        <v>19</v>
      </c>
      <c r="E53" s="62"/>
      <c r="F53" s="103"/>
      <c r="G53" s="95">
        <f t="shared" si="0"/>
        <v>35.799999999999997</v>
      </c>
      <c r="H53" s="96"/>
      <c r="I53" s="96"/>
    </row>
    <row r="54" spans="1:9" ht="18" customHeight="1" x14ac:dyDescent="0.25">
      <c r="A54" s="58"/>
      <c r="B54" s="59"/>
      <c r="C54" s="66" t="s">
        <v>419</v>
      </c>
      <c r="D54" s="61" t="s">
        <v>19</v>
      </c>
      <c r="E54" s="62"/>
      <c r="F54" s="103"/>
      <c r="G54" s="95">
        <f t="shared" si="0"/>
        <v>35.799999999999997</v>
      </c>
      <c r="H54" s="96"/>
      <c r="I54" s="96"/>
    </row>
    <row r="55" spans="1:9" ht="18" customHeight="1" x14ac:dyDescent="0.25">
      <c r="A55" s="58"/>
      <c r="B55" s="59"/>
      <c r="C55" s="66" t="s">
        <v>419</v>
      </c>
      <c r="D55" s="61" t="s">
        <v>19</v>
      </c>
      <c r="E55" s="62"/>
      <c r="F55" s="103"/>
      <c r="G55" s="95">
        <f t="shared" si="0"/>
        <v>35.799999999999997</v>
      </c>
      <c r="H55" s="96"/>
      <c r="I55" s="96"/>
    </row>
    <row r="56" spans="1:9" ht="18" customHeight="1" x14ac:dyDescent="0.25">
      <c r="A56" s="58"/>
      <c r="B56" s="59"/>
      <c r="C56" s="66" t="s">
        <v>419</v>
      </c>
      <c r="D56" s="61" t="s">
        <v>19</v>
      </c>
      <c r="E56" s="62"/>
      <c r="F56" s="103"/>
      <c r="G56" s="95">
        <f t="shared" si="0"/>
        <v>35.799999999999997</v>
      </c>
      <c r="H56" s="96"/>
      <c r="I56" s="96"/>
    </row>
    <row r="57" spans="1:9" ht="18" customHeight="1" x14ac:dyDescent="0.25">
      <c r="A57" s="58"/>
      <c r="B57" s="59"/>
      <c r="C57" s="66" t="s">
        <v>419</v>
      </c>
      <c r="D57" s="61" t="s">
        <v>19</v>
      </c>
      <c r="E57" s="62"/>
      <c r="F57" s="103"/>
      <c r="G57" s="95">
        <f t="shared" si="0"/>
        <v>35.799999999999997</v>
      </c>
      <c r="H57" s="96"/>
      <c r="I57" s="96"/>
    </row>
    <row r="58" spans="1:9" ht="18" customHeight="1" x14ac:dyDescent="0.25">
      <c r="A58" s="58"/>
      <c r="B58" s="59"/>
      <c r="C58" s="66" t="s">
        <v>419</v>
      </c>
      <c r="D58" s="61" t="s">
        <v>19</v>
      </c>
      <c r="E58" s="62"/>
      <c r="F58" s="103"/>
      <c r="G58" s="95">
        <f t="shared" si="0"/>
        <v>35.799999999999997</v>
      </c>
      <c r="H58" s="96"/>
      <c r="I58" s="96"/>
    </row>
    <row r="59" spans="1:9" ht="18" customHeight="1" x14ac:dyDescent="0.25">
      <c r="A59" s="58"/>
      <c r="B59" s="59"/>
      <c r="C59" s="66" t="s">
        <v>419</v>
      </c>
      <c r="D59" s="61" t="s">
        <v>19</v>
      </c>
      <c r="E59" s="62"/>
      <c r="F59" s="282"/>
      <c r="G59" s="95">
        <f t="shared" si="0"/>
        <v>35.799999999999997</v>
      </c>
      <c r="H59" s="96"/>
      <c r="I59" s="96"/>
    </row>
    <row r="60" spans="1:9" ht="18" customHeight="1" x14ac:dyDescent="0.25">
      <c r="A60" s="58"/>
      <c r="B60" s="59"/>
      <c r="C60" s="66" t="s">
        <v>419</v>
      </c>
      <c r="D60" s="61" t="s">
        <v>19</v>
      </c>
      <c r="E60" s="62"/>
      <c r="F60" s="282"/>
      <c r="G60" s="95">
        <f t="shared" si="0"/>
        <v>35.799999999999997</v>
      </c>
      <c r="H60" s="96"/>
      <c r="I60" s="96" t="s">
        <v>400</v>
      </c>
    </row>
    <row r="61" spans="1:9" ht="18" customHeight="1" x14ac:dyDescent="0.25">
      <c r="A61" s="58"/>
      <c r="B61" s="59"/>
      <c r="C61" s="66" t="s">
        <v>419</v>
      </c>
      <c r="D61" s="61" t="s">
        <v>19</v>
      </c>
      <c r="E61" s="62"/>
      <c r="F61" s="282"/>
      <c r="G61" s="95">
        <f t="shared" si="0"/>
        <v>35.799999999999997</v>
      </c>
      <c r="H61" s="96"/>
      <c r="I61" s="96"/>
    </row>
    <row r="62" spans="1:9" ht="18" customHeight="1" x14ac:dyDescent="0.25">
      <c r="A62" s="58"/>
      <c r="B62" s="59"/>
      <c r="C62" s="66" t="s">
        <v>419</v>
      </c>
      <c r="D62" s="61" t="s">
        <v>19</v>
      </c>
      <c r="E62" s="62"/>
      <c r="F62" s="282"/>
      <c r="G62" s="95">
        <f t="shared" si="0"/>
        <v>35.799999999999997</v>
      </c>
      <c r="H62" s="96"/>
      <c r="I62" s="96"/>
    </row>
    <row r="63" spans="1:9" ht="18" customHeight="1" x14ac:dyDescent="0.25">
      <c r="A63" s="58"/>
      <c r="B63" s="59"/>
      <c r="C63" s="66" t="s">
        <v>419</v>
      </c>
      <c r="D63" s="61" t="s">
        <v>19</v>
      </c>
      <c r="E63" s="62"/>
      <c r="F63" s="282"/>
      <c r="G63" s="95">
        <f t="shared" si="0"/>
        <v>35.799999999999997</v>
      </c>
      <c r="H63" s="96"/>
      <c r="I63" s="96"/>
    </row>
    <row r="64" spans="1:9" ht="18" customHeight="1" x14ac:dyDescent="0.25">
      <c r="A64" s="58"/>
      <c r="B64" s="59"/>
      <c r="C64" s="66" t="s">
        <v>419</v>
      </c>
      <c r="D64" s="61" t="s">
        <v>19</v>
      </c>
      <c r="E64" s="62"/>
      <c r="F64" s="282"/>
      <c r="G64" s="95">
        <f t="shared" si="0"/>
        <v>35.799999999999997</v>
      </c>
      <c r="H64" s="96"/>
      <c r="I64" s="96"/>
    </row>
    <row r="65" spans="1:9" ht="18" customHeight="1" x14ac:dyDescent="0.25">
      <c r="A65" s="58"/>
      <c r="B65" s="59"/>
      <c r="C65" s="66" t="s">
        <v>419</v>
      </c>
      <c r="D65" s="61" t="s">
        <v>19</v>
      </c>
      <c r="E65" s="62"/>
      <c r="F65" s="282"/>
      <c r="G65" s="95">
        <f t="shared" si="0"/>
        <v>35.799999999999997</v>
      </c>
      <c r="H65" s="96"/>
      <c r="I65" s="96"/>
    </row>
    <row r="66" spans="1:9" ht="18" customHeight="1" x14ac:dyDescent="0.25">
      <c r="A66" s="58"/>
      <c r="B66" s="59"/>
      <c r="C66" s="66" t="s">
        <v>419</v>
      </c>
      <c r="D66" s="61" t="s">
        <v>19</v>
      </c>
      <c r="E66" s="62"/>
      <c r="F66" s="282"/>
      <c r="G66" s="95">
        <f t="shared" si="0"/>
        <v>35.799999999999997</v>
      </c>
      <c r="H66" s="96"/>
      <c r="I66" s="96"/>
    </row>
    <row r="67" spans="1:9" ht="18" customHeight="1" x14ac:dyDescent="0.25">
      <c r="A67" s="58"/>
      <c r="B67" s="59"/>
      <c r="C67" s="66" t="s">
        <v>419</v>
      </c>
      <c r="D67" s="61" t="s">
        <v>19</v>
      </c>
      <c r="E67" s="62"/>
      <c r="F67" s="282"/>
      <c r="G67" s="95">
        <f t="shared" si="0"/>
        <v>35.799999999999997</v>
      </c>
      <c r="H67" s="96"/>
      <c r="I67" s="96"/>
    </row>
    <row r="68" spans="1:9" ht="18" customHeight="1" x14ac:dyDescent="0.25">
      <c r="A68" s="58"/>
      <c r="B68" s="59"/>
      <c r="C68" s="66" t="s">
        <v>419</v>
      </c>
      <c r="D68" s="61" t="s">
        <v>19</v>
      </c>
      <c r="E68" s="62"/>
      <c r="F68" s="282"/>
      <c r="G68" s="95">
        <f t="shared" si="0"/>
        <v>35.799999999999997</v>
      </c>
      <c r="H68" s="96"/>
      <c r="I68" s="96"/>
    </row>
    <row r="69" spans="1:9" ht="18" customHeight="1" x14ac:dyDescent="0.25">
      <c r="A69" s="58"/>
      <c r="B69" s="59"/>
      <c r="C69" s="66" t="s">
        <v>419</v>
      </c>
      <c r="D69" s="61" t="s">
        <v>19</v>
      </c>
      <c r="E69" s="62"/>
      <c r="F69" s="282"/>
      <c r="G69" s="95">
        <f t="shared" si="0"/>
        <v>35.799999999999997</v>
      </c>
      <c r="H69" s="96"/>
      <c r="I69" s="96"/>
    </row>
    <row r="70" spans="1:9" ht="18" customHeight="1" x14ac:dyDescent="0.25">
      <c r="A70" s="58"/>
      <c r="B70" s="59"/>
      <c r="C70" s="66" t="s">
        <v>419</v>
      </c>
      <c r="D70" s="61" t="s">
        <v>19</v>
      </c>
      <c r="E70" s="62"/>
      <c r="F70" s="282"/>
      <c r="G70" s="95">
        <f t="shared" si="0"/>
        <v>35.799999999999997</v>
      </c>
      <c r="H70" s="96" t="s">
        <v>93</v>
      </c>
      <c r="I70" s="96" t="s">
        <v>90</v>
      </c>
    </row>
    <row r="71" spans="1:9" ht="18" customHeight="1" x14ac:dyDescent="0.25">
      <c r="A71" s="58"/>
      <c r="B71" s="59"/>
      <c r="C71" s="66" t="s">
        <v>419</v>
      </c>
      <c r="D71" s="61" t="s">
        <v>19</v>
      </c>
      <c r="E71" s="62"/>
      <c r="F71" s="282"/>
      <c r="G71" s="95">
        <f t="shared" si="0"/>
        <v>35.799999999999997</v>
      </c>
      <c r="H71" s="96" t="s">
        <v>93</v>
      </c>
      <c r="I71" s="96" t="s">
        <v>90</v>
      </c>
    </row>
    <row r="72" spans="1:9" ht="18" customHeight="1" x14ac:dyDescent="0.25">
      <c r="A72" s="58"/>
      <c r="B72" s="59"/>
      <c r="C72" s="66" t="s">
        <v>419</v>
      </c>
      <c r="D72" s="61" t="s">
        <v>19</v>
      </c>
      <c r="E72" s="62"/>
      <c r="F72" s="282"/>
      <c r="G72" s="95">
        <f t="shared" si="0"/>
        <v>35.799999999999997</v>
      </c>
      <c r="H72" s="96" t="s">
        <v>93</v>
      </c>
      <c r="I72" s="96" t="s">
        <v>90</v>
      </c>
    </row>
    <row r="73" spans="1:9" ht="18" customHeight="1" x14ac:dyDescent="0.25">
      <c r="A73" s="58"/>
      <c r="B73" s="59"/>
      <c r="C73" s="66" t="s">
        <v>419</v>
      </c>
      <c r="D73" s="61" t="s">
        <v>19</v>
      </c>
      <c r="E73" s="62"/>
      <c r="F73" s="282"/>
      <c r="G73" s="95">
        <f t="shared" si="0"/>
        <v>35.799999999999997</v>
      </c>
      <c r="H73" s="96" t="s">
        <v>93</v>
      </c>
      <c r="I73" s="96" t="s">
        <v>90</v>
      </c>
    </row>
    <row r="74" spans="1:9" ht="18" customHeight="1" x14ac:dyDescent="0.25">
      <c r="A74" s="58"/>
      <c r="B74" s="59"/>
      <c r="C74" s="66" t="s">
        <v>419</v>
      </c>
      <c r="D74" s="61" t="s">
        <v>19</v>
      </c>
      <c r="E74" s="62"/>
      <c r="F74" s="282"/>
      <c r="G74" s="95">
        <f t="shared" ref="G74:G137" si="1">+G73+E74-F74</f>
        <v>35.799999999999997</v>
      </c>
      <c r="H74" s="96" t="s">
        <v>93</v>
      </c>
      <c r="I74" s="96" t="s">
        <v>90</v>
      </c>
    </row>
    <row r="75" spans="1:9" ht="18" customHeight="1" x14ac:dyDescent="0.25">
      <c r="A75" s="58"/>
      <c r="B75" s="59"/>
      <c r="C75" s="66" t="s">
        <v>419</v>
      </c>
      <c r="D75" s="61" t="s">
        <v>19</v>
      </c>
      <c r="E75" s="62"/>
      <c r="F75" s="282"/>
      <c r="G75" s="95">
        <f t="shared" si="1"/>
        <v>35.799999999999997</v>
      </c>
      <c r="H75" s="96" t="s">
        <v>93</v>
      </c>
      <c r="I75" s="96" t="s">
        <v>90</v>
      </c>
    </row>
    <row r="76" spans="1:9" ht="18" customHeight="1" x14ac:dyDescent="0.25">
      <c r="A76" s="58"/>
      <c r="B76" s="59"/>
      <c r="C76" s="66" t="s">
        <v>419</v>
      </c>
      <c r="D76" s="61" t="s">
        <v>19</v>
      </c>
      <c r="E76" s="62"/>
      <c r="F76" s="282"/>
      <c r="G76" s="95">
        <f t="shared" si="1"/>
        <v>35.799999999999997</v>
      </c>
      <c r="H76" s="96"/>
      <c r="I76" s="96"/>
    </row>
    <row r="77" spans="1:9" ht="18" customHeight="1" x14ac:dyDescent="0.25">
      <c r="A77" s="58"/>
      <c r="B77" s="59"/>
      <c r="C77" s="66" t="s">
        <v>419</v>
      </c>
      <c r="D77" s="61" t="s">
        <v>19</v>
      </c>
      <c r="E77" s="62"/>
      <c r="F77" s="282"/>
      <c r="G77" s="95">
        <f t="shared" si="1"/>
        <v>35.799999999999997</v>
      </c>
      <c r="H77" s="96"/>
      <c r="I77" s="96"/>
    </row>
    <row r="78" spans="1:9" ht="18" customHeight="1" x14ac:dyDescent="0.25">
      <c r="A78" s="58"/>
      <c r="B78" s="59"/>
      <c r="C78" s="66" t="s">
        <v>419</v>
      </c>
      <c r="D78" s="61" t="s">
        <v>19</v>
      </c>
      <c r="E78" s="62"/>
      <c r="F78" s="282"/>
      <c r="G78" s="95">
        <f t="shared" si="1"/>
        <v>35.799999999999997</v>
      </c>
      <c r="H78" s="96"/>
      <c r="I78" s="96"/>
    </row>
    <row r="79" spans="1:9" ht="18" customHeight="1" x14ac:dyDescent="0.25">
      <c r="A79" s="58"/>
      <c r="B79" s="59"/>
      <c r="C79" s="66" t="s">
        <v>419</v>
      </c>
      <c r="D79" s="61" t="s">
        <v>19</v>
      </c>
      <c r="E79" s="62"/>
      <c r="F79" s="282"/>
      <c r="G79" s="95">
        <f t="shared" si="1"/>
        <v>35.799999999999997</v>
      </c>
      <c r="H79" s="96"/>
      <c r="I79" s="96"/>
    </row>
    <row r="80" spans="1:9" ht="18" customHeight="1" x14ac:dyDescent="0.25">
      <c r="A80" s="58"/>
      <c r="B80" s="59"/>
      <c r="C80" s="66" t="s">
        <v>419</v>
      </c>
      <c r="D80" s="61" t="s">
        <v>19</v>
      </c>
      <c r="E80" s="62"/>
      <c r="F80" s="282"/>
      <c r="G80" s="95">
        <f t="shared" si="1"/>
        <v>35.799999999999997</v>
      </c>
      <c r="H80" s="96"/>
      <c r="I80" s="96"/>
    </row>
    <row r="81" spans="1:9" ht="18" customHeight="1" x14ac:dyDescent="0.25">
      <c r="A81" s="58"/>
      <c r="B81" s="59"/>
      <c r="C81" s="66" t="s">
        <v>419</v>
      </c>
      <c r="D81" s="61" t="s">
        <v>19</v>
      </c>
      <c r="E81" s="62"/>
      <c r="F81" s="282"/>
      <c r="G81" s="95">
        <f t="shared" si="1"/>
        <v>35.799999999999997</v>
      </c>
      <c r="H81" s="96"/>
      <c r="I81" s="96"/>
    </row>
    <row r="82" spans="1:9" ht="18" customHeight="1" x14ac:dyDescent="0.25">
      <c r="A82" s="58"/>
      <c r="B82" s="59"/>
      <c r="C82" s="66" t="s">
        <v>419</v>
      </c>
      <c r="D82" s="61" t="s">
        <v>19</v>
      </c>
      <c r="E82" s="62"/>
      <c r="F82" s="282"/>
      <c r="G82" s="95">
        <f t="shared" si="1"/>
        <v>35.799999999999997</v>
      </c>
      <c r="H82" s="96"/>
      <c r="I82" s="96"/>
    </row>
    <row r="83" spans="1:9" s="297" customFormat="1" ht="18" customHeight="1" x14ac:dyDescent="0.25">
      <c r="A83" s="291"/>
      <c r="B83" s="292"/>
      <c r="C83" s="66" t="s">
        <v>419</v>
      </c>
      <c r="D83" s="293" t="s">
        <v>19</v>
      </c>
      <c r="E83" s="294"/>
      <c r="F83" s="295"/>
      <c r="G83" s="95">
        <f t="shared" si="1"/>
        <v>35.799999999999997</v>
      </c>
      <c r="H83" s="96"/>
      <c r="I83" s="296"/>
    </row>
    <row r="84" spans="1:9" ht="18" customHeight="1" x14ac:dyDescent="0.25">
      <c r="A84" s="58"/>
      <c r="B84" s="59"/>
      <c r="C84" s="66" t="s">
        <v>419</v>
      </c>
      <c r="D84" s="61" t="s">
        <v>19</v>
      </c>
      <c r="E84" s="62"/>
      <c r="F84" s="282"/>
      <c r="G84" s="95">
        <f t="shared" si="1"/>
        <v>35.799999999999997</v>
      </c>
      <c r="H84" s="96"/>
      <c r="I84" s="296"/>
    </row>
    <row r="85" spans="1:9" ht="18" customHeight="1" x14ac:dyDescent="0.25">
      <c r="A85" s="58"/>
      <c r="B85" s="59"/>
      <c r="C85" s="66" t="s">
        <v>419</v>
      </c>
      <c r="D85" s="61" t="s">
        <v>19</v>
      </c>
      <c r="E85" s="62"/>
      <c r="F85" s="282"/>
      <c r="G85" s="95">
        <f t="shared" si="1"/>
        <v>35.799999999999997</v>
      </c>
      <c r="H85" s="96"/>
      <c r="I85" s="96"/>
    </row>
    <row r="86" spans="1:9" ht="18" customHeight="1" x14ac:dyDescent="0.25">
      <c r="A86" s="58"/>
      <c r="B86" s="59"/>
      <c r="C86" s="66" t="s">
        <v>419</v>
      </c>
      <c r="D86" s="61" t="s">
        <v>19</v>
      </c>
      <c r="E86" s="62"/>
      <c r="F86" s="282"/>
      <c r="G86" s="95">
        <f t="shared" si="1"/>
        <v>35.799999999999997</v>
      </c>
      <c r="H86" s="96"/>
      <c r="I86" s="96"/>
    </row>
    <row r="87" spans="1:9" ht="18" customHeight="1" x14ac:dyDescent="0.25">
      <c r="A87" s="58"/>
      <c r="B87" s="59"/>
      <c r="C87" s="66" t="s">
        <v>419</v>
      </c>
      <c r="D87" s="61" t="s">
        <v>19</v>
      </c>
      <c r="E87" s="62"/>
      <c r="F87" s="282"/>
      <c r="G87" s="95">
        <f t="shared" si="1"/>
        <v>35.799999999999997</v>
      </c>
      <c r="H87" s="96"/>
      <c r="I87" s="96"/>
    </row>
    <row r="88" spans="1:9" ht="18" customHeight="1" x14ac:dyDescent="0.25">
      <c r="A88" s="58"/>
      <c r="B88" s="59"/>
      <c r="C88" s="66" t="s">
        <v>419</v>
      </c>
      <c r="D88" s="61" t="s">
        <v>19</v>
      </c>
      <c r="E88" s="62"/>
      <c r="F88" s="282"/>
      <c r="G88" s="95">
        <f t="shared" si="1"/>
        <v>35.799999999999997</v>
      </c>
      <c r="H88" s="96"/>
      <c r="I88" s="96"/>
    </row>
    <row r="89" spans="1:9" ht="18" customHeight="1" x14ac:dyDescent="0.25">
      <c r="A89" s="58"/>
      <c r="B89" s="59"/>
      <c r="C89" s="66" t="s">
        <v>419</v>
      </c>
      <c r="D89" s="61" t="s">
        <v>19</v>
      </c>
      <c r="E89" s="62"/>
      <c r="F89" s="282"/>
      <c r="G89" s="95">
        <f t="shared" si="1"/>
        <v>35.799999999999997</v>
      </c>
      <c r="H89" s="96"/>
      <c r="I89" s="96"/>
    </row>
    <row r="90" spans="1:9" ht="18" customHeight="1" x14ac:dyDescent="0.25">
      <c r="A90" s="58"/>
      <c r="B90" s="59"/>
      <c r="C90" s="66" t="s">
        <v>419</v>
      </c>
      <c r="D90" s="61" t="s">
        <v>19</v>
      </c>
      <c r="E90" s="62"/>
      <c r="F90" s="282"/>
      <c r="G90" s="95">
        <f t="shared" si="1"/>
        <v>35.799999999999997</v>
      </c>
      <c r="H90" s="96"/>
      <c r="I90" s="96"/>
    </row>
    <row r="91" spans="1:9" ht="18" customHeight="1" x14ac:dyDescent="0.25">
      <c r="A91" s="58"/>
      <c r="B91" s="59"/>
      <c r="C91" s="66" t="s">
        <v>419</v>
      </c>
      <c r="D91" s="61" t="s">
        <v>19</v>
      </c>
      <c r="E91" s="62"/>
      <c r="F91" s="282"/>
      <c r="G91" s="95">
        <f t="shared" si="1"/>
        <v>35.799999999999997</v>
      </c>
      <c r="H91" s="96"/>
      <c r="I91" s="96"/>
    </row>
    <row r="92" spans="1:9" ht="18" customHeight="1" x14ac:dyDescent="0.25">
      <c r="A92" s="58"/>
      <c r="B92" s="59"/>
      <c r="C92" s="66" t="s">
        <v>419</v>
      </c>
      <c r="D92" s="61" t="s">
        <v>19</v>
      </c>
      <c r="E92" s="62"/>
      <c r="F92" s="282"/>
      <c r="G92" s="95">
        <f t="shared" si="1"/>
        <v>35.799999999999997</v>
      </c>
      <c r="H92" s="96"/>
      <c r="I92" s="96"/>
    </row>
    <row r="93" spans="1:9" ht="18" customHeight="1" x14ac:dyDescent="0.25">
      <c r="A93" s="58"/>
      <c r="B93" s="59"/>
      <c r="C93" s="66" t="s">
        <v>419</v>
      </c>
      <c r="D93" s="61" t="s">
        <v>19</v>
      </c>
      <c r="E93" s="62"/>
      <c r="F93" s="282"/>
      <c r="G93" s="95">
        <f t="shared" si="1"/>
        <v>35.799999999999997</v>
      </c>
      <c r="H93" s="96"/>
      <c r="I93" s="96"/>
    </row>
    <row r="94" spans="1:9" ht="18" customHeight="1" x14ac:dyDescent="0.25">
      <c r="A94" s="58"/>
      <c r="B94" s="59"/>
      <c r="C94" s="66" t="s">
        <v>419</v>
      </c>
      <c r="D94" s="61" t="s">
        <v>19</v>
      </c>
      <c r="E94" s="62"/>
      <c r="F94" s="282"/>
      <c r="G94" s="95">
        <f t="shared" si="1"/>
        <v>35.799999999999997</v>
      </c>
      <c r="H94" s="96"/>
      <c r="I94" s="96"/>
    </row>
    <row r="95" spans="1:9" ht="18" customHeight="1" x14ac:dyDescent="0.25">
      <c r="A95" s="58"/>
      <c r="B95" s="59"/>
      <c r="C95" s="66" t="s">
        <v>419</v>
      </c>
      <c r="D95" s="61" t="s">
        <v>19</v>
      </c>
      <c r="E95" s="62"/>
      <c r="F95" s="282"/>
      <c r="G95" s="95">
        <f t="shared" si="1"/>
        <v>35.799999999999997</v>
      </c>
      <c r="H95" s="96"/>
      <c r="I95" s="96"/>
    </row>
    <row r="96" spans="1:9" ht="18" customHeight="1" x14ac:dyDescent="0.25">
      <c r="A96" s="58"/>
      <c r="B96" s="59"/>
      <c r="C96" s="66" t="s">
        <v>419</v>
      </c>
      <c r="D96" s="61" t="s">
        <v>19</v>
      </c>
      <c r="E96" s="62"/>
      <c r="F96" s="282"/>
      <c r="G96" s="95">
        <f t="shared" si="1"/>
        <v>35.799999999999997</v>
      </c>
      <c r="H96" s="96"/>
      <c r="I96" s="96"/>
    </row>
    <row r="97" spans="1:9" ht="18" customHeight="1" x14ac:dyDescent="0.25">
      <c r="A97" s="58"/>
      <c r="B97" s="59"/>
      <c r="C97" s="66" t="s">
        <v>419</v>
      </c>
      <c r="D97" s="61" t="s">
        <v>19</v>
      </c>
      <c r="E97" s="62"/>
      <c r="F97" s="282"/>
      <c r="G97" s="95">
        <f t="shared" si="1"/>
        <v>35.799999999999997</v>
      </c>
      <c r="H97" s="96"/>
      <c r="I97" s="96"/>
    </row>
    <row r="98" spans="1:9" ht="18" customHeight="1" x14ac:dyDescent="0.25">
      <c r="A98" s="58"/>
      <c r="B98" s="59"/>
      <c r="C98" s="66" t="s">
        <v>419</v>
      </c>
      <c r="D98" s="61" t="s">
        <v>19</v>
      </c>
      <c r="E98" s="62"/>
      <c r="F98" s="282"/>
      <c r="G98" s="95">
        <f t="shared" si="1"/>
        <v>35.799999999999997</v>
      </c>
      <c r="H98" s="96"/>
      <c r="I98" s="96"/>
    </row>
    <row r="99" spans="1:9" ht="18" customHeight="1" x14ac:dyDescent="0.25">
      <c r="A99" s="58"/>
      <c r="B99" s="59"/>
      <c r="C99" s="66" t="s">
        <v>419</v>
      </c>
      <c r="D99" s="61" t="s">
        <v>19</v>
      </c>
      <c r="E99" s="62"/>
      <c r="F99" s="282"/>
      <c r="G99" s="95">
        <f t="shared" si="1"/>
        <v>35.799999999999997</v>
      </c>
      <c r="H99" s="96"/>
      <c r="I99" s="96"/>
    </row>
    <row r="100" spans="1:9" ht="18" customHeight="1" x14ac:dyDescent="0.25">
      <c r="A100" s="58"/>
      <c r="B100" s="59"/>
      <c r="C100" s="66" t="s">
        <v>419</v>
      </c>
      <c r="D100" s="61" t="s">
        <v>19</v>
      </c>
      <c r="E100" s="62"/>
      <c r="F100" s="282"/>
      <c r="G100" s="95">
        <f t="shared" si="1"/>
        <v>35.799999999999997</v>
      </c>
      <c r="H100" s="96"/>
      <c r="I100" s="99"/>
    </row>
    <row r="101" spans="1:9" ht="18" customHeight="1" x14ac:dyDescent="0.25">
      <c r="A101" s="58"/>
      <c r="B101" s="59"/>
      <c r="C101" s="66" t="s">
        <v>419</v>
      </c>
      <c r="D101" s="61" t="s">
        <v>19</v>
      </c>
      <c r="E101" s="62"/>
      <c r="F101" s="282"/>
      <c r="G101" s="95">
        <f t="shared" si="1"/>
        <v>35.799999999999997</v>
      </c>
      <c r="H101" s="96"/>
      <c r="I101" s="99"/>
    </row>
    <row r="102" spans="1:9" ht="18" customHeight="1" x14ac:dyDescent="0.25">
      <c r="A102" s="58"/>
      <c r="B102" s="59"/>
      <c r="C102" s="66" t="s">
        <v>419</v>
      </c>
      <c r="D102" s="61" t="s">
        <v>19</v>
      </c>
      <c r="E102" s="62"/>
      <c r="F102" s="282"/>
      <c r="G102" s="95">
        <f t="shared" si="1"/>
        <v>35.799999999999997</v>
      </c>
      <c r="H102" s="96"/>
      <c r="I102" s="99"/>
    </row>
    <row r="103" spans="1:9" ht="18" customHeight="1" x14ac:dyDescent="0.25">
      <c r="A103" s="58"/>
      <c r="B103" s="59"/>
      <c r="C103" s="66" t="s">
        <v>419</v>
      </c>
      <c r="D103" s="61" t="s">
        <v>19</v>
      </c>
      <c r="E103" s="62"/>
      <c r="F103" s="282"/>
      <c r="G103" s="95">
        <f t="shared" si="1"/>
        <v>35.799999999999997</v>
      </c>
      <c r="H103" s="96"/>
      <c r="I103" s="99"/>
    </row>
    <row r="104" spans="1:9" ht="18" customHeight="1" x14ac:dyDescent="0.25">
      <c r="A104" s="58"/>
      <c r="B104" s="59"/>
      <c r="C104" s="66" t="s">
        <v>419</v>
      </c>
      <c r="D104" s="61" t="s">
        <v>19</v>
      </c>
      <c r="E104" s="62"/>
      <c r="F104" s="282"/>
      <c r="G104" s="95">
        <f t="shared" si="1"/>
        <v>35.799999999999997</v>
      </c>
      <c r="H104" s="96"/>
      <c r="I104" s="99"/>
    </row>
    <row r="105" spans="1:9" ht="18" customHeight="1" x14ac:dyDescent="0.25">
      <c r="A105" s="58"/>
      <c r="B105" s="59"/>
      <c r="C105" s="66" t="s">
        <v>419</v>
      </c>
      <c r="D105" s="61" t="s">
        <v>19</v>
      </c>
      <c r="E105" s="62"/>
      <c r="F105" s="282"/>
      <c r="G105" s="95">
        <f t="shared" si="1"/>
        <v>35.799999999999997</v>
      </c>
      <c r="H105" s="96"/>
      <c r="I105" s="99"/>
    </row>
    <row r="106" spans="1:9" ht="18" customHeight="1" x14ac:dyDescent="0.25">
      <c r="A106" s="58"/>
      <c r="B106" s="59"/>
      <c r="C106" s="66" t="s">
        <v>419</v>
      </c>
      <c r="D106" s="61" t="s">
        <v>19</v>
      </c>
      <c r="E106" s="62"/>
      <c r="F106" s="282"/>
      <c r="G106" s="95">
        <f t="shared" si="1"/>
        <v>35.799999999999997</v>
      </c>
      <c r="H106" s="96"/>
      <c r="I106" s="99"/>
    </row>
    <row r="107" spans="1:9" ht="18" customHeight="1" x14ac:dyDescent="0.25">
      <c r="A107" s="58"/>
      <c r="B107" s="59"/>
      <c r="C107" s="66" t="s">
        <v>419</v>
      </c>
      <c r="D107" s="61" t="s">
        <v>19</v>
      </c>
      <c r="E107" s="62"/>
      <c r="F107" s="282"/>
      <c r="G107" s="95">
        <f t="shared" si="1"/>
        <v>35.799999999999997</v>
      </c>
      <c r="H107" s="96"/>
      <c r="I107" s="99"/>
    </row>
    <row r="108" spans="1:9" ht="18" customHeight="1" x14ac:dyDescent="0.25">
      <c r="A108" s="58"/>
      <c r="B108" s="59"/>
      <c r="C108" s="66" t="s">
        <v>419</v>
      </c>
      <c r="D108" s="61" t="s">
        <v>19</v>
      </c>
      <c r="E108" s="62"/>
      <c r="F108" s="282"/>
      <c r="G108" s="95">
        <f t="shared" si="1"/>
        <v>35.799999999999997</v>
      </c>
      <c r="H108" s="96"/>
      <c r="I108" s="99"/>
    </row>
    <row r="109" spans="1:9" ht="18" customHeight="1" x14ac:dyDescent="0.25">
      <c r="A109" s="58"/>
      <c r="B109" s="59"/>
      <c r="C109" s="66" t="s">
        <v>419</v>
      </c>
      <c r="D109" s="61" t="s">
        <v>19</v>
      </c>
      <c r="E109" s="62"/>
      <c r="F109" s="282"/>
      <c r="G109" s="95">
        <f t="shared" si="1"/>
        <v>35.799999999999997</v>
      </c>
      <c r="H109" s="96"/>
      <c r="I109" s="99"/>
    </row>
    <row r="110" spans="1:9" ht="18" customHeight="1" x14ac:dyDescent="0.25">
      <c r="A110" s="58"/>
      <c r="B110" s="59"/>
      <c r="C110" s="66" t="s">
        <v>419</v>
      </c>
      <c r="D110" s="61" t="s">
        <v>19</v>
      </c>
      <c r="E110" s="62"/>
      <c r="F110" s="282"/>
      <c r="G110" s="95">
        <f t="shared" si="1"/>
        <v>35.799999999999997</v>
      </c>
      <c r="H110" s="96"/>
      <c r="I110" s="99"/>
    </row>
    <row r="111" spans="1:9" ht="18" customHeight="1" x14ac:dyDescent="0.25">
      <c r="A111" s="58"/>
      <c r="B111" s="59"/>
      <c r="C111" s="66" t="s">
        <v>419</v>
      </c>
      <c r="D111" s="61" t="s">
        <v>19</v>
      </c>
      <c r="E111" s="62"/>
      <c r="F111" s="282"/>
      <c r="G111" s="95">
        <f t="shared" si="1"/>
        <v>35.799999999999997</v>
      </c>
      <c r="H111" s="96"/>
      <c r="I111" s="99"/>
    </row>
    <row r="112" spans="1:9" ht="18" customHeight="1" x14ac:dyDescent="0.25">
      <c r="A112" s="58"/>
      <c r="B112" s="59"/>
      <c r="C112" s="66" t="s">
        <v>419</v>
      </c>
      <c r="D112" s="61" t="s">
        <v>19</v>
      </c>
      <c r="E112" s="62"/>
      <c r="F112" s="282"/>
      <c r="G112" s="95">
        <f t="shared" si="1"/>
        <v>35.799999999999997</v>
      </c>
      <c r="H112" s="96"/>
      <c r="I112" s="99"/>
    </row>
    <row r="113" spans="1:9" ht="18" customHeight="1" x14ac:dyDescent="0.25">
      <c r="A113" s="58"/>
      <c r="B113" s="59"/>
      <c r="C113" s="66" t="s">
        <v>419</v>
      </c>
      <c r="D113" s="61" t="s">
        <v>19</v>
      </c>
      <c r="E113" s="62"/>
      <c r="F113" s="282"/>
      <c r="G113" s="95">
        <f t="shared" si="1"/>
        <v>35.799999999999997</v>
      </c>
      <c r="H113" s="96"/>
      <c r="I113" s="99"/>
    </row>
    <row r="114" spans="1:9" ht="18" customHeight="1" x14ac:dyDescent="0.25">
      <c r="A114" s="58"/>
      <c r="B114" s="59"/>
      <c r="C114" s="66" t="s">
        <v>419</v>
      </c>
      <c r="D114" s="61" t="s">
        <v>19</v>
      </c>
      <c r="E114" s="62"/>
      <c r="F114" s="282"/>
      <c r="G114" s="95">
        <f t="shared" si="1"/>
        <v>35.799999999999997</v>
      </c>
      <c r="H114" s="96"/>
      <c r="I114" s="99"/>
    </row>
    <row r="115" spans="1:9" ht="18" customHeight="1" x14ac:dyDescent="0.25">
      <c r="A115" s="58"/>
      <c r="B115" s="59"/>
      <c r="C115" s="66" t="s">
        <v>419</v>
      </c>
      <c r="D115" s="61" t="s">
        <v>19</v>
      </c>
      <c r="E115" s="62"/>
      <c r="F115" s="282"/>
      <c r="G115" s="95">
        <f t="shared" si="1"/>
        <v>35.799999999999997</v>
      </c>
      <c r="H115" s="96"/>
      <c r="I115" s="99"/>
    </row>
    <row r="116" spans="1:9" ht="18" customHeight="1" x14ac:dyDescent="0.25">
      <c r="A116" s="58"/>
      <c r="B116" s="59"/>
      <c r="C116" s="66" t="s">
        <v>419</v>
      </c>
      <c r="D116" s="61" t="s">
        <v>19</v>
      </c>
      <c r="E116" s="62"/>
      <c r="F116" s="282"/>
      <c r="G116" s="95">
        <f t="shared" si="1"/>
        <v>35.799999999999997</v>
      </c>
      <c r="H116" s="96"/>
      <c r="I116" s="99"/>
    </row>
    <row r="117" spans="1:9" ht="18" customHeight="1" x14ac:dyDescent="0.25">
      <c r="A117" s="58"/>
      <c r="B117" s="59"/>
      <c r="C117" s="66" t="s">
        <v>419</v>
      </c>
      <c r="D117" s="61" t="s">
        <v>19</v>
      </c>
      <c r="E117" s="62"/>
      <c r="F117" s="282"/>
      <c r="G117" s="95">
        <f t="shared" si="1"/>
        <v>35.799999999999997</v>
      </c>
      <c r="H117" s="96"/>
      <c r="I117" s="99"/>
    </row>
    <row r="118" spans="1:9" ht="18" customHeight="1" x14ac:dyDescent="0.25">
      <c r="A118" s="58"/>
      <c r="B118" s="59"/>
      <c r="C118" s="66" t="s">
        <v>419</v>
      </c>
      <c r="D118" s="61" t="s">
        <v>19</v>
      </c>
      <c r="E118" s="62"/>
      <c r="F118" s="282"/>
      <c r="G118" s="95">
        <f t="shared" si="1"/>
        <v>35.799999999999997</v>
      </c>
      <c r="H118" s="96"/>
      <c r="I118" s="99"/>
    </row>
    <row r="119" spans="1:9" ht="18" customHeight="1" x14ac:dyDescent="0.25">
      <c r="A119" s="58"/>
      <c r="B119" s="59"/>
      <c r="C119" s="66" t="s">
        <v>419</v>
      </c>
      <c r="D119" s="61" t="s">
        <v>19</v>
      </c>
      <c r="E119" s="62"/>
      <c r="F119" s="282"/>
      <c r="G119" s="95">
        <f t="shared" si="1"/>
        <v>35.799999999999997</v>
      </c>
      <c r="H119" s="96"/>
      <c r="I119" s="99"/>
    </row>
    <row r="120" spans="1:9" ht="18" customHeight="1" x14ac:dyDescent="0.25">
      <c r="A120" s="58"/>
      <c r="B120" s="59"/>
      <c r="C120" s="66" t="s">
        <v>419</v>
      </c>
      <c r="D120" s="61" t="s">
        <v>19</v>
      </c>
      <c r="E120" s="62"/>
      <c r="F120" s="282"/>
      <c r="G120" s="95">
        <f t="shared" si="1"/>
        <v>35.799999999999997</v>
      </c>
      <c r="H120" s="96"/>
      <c r="I120" s="99"/>
    </row>
    <row r="121" spans="1:9" ht="18" customHeight="1" x14ac:dyDescent="0.25">
      <c r="A121" s="58"/>
      <c r="B121" s="59"/>
      <c r="C121" s="66" t="s">
        <v>419</v>
      </c>
      <c r="D121" s="61" t="s">
        <v>19</v>
      </c>
      <c r="E121" s="62"/>
      <c r="F121" s="282"/>
      <c r="G121" s="95">
        <f t="shared" si="1"/>
        <v>35.799999999999997</v>
      </c>
      <c r="H121" s="96"/>
      <c r="I121" s="99"/>
    </row>
    <row r="122" spans="1:9" ht="18" customHeight="1" x14ac:dyDescent="0.25">
      <c r="A122" s="58"/>
      <c r="B122" s="59"/>
      <c r="C122" s="66" t="s">
        <v>419</v>
      </c>
      <c r="D122" s="61" t="s">
        <v>19</v>
      </c>
      <c r="E122" s="62"/>
      <c r="F122" s="282"/>
      <c r="G122" s="95">
        <f t="shared" si="1"/>
        <v>35.799999999999997</v>
      </c>
      <c r="H122" s="96"/>
      <c r="I122" s="99"/>
    </row>
    <row r="123" spans="1:9" ht="18" customHeight="1" x14ac:dyDescent="0.25">
      <c r="A123" s="58"/>
      <c r="B123" s="59"/>
      <c r="C123" s="66" t="s">
        <v>419</v>
      </c>
      <c r="D123" s="61" t="s">
        <v>19</v>
      </c>
      <c r="E123" s="62"/>
      <c r="F123" s="282"/>
      <c r="G123" s="95">
        <f t="shared" si="1"/>
        <v>35.799999999999997</v>
      </c>
      <c r="H123" s="96"/>
      <c r="I123" s="99"/>
    </row>
    <row r="124" spans="1:9" ht="18" customHeight="1" x14ac:dyDescent="0.25">
      <c r="A124" s="58"/>
      <c r="B124" s="59"/>
      <c r="C124" s="66" t="s">
        <v>419</v>
      </c>
      <c r="D124" s="61" t="s">
        <v>19</v>
      </c>
      <c r="E124" s="62"/>
      <c r="F124" s="282"/>
      <c r="G124" s="95">
        <f t="shared" si="1"/>
        <v>35.799999999999997</v>
      </c>
      <c r="H124" s="96"/>
      <c r="I124" s="99"/>
    </row>
    <row r="125" spans="1:9" ht="18" customHeight="1" x14ac:dyDescent="0.25">
      <c r="A125" s="58"/>
      <c r="B125" s="59"/>
      <c r="C125" s="66" t="s">
        <v>419</v>
      </c>
      <c r="D125" s="61" t="s">
        <v>19</v>
      </c>
      <c r="E125" s="62"/>
      <c r="F125" s="282"/>
      <c r="G125" s="95">
        <f t="shared" si="1"/>
        <v>35.799999999999997</v>
      </c>
      <c r="H125" s="96"/>
      <c r="I125" s="99"/>
    </row>
    <row r="126" spans="1:9" ht="18" customHeight="1" x14ac:dyDescent="0.25">
      <c r="A126" s="58"/>
      <c r="B126" s="59"/>
      <c r="C126" s="66" t="s">
        <v>419</v>
      </c>
      <c r="D126" s="61" t="s">
        <v>19</v>
      </c>
      <c r="E126" s="62"/>
      <c r="F126" s="282"/>
      <c r="G126" s="95">
        <f t="shared" si="1"/>
        <v>35.799999999999997</v>
      </c>
      <c r="H126" s="96"/>
      <c r="I126" s="99"/>
    </row>
    <row r="127" spans="1:9" ht="18" customHeight="1" x14ac:dyDescent="0.25">
      <c r="A127" s="58"/>
      <c r="B127" s="59"/>
      <c r="C127" s="66" t="s">
        <v>419</v>
      </c>
      <c r="D127" s="61" t="s">
        <v>19</v>
      </c>
      <c r="E127" s="62"/>
      <c r="F127" s="282"/>
      <c r="G127" s="95">
        <f t="shared" si="1"/>
        <v>35.799999999999997</v>
      </c>
      <c r="H127" s="96"/>
      <c r="I127" s="99"/>
    </row>
    <row r="128" spans="1:9" ht="18" customHeight="1" x14ac:dyDescent="0.25">
      <c r="A128" s="58"/>
      <c r="B128" s="59"/>
      <c r="C128" s="66" t="s">
        <v>419</v>
      </c>
      <c r="D128" s="61" t="s">
        <v>19</v>
      </c>
      <c r="E128" s="62"/>
      <c r="F128" s="282"/>
      <c r="G128" s="95">
        <f t="shared" si="1"/>
        <v>35.799999999999997</v>
      </c>
      <c r="H128" s="96"/>
      <c r="I128" s="99"/>
    </row>
    <row r="129" spans="1:9" ht="18" customHeight="1" x14ac:dyDescent="0.25">
      <c r="A129" s="58"/>
      <c r="B129" s="59"/>
      <c r="C129" s="66" t="s">
        <v>419</v>
      </c>
      <c r="D129" s="61" t="s">
        <v>19</v>
      </c>
      <c r="E129" s="62"/>
      <c r="F129" s="282"/>
      <c r="G129" s="95">
        <f t="shared" si="1"/>
        <v>35.799999999999997</v>
      </c>
      <c r="H129" s="96"/>
      <c r="I129" s="99"/>
    </row>
    <row r="130" spans="1:9" ht="18" customHeight="1" x14ac:dyDescent="0.25">
      <c r="A130" s="58"/>
      <c r="B130" s="59"/>
      <c r="C130" s="66" t="s">
        <v>419</v>
      </c>
      <c r="D130" s="61" t="s">
        <v>19</v>
      </c>
      <c r="E130" s="62"/>
      <c r="F130" s="282"/>
      <c r="G130" s="95">
        <f t="shared" si="1"/>
        <v>35.799999999999997</v>
      </c>
      <c r="H130" s="96"/>
      <c r="I130" s="99"/>
    </row>
    <row r="131" spans="1:9" ht="18" customHeight="1" x14ac:dyDescent="0.25">
      <c r="A131" s="58"/>
      <c r="B131" s="59"/>
      <c r="C131" s="66" t="s">
        <v>419</v>
      </c>
      <c r="D131" s="61" t="s">
        <v>19</v>
      </c>
      <c r="E131" s="62"/>
      <c r="F131" s="282"/>
      <c r="G131" s="95">
        <f t="shared" si="1"/>
        <v>35.799999999999997</v>
      </c>
      <c r="H131" s="96"/>
      <c r="I131" s="99"/>
    </row>
    <row r="132" spans="1:9" ht="18" customHeight="1" x14ac:dyDescent="0.25">
      <c r="A132" s="58"/>
      <c r="B132" s="59"/>
      <c r="C132" s="66" t="s">
        <v>419</v>
      </c>
      <c r="D132" s="61" t="s">
        <v>19</v>
      </c>
      <c r="E132" s="62"/>
      <c r="F132" s="282"/>
      <c r="G132" s="95">
        <f t="shared" si="1"/>
        <v>35.799999999999997</v>
      </c>
      <c r="H132" s="96"/>
      <c r="I132" s="99"/>
    </row>
    <row r="133" spans="1:9" ht="18" customHeight="1" x14ac:dyDescent="0.25">
      <c r="A133" s="58"/>
      <c r="B133" s="59"/>
      <c r="C133" s="66" t="s">
        <v>419</v>
      </c>
      <c r="D133" s="61" t="s">
        <v>19</v>
      </c>
      <c r="E133" s="62"/>
      <c r="F133" s="282"/>
      <c r="G133" s="95">
        <f t="shared" si="1"/>
        <v>35.799999999999997</v>
      </c>
      <c r="H133" s="96"/>
      <c r="I133" s="99"/>
    </row>
    <row r="134" spans="1:9" ht="18" customHeight="1" x14ac:dyDescent="0.25">
      <c r="A134" s="58"/>
      <c r="B134" s="59"/>
      <c r="C134" s="66" t="s">
        <v>419</v>
      </c>
      <c r="D134" s="61" t="s">
        <v>19</v>
      </c>
      <c r="E134" s="62"/>
      <c r="F134" s="282"/>
      <c r="G134" s="95">
        <f t="shared" si="1"/>
        <v>35.799999999999997</v>
      </c>
      <c r="H134" s="96"/>
      <c r="I134" s="99"/>
    </row>
    <row r="135" spans="1:9" ht="18" customHeight="1" x14ac:dyDescent="0.25">
      <c r="A135" s="58"/>
      <c r="B135" s="59"/>
      <c r="C135" s="66" t="s">
        <v>419</v>
      </c>
      <c r="D135" s="61" t="s">
        <v>19</v>
      </c>
      <c r="E135" s="62"/>
      <c r="F135" s="282"/>
      <c r="G135" s="95">
        <f t="shared" si="1"/>
        <v>35.799999999999997</v>
      </c>
      <c r="H135" s="96"/>
      <c r="I135" s="99"/>
    </row>
    <row r="136" spans="1:9" ht="18" customHeight="1" x14ac:dyDescent="0.25">
      <c r="A136" s="58"/>
      <c r="B136" s="59"/>
      <c r="C136" s="66" t="s">
        <v>419</v>
      </c>
      <c r="D136" s="61" t="s">
        <v>19</v>
      </c>
      <c r="E136" s="62"/>
      <c r="F136" s="282"/>
      <c r="G136" s="95">
        <f t="shared" si="1"/>
        <v>35.799999999999997</v>
      </c>
      <c r="H136" s="96"/>
      <c r="I136" s="99"/>
    </row>
    <row r="137" spans="1:9" ht="18" customHeight="1" x14ac:dyDescent="0.25">
      <c r="A137" s="58"/>
      <c r="B137" s="59"/>
      <c r="C137" s="66" t="s">
        <v>419</v>
      </c>
      <c r="D137" s="65" t="s">
        <v>19</v>
      </c>
      <c r="E137" s="62"/>
      <c r="F137" s="282"/>
      <c r="G137" s="95">
        <f t="shared" si="1"/>
        <v>35.799999999999997</v>
      </c>
      <c r="H137" s="96"/>
      <c r="I137" s="99"/>
    </row>
    <row r="138" spans="1:9" ht="18" customHeight="1" x14ac:dyDescent="0.25">
      <c r="A138" s="58"/>
      <c r="B138" s="59"/>
      <c r="C138" s="66" t="s">
        <v>419</v>
      </c>
      <c r="D138" s="65" t="s">
        <v>19</v>
      </c>
      <c r="E138" s="62"/>
      <c r="F138" s="282"/>
      <c r="G138" s="95">
        <f t="shared" ref="G138:G153" si="2">+G137+E138-F138</f>
        <v>35.799999999999997</v>
      </c>
      <c r="H138" s="96"/>
      <c r="I138" s="99"/>
    </row>
    <row r="139" spans="1:9" ht="18" customHeight="1" x14ac:dyDescent="0.25">
      <c r="A139" s="58"/>
      <c r="B139" s="59"/>
      <c r="C139" s="66" t="s">
        <v>419</v>
      </c>
      <c r="D139" s="65" t="s">
        <v>19</v>
      </c>
      <c r="E139" s="62"/>
      <c r="F139" s="282"/>
      <c r="G139" s="95">
        <f t="shared" si="2"/>
        <v>35.799999999999997</v>
      </c>
      <c r="H139" s="96"/>
      <c r="I139" s="99"/>
    </row>
    <row r="140" spans="1:9" ht="18" customHeight="1" x14ac:dyDescent="0.25">
      <c r="A140" s="58"/>
      <c r="B140" s="59"/>
      <c r="C140" s="66" t="s">
        <v>419</v>
      </c>
      <c r="D140" s="65" t="s">
        <v>19</v>
      </c>
      <c r="E140" s="62"/>
      <c r="F140" s="282"/>
      <c r="G140" s="95">
        <f t="shared" si="2"/>
        <v>35.799999999999997</v>
      </c>
      <c r="H140" s="96"/>
      <c r="I140" s="99"/>
    </row>
    <row r="141" spans="1:9" ht="18" customHeight="1" x14ac:dyDescent="0.25">
      <c r="A141" s="58"/>
      <c r="B141" s="59"/>
      <c r="C141" s="66" t="s">
        <v>419</v>
      </c>
      <c r="D141" s="65" t="s">
        <v>19</v>
      </c>
      <c r="E141" s="62"/>
      <c r="F141" s="282"/>
      <c r="G141" s="95">
        <f t="shared" si="2"/>
        <v>35.799999999999997</v>
      </c>
      <c r="H141" s="96"/>
      <c r="I141" s="99"/>
    </row>
    <row r="142" spans="1:9" ht="18" customHeight="1" x14ac:dyDescent="0.25">
      <c r="A142" s="58"/>
      <c r="B142" s="59"/>
      <c r="C142" s="66" t="s">
        <v>419</v>
      </c>
      <c r="D142" s="65" t="s">
        <v>19</v>
      </c>
      <c r="E142" s="62"/>
      <c r="F142" s="282"/>
      <c r="G142" s="95">
        <f t="shared" si="2"/>
        <v>35.799999999999997</v>
      </c>
      <c r="H142" s="96"/>
      <c r="I142" s="99"/>
    </row>
    <row r="143" spans="1:9" ht="18" customHeight="1" x14ac:dyDescent="0.25">
      <c r="A143" s="58"/>
      <c r="B143" s="59"/>
      <c r="C143" s="66" t="s">
        <v>419</v>
      </c>
      <c r="D143" s="65" t="s">
        <v>19</v>
      </c>
      <c r="E143" s="62"/>
      <c r="F143" s="282"/>
      <c r="G143" s="95">
        <f t="shared" si="2"/>
        <v>35.799999999999997</v>
      </c>
      <c r="H143" s="96"/>
      <c r="I143" s="99"/>
    </row>
    <row r="144" spans="1:9" ht="18" customHeight="1" x14ac:dyDescent="0.25">
      <c r="A144" s="58"/>
      <c r="B144" s="59"/>
      <c r="C144" s="66" t="s">
        <v>419</v>
      </c>
      <c r="D144" s="65" t="s">
        <v>19</v>
      </c>
      <c r="E144" s="62"/>
      <c r="F144" s="282"/>
      <c r="G144" s="95">
        <f t="shared" si="2"/>
        <v>35.799999999999997</v>
      </c>
      <c r="H144" s="96"/>
      <c r="I144" s="99"/>
    </row>
    <row r="145" spans="1:9" ht="18" customHeight="1" x14ac:dyDescent="0.25">
      <c r="A145" s="58"/>
      <c r="B145" s="59"/>
      <c r="C145" s="66" t="s">
        <v>419</v>
      </c>
      <c r="D145" s="65" t="s">
        <v>19</v>
      </c>
      <c r="E145" s="62"/>
      <c r="F145" s="282"/>
      <c r="G145" s="95">
        <f t="shared" si="2"/>
        <v>35.799999999999997</v>
      </c>
      <c r="H145" s="96"/>
      <c r="I145" s="99"/>
    </row>
    <row r="146" spans="1:9" ht="18" customHeight="1" x14ac:dyDescent="0.25">
      <c r="A146" s="58"/>
      <c r="B146" s="59"/>
      <c r="C146" s="66" t="s">
        <v>419</v>
      </c>
      <c r="D146" s="65" t="s">
        <v>19</v>
      </c>
      <c r="E146" s="62"/>
      <c r="F146" s="282"/>
      <c r="G146" s="95">
        <f t="shared" si="2"/>
        <v>35.799999999999997</v>
      </c>
      <c r="H146" s="96"/>
      <c r="I146" s="99"/>
    </row>
    <row r="147" spans="1:9" ht="18" customHeight="1" x14ac:dyDescent="0.25">
      <c r="A147" s="58"/>
      <c r="B147" s="59"/>
      <c r="C147" s="66" t="s">
        <v>419</v>
      </c>
      <c r="D147" s="65" t="s">
        <v>19</v>
      </c>
      <c r="E147" s="62"/>
      <c r="F147" s="282"/>
      <c r="G147" s="95">
        <f t="shared" si="2"/>
        <v>35.799999999999997</v>
      </c>
      <c r="H147" s="96"/>
      <c r="I147" s="99"/>
    </row>
    <row r="148" spans="1:9" ht="18" customHeight="1" x14ac:dyDescent="0.25">
      <c r="A148" s="58"/>
      <c r="B148" s="59"/>
      <c r="C148" s="66" t="s">
        <v>419</v>
      </c>
      <c r="D148" s="65" t="s">
        <v>19</v>
      </c>
      <c r="E148" s="62"/>
      <c r="F148" s="282"/>
      <c r="G148" s="95">
        <f t="shared" si="2"/>
        <v>35.799999999999997</v>
      </c>
      <c r="H148" s="96"/>
      <c r="I148" s="99"/>
    </row>
    <row r="149" spans="1:9" ht="18" customHeight="1" x14ac:dyDescent="0.25">
      <c r="A149" s="58"/>
      <c r="B149" s="59"/>
      <c r="C149" s="66" t="s">
        <v>419</v>
      </c>
      <c r="D149" s="65" t="s">
        <v>19</v>
      </c>
      <c r="E149" s="62"/>
      <c r="F149" s="282"/>
      <c r="G149" s="95">
        <f t="shared" si="2"/>
        <v>35.799999999999997</v>
      </c>
      <c r="H149" s="96"/>
      <c r="I149" s="99"/>
    </row>
    <row r="150" spans="1:9" ht="18" customHeight="1" x14ac:dyDescent="0.25">
      <c r="A150" s="58"/>
      <c r="B150" s="59"/>
      <c r="C150" s="66" t="s">
        <v>419</v>
      </c>
      <c r="D150" s="65" t="s">
        <v>19</v>
      </c>
      <c r="E150" s="62"/>
      <c r="F150" s="282"/>
      <c r="G150" s="95">
        <f t="shared" si="2"/>
        <v>35.799999999999997</v>
      </c>
      <c r="H150" s="96"/>
      <c r="I150" s="99"/>
    </row>
    <row r="151" spans="1:9" ht="18" customHeight="1" x14ac:dyDescent="0.25">
      <c r="A151" s="58"/>
      <c r="B151" s="59"/>
      <c r="C151" s="66"/>
      <c r="D151" s="65" t="s">
        <v>19</v>
      </c>
      <c r="E151" s="62"/>
      <c r="F151" s="282"/>
      <c r="G151" s="95">
        <f t="shared" si="2"/>
        <v>35.799999999999997</v>
      </c>
      <c r="H151" s="104"/>
      <c r="I151" s="99"/>
    </row>
    <row r="152" spans="1:9" x14ac:dyDescent="0.25">
      <c r="A152" s="65"/>
      <c r="B152" s="59"/>
      <c r="C152" s="105"/>
      <c r="D152" s="65" t="s">
        <v>19</v>
      </c>
      <c r="E152" s="289"/>
      <c r="F152" s="283"/>
      <c r="G152" s="95">
        <f t="shared" si="2"/>
        <v>35.799999999999997</v>
      </c>
      <c r="H152" s="106"/>
      <c r="I152" s="86"/>
    </row>
    <row r="153" spans="1:9" x14ac:dyDescent="0.25">
      <c r="A153" s="65"/>
      <c r="B153" s="73"/>
      <c r="C153" s="58"/>
      <c r="D153" s="65" t="s">
        <v>19</v>
      </c>
      <c r="E153" s="290"/>
      <c r="F153" s="284"/>
      <c r="G153" s="95">
        <f t="shared" si="2"/>
        <v>35.799999999999997</v>
      </c>
      <c r="H153" s="107"/>
      <c r="I153" s="86"/>
    </row>
    <row r="154" spans="1:9" x14ac:dyDescent="0.25">
      <c r="A154" s="58"/>
      <c r="B154" s="58"/>
      <c r="C154" s="81" t="s">
        <v>13</v>
      </c>
      <c r="D154" s="65"/>
      <c r="E154" s="285">
        <f>SUM(E9:E153)</f>
        <v>57</v>
      </c>
      <c r="F154" s="285">
        <f>SUM(F9:F153)</f>
        <v>21.2</v>
      </c>
      <c r="G154" s="320">
        <f>E154-F154+G8</f>
        <v>35.799999999999997</v>
      </c>
      <c r="H154" s="108"/>
      <c r="I154" s="109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DE2D-EC71-43D6-9465-A7C12165D683}">
  <sheetPr codeName="Sheet18"/>
  <dimension ref="A1:N154"/>
  <sheetViews>
    <sheetView workbookViewId="0">
      <selection activeCell="I15" sqref="I15"/>
    </sheetView>
  </sheetViews>
  <sheetFormatPr defaultRowHeight="15.75" x14ac:dyDescent="0.25"/>
  <cols>
    <col min="1" max="1" width="6" style="55" customWidth="1"/>
    <col min="2" max="2" width="11.5703125" style="55" customWidth="1"/>
    <col min="3" max="3" width="36.28515625" style="55" customWidth="1"/>
    <col min="4" max="4" width="6.140625" style="84" customWidth="1"/>
    <col min="5" max="5" width="12.28515625" style="286" customWidth="1"/>
    <col min="6" max="6" width="12.28515625" style="279" customWidth="1"/>
    <col min="7" max="7" width="12.28515625" style="277" customWidth="1"/>
    <col min="8" max="8" width="18.140625" style="85" customWidth="1"/>
    <col min="9" max="9" width="16.28515625" style="85" customWidth="1"/>
    <col min="10" max="256" width="9" style="55"/>
    <col min="257" max="257" width="6" style="55" customWidth="1"/>
    <col min="258" max="258" width="11.5703125" style="55" customWidth="1"/>
    <col min="259" max="259" width="45.42578125" style="55" customWidth="1"/>
    <col min="260" max="260" width="6.140625" style="55" customWidth="1"/>
    <col min="261" max="263" width="12.28515625" style="55" customWidth="1"/>
    <col min="264" max="264" width="15.140625" style="55" customWidth="1"/>
    <col min="265" max="265" width="15" style="55" customWidth="1"/>
    <col min="266" max="512" width="9" style="55"/>
    <col min="513" max="513" width="6" style="55" customWidth="1"/>
    <col min="514" max="514" width="11.5703125" style="55" customWidth="1"/>
    <col min="515" max="515" width="45.42578125" style="55" customWidth="1"/>
    <col min="516" max="516" width="6.140625" style="55" customWidth="1"/>
    <col min="517" max="519" width="12.28515625" style="55" customWidth="1"/>
    <col min="520" max="520" width="15.140625" style="55" customWidth="1"/>
    <col min="521" max="521" width="15" style="55" customWidth="1"/>
    <col min="522" max="768" width="9" style="55"/>
    <col min="769" max="769" width="6" style="55" customWidth="1"/>
    <col min="770" max="770" width="11.5703125" style="55" customWidth="1"/>
    <col min="771" max="771" width="45.42578125" style="55" customWidth="1"/>
    <col min="772" max="772" width="6.140625" style="55" customWidth="1"/>
    <col min="773" max="775" width="12.28515625" style="55" customWidth="1"/>
    <col min="776" max="776" width="15.140625" style="55" customWidth="1"/>
    <col min="777" max="777" width="15" style="55" customWidth="1"/>
    <col min="778" max="1024" width="9" style="55"/>
    <col min="1025" max="1025" width="6" style="55" customWidth="1"/>
    <col min="1026" max="1026" width="11.5703125" style="55" customWidth="1"/>
    <col min="1027" max="1027" width="45.42578125" style="55" customWidth="1"/>
    <col min="1028" max="1028" width="6.140625" style="55" customWidth="1"/>
    <col min="1029" max="1031" width="12.28515625" style="55" customWidth="1"/>
    <col min="1032" max="1032" width="15.140625" style="55" customWidth="1"/>
    <col min="1033" max="1033" width="15" style="55" customWidth="1"/>
    <col min="1034" max="1280" width="9" style="55"/>
    <col min="1281" max="1281" width="6" style="55" customWidth="1"/>
    <col min="1282" max="1282" width="11.5703125" style="55" customWidth="1"/>
    <col min="1283" max="1283" width="45.42578125" style="55" customWidth="1"/>
    <col min="1284" max="1284" width="6.140625" style="55" customWidth="1"/>
    <col min="1285" max="1287" width="12.28515625" style="55" customWidth="1"/>
    <col min="1288" max="1288" width="15.140625" style="55" customWidth="1"/>
    <col min="1289" max="1289" width="15" style="55" customWidth="1"/>
    <col min="1290" max="1536" width="9" style="55"/>
    <col min="1537" max="1537" width="6" style="55" customWidth="1"/>
    <col min="1538" max="1538" width="11.5703125" style="55" customWidth="1"/>
    <col min="1539" max="1539" width="45.42578125" style="55" customWidth="1"/>
    <col min="1540" max="1540" width="6.140625" style="55" customWidth="1"/>
    <col min="1541" max="1543" width="12.28515625" style="55" customWidth="1"/>
    <col min="1544" max="1544" width="15.140625" style="55" customWidth="1"/>
    <col min="1545" max="1545" width="15" style="55" customWidth="1"/>
    <col min="1546" max="1792" width="9" style="55"/>
    <col min="1793" max="1793" width="6" style="55" customWidth="1"/>
    <col min="1794" max="1794" width="11.5703125" style="55" customWidth="1"/>
    <col min="1795" max="1795" width="45.42578125" style="55" customWidth="1"/>
    <col min="1796" max="1796" width="6.140625" style="55" customWidth="1"/>
    <col min="1797" max="1799" width="12.28515625" style="55" customWidth="1"/>
    <col min="1800" max="1800" width="15.140625" style="55" customWidth="1"/>
    <col min="1801" max="1801" width="15" style="55" customWidth="1"/>
    <col min="1802" max="2048" width="9" style="55"/>
    <col min="2049" max="2049" width="6" style="55" customWidth="1"/>
    <col min="2050" max="2050" width="11.5703125" style="55" customWidth="1"/>
    <col min="2051" max="2051" width="45.42578125" style="55" customWidth="1"/>
    <col min="2052" max="2052" width="6.140625" style="55" customWidth="1"/>
    <col min="2053" max="2055" width="12.28515625" style="55" customWidth="1"/>
    <col min="2056" max="2056" width="15.140625" style="55" customWidth="1"/>
    <col min="2057" max="2057" width="15" style="55" customWidth="1"/>
    <col min="2058" max="2304" width="9" style="55"/>
    <col min="2305" max="2305" width="6" style="55" customWidth="1"/>
    <col min="2306" max="2306" width="11.5703125" style="55" customWidth="1"/>
    <col min="2307" max="2307" width="45.42578125" style="55" customWidth="1"/>
    <col min="2308" max="2308" width="6.140625" style="55" customWidth="1"/>
    <col min="2309" max="2311" width="12.28515625" style="55" customWidth="1"/>
    <col min="2312" max="2312" width="15.140625" style="55" customWidth="1"/>
    <col min="2313" max="2313" width="15" style="55" customWidth="1"/>
    <col min="2314" max="2560" width="9" style="55"/>
    <col min="2561" max="2561" width="6" style="55" customWidth="1"/>
    <col min="2562" max="2562" width="11.5703125" style="55" customWidth="1"/>
    <col min="2563" max="2563" width="45.42578125" style="55" customWidth="1"/>
    <col min="2564" max="2564" width="6.140625" style="55" customWidth="1"/>
    <col min="2565" max="2567" width="12.28515625" style="55" customWidth="1"/>
    <col min="2568" max="2568" width="15.140625" style="55" customWidth="1"/>
    <col min="2569" max="2569" width="15" style="55" customWidth="1"/>
    <col min="2570" max="2816" width="9" style="55"/>
    <col min="2817" max="2817" width="6" style="55" customWidth="1"/>
    <col min="2818" max="2818" width="11.5703125" style="55" customWidth="1"/>
    <col min="2819" max="2819" width="45.42578125" style="55" customWidth="1"/>
    <col min="2820" max="2820" width="6.140625" style="55" customWidth="1"/>
    <col min="2821" max="2823" width="12.28515625" style="55" customWidth="1"/>
    <col min="2824" max="2824" width="15.140625" style="55" customWidth="1"/>
    <col min="2825" max="2825" width="15" style="55" customWidth="1"/>
    <col min="2826" max="3072" width="9" style="55"/>
    <col min="3073" max="3073" width="6" style="55" customWidth="1"/>
    <col min="3074" max="3074" width="11.5703125" style="55" customWidth="1"/>
    <col min="3075" max="3075" width="45.42578125" style="55" customWidth="1"/>
    <col min="3076" max="3076" width="6.140625" style="55" customWidth="1"/>
    <col min="3077" max="3079" width="12.28515625" style="55" customWidth="1"/>
    <col min="3080" max="3080" width="15.140625" style="55" customWidth="1"/>
    <col min="3081" max="3081" width="15" style="55" customWidth="1"/>
    <col min="3082" max="3328" width="9" style="55"/>
    <col min="3329" max="3329" width="6" style="55" customWidth="1"/>
    <col min="3330" max="3330" width="11.5703125" style="55" customWidth="1"/>
    <col min="3331" max="3331" width="45.42578125" style="55" customWidth="1"/>
    <col min="3332" max="3332" width="6.140625" style="55" customWidth="1"/>
    <col min="3333" max="3335" width="12.28515625" style="55" customWidth="1"/>
    <col min="3336" max="3336" width="15.140625" style="55" customWidth="1"/>
    <col min="3337" max="3337" width="15" style="55" customWidth="1"/>
    <col min="3338" max="3584" width="9" style="55"/>
    <col min="3585" max="3585" width="6" style="55" customWidth="1"/>
    <col min="3586" max="3586" width="11.5703125" style="55" customWidth="1"/>
    <col min="3587" max="3587" width="45.42578125" style="55" customWidth="1"/>
    <col min="3588" max="3588" width="6.140625" style="55" customWidth="1"/>
    <col min="3589" max="3591" width="12.28515625" style="55" customWidth="1"/>
    <col min="3592" max="3592" width="15.140625" style="55" customWidth="1"/>
    <col min="3593" max="3593" width="15" style="55" customWidth="1"/>
    <col min="3594" max="3840" width="9" style="55"/>
    <col min="3841" max="3841" width="6" style="55" customWidth="1"/>
    <col min="3842" max="3842" width="11.5703125" style="55" customWidth="1"/>
    <col min="3843" max="3843" width="45.42578125" style="55" customWidth="1"/>
    <col min="3844" max="3844" width="6.140625" style="55" customWidth="1"/>
    <col min="3845" max="3847" width="12.28515625" style="55" customWidth="1"/>
    <col min="3848" max="3848" width="15.140625" style="55" customWidth="1"/>
    <col min="3849" max="3849" width="15" style="55" customWidth="1"/>
    <col min="3850" max="4096" width="9" style="55"/>
    <col min="4097" max="4097" width="6" style="55" customWidth="1"/>
    <col min="4098" max="4098" width="11.5703125" style="55" customWidth="1"/>
    <col min="4099" max="4099" width="45.42578125" style="55" customWidth="1"/>
    <col min="4100" max="4100" width="6.140625" style="55" customWidth="1"/>
    <col min="4101" max="4103" width="12.28515625" style="55" customWidth="1"/>
    <col min="4104" max="4104" width="15.140625" style="55" customWidth="1"/>
    <col min="4105" max="4105" width="15" style="55" customWidth="1"/>
    <col min="4106" max="4352" width="9" style="55"/>
    <col min="4353" max="4353" width="6" style="55" customWidth="1"/>
    <col min="4354" max="4354" width="11.5703125" style="55" customWidth="1"/>
    <col min="4355" max="4355" width="45.42578125" style="55" customWidth="1"/>
    <col min="4356" max="4356" width="6.140625" style="55" customWidth="1"/>
    <col min="4357" max="4359" width="12.28515625" style="55" customWidth="1"/>
    <col min="4360" max="4360" width="15.140625" style="55" customWidth="1"/>
    <col min="4361" max="4361" width="15" style="55" customWidth="1"/>
    <col min="4362" max="4608" width="9" style="55"/>
    <col min="4609" max="4609" width="6" style="55" customWidth="1"/>
    <col min="4610" max="4610" width="11.5703125" style="55" customWidth="1"/>
    <col min="4611" max="4611" width="45.42578125" style="55" customWidth="1"/>
    <col min="4612" max="4612" width="6.140625" style="55" customWidth="1"/>
    <col min="4613" max="4615" width="12.28515625" style="55" customWidth="1"/>
    <col min="4616" max="4616" width="15.140625" style="55" customWidth="1"/>
    <col min="4617" max="4617" width="15" style="55" customWidth="1"/>
    <col min="4618" max="4864" width="9" style="55"/>
    <col min="4865" max="4865" width="6" style="55" customWidth="1"/>
    <col min="4866" max="4866" width="11.5703125" style="55" customWidth="1"/>
    <col min="4867" max="4867" width="45.42578125" style="55" customWidth="1"/>
    <col min="4868" max="4868" width="6.140625" style="55" customWidth="1"/>
    <col min="4869" max="4871" width="12.28515625" style="55" customWidth="1"/>
    <col min="4872" max="4872" width="15.140625" style="55" customWidth="1"/>
    <col min="4873" max="4873" width="15" style="55" customWidth="1"/>
    <col min="4874" max="5120" width="9" style="55"/>
    <col min="5121" max="5121" width="6" style="55" customWidth="1"/>
    <col min="5122" max="5122" width="11.5703125" style="55" customWidth="1"/>
    <col min="5123" max="5123" width="45.42578125" style="55" customWidth="1"/>
    <col min="5124" max="5124" width="6.140625" style="55" customWidth="1"/>
    <col min="5125" max="5127" width="12.28515625" style="55" customWidth="1"/>
    <col min="5128" max="5128" width="15.140625" style="55" customWidth="1"/>
    <col min="5129" max="5129" width="15" style="55" customWidth="1"/>
    <col min="5130" max="5376" width="9" style="55"/>
    <col min="5377" max="5377" width="6" style="55" customWidth="1"/>
    <col min="5378" max="5378" width="11.5703125" style="55" customWidth="1"/>
    <col min="5379" max="5379" width="45.42578125" style="55" customWidth="1"/>
    <col min="5380" max="5380" width="6.140625" style="55" customWidth="1"/>
    <col min="5381" max="5383" width="12.28515625" style="55" customWidth="1"/>
    <col min="5384" max="5384" width="15.140625" style="55" customWidth="1"/>
    <col min="5385" max="5385" width="15" style="55" customWidth="1"/>
    <col min="5386" max="5632" width="9" style="55"/>
    <col min="5633" max="5633" width="6" style="55" customWidth="1"/>
    <col min="5634" max="5634" width="11.5703125" style="55" customWidth="1"/>
    <col min="5635" max="5635" width="45.42578125" style="55" customWidth="1"/>
    <col min="5636" max="5636" width="6.140625" style="55" customWidth="1"/>
    <col min="5637" max="5639" width="12.28515625" style="55" customWidth="1"/>
    <col min="5640" max="5640" width="15.140625" style="55" customWidth="1"/>
    <col min="5641" max="5641" width="15" style="55" customWidth="1"/>
    <col min="5642" max="5888" width="9" style="55"/>
    <col min="5889" max="5889" width="6" style="55" customWidth="1"/>
    <col min="5890" max="5890" width="11.5703125" style="55" customWidth="1"/>
    <col min="5891" max="5891" width="45.42578125" style="55" customWidth="1"/>
    <col min="5892" max="5892" width="6.140625" style="55" customWidth="1"/>
    <col min="5893" max="5895" width="12.28515625" style="55" customWidth="1"/>
    <col min="5896" max="5896" width="15.140625" style="55" customWidth="1"/>
    <col min="5897" max="5897" width="15" style="55" customWidth="1"/>
    <col min="5898" max="6144" width="9" style="55"/>
    <col min="6145" max="6145" width="6" style="55" customWidth="1"/>
    <col min="6146" max="6146" width="11.5703125" style="55" customWidth="1"/>
    <col min="6147" max="6147" width="45.42578125" style="55" customWidth="1"/>
    <col min="6148" max="6148" width="6.140625" style="55" customWidth="1"/>
    <col min="6149" max="6151" width="12.28515625" style="55" customWidth="1"/>
    <col min="6152" max="6152" width="15.140625" style="55" customWidth="1"/>
    <col min="6153" max="6153" width="15" style="55" customWidth="1"/>
    <col min="6154" max="6400" width="9" style="55"/>
    <col min="6401" max="6401" width="6" style="55" customWidth="1"/>
    <col min="6402" max="6402" width="11.5703125" style="55" customWidth="1"/>
    <col min="6403" max="6403" width="45.42578125" style="55" customWidth="1"/>
    <col min="6404" max="6404" width="6.140625" style="55" customWidth="1"/>
    <col min="6405" max="6407" width="12.28515625" style="55" customWidth="1"/>
    <col min="6408" max="6408" width="15.140625" style="55" customWidth="1"/>
    <col min="6409" max="6409" width="15" style="55" customWidth="1"/>
    <col min="6410" max="6656" width="9" style="55"/>
    <col min="6657" max="6657" width="6" style="55" customWidth="1"/>
    <col min="6658" max="6658" width="11.5703125" style="55" customWidth="1"/>
    <col min="6659" max="6659" width="45.42578125" style="55" customWidth="1"/>
    <col min="6660" max="6660" width="6.140625" style="55" customWidth="1"/>
    <col min="6661" max="6663" width="12.28515625" style="55" customWidth="1"/>
    <col min="6664" max="6664" width="15.140625" style="55" customWidth="1"/>
    <col min="6665" max="6665" width="15" style="55" customWidth="1"/>
    <col min="6666" max="6912" width="9" style="55"/>
    <col min="6913" max="6913" width="6" style="55" customWidth="1"/>
    <col min="6914" max="6914" width="11.5703125" style="55" customWidth="1"/>
    <col min="6915" max="6915" width="45.42578125" style="55" customWidth="1"/>
    <col min="6916" max="6916" width="6.140625" style="55" customWidth="1"/>
    <col min="6917" max="6919" width="12.28515625" style="55" customWidth="1"/>
    <col min="6920" max="6920" width="15.140625" style="55" customWidth="1"/>
    <col min="6921" max="6921" width="15" style="55" customWidth="1"/>
    <col min="6922" max="7168" width="9" style="55"/>
    <col min="7169" max="7169" width="6" style="55" customWidth="1"/>
    <col min="7170" max="7170" width="11.5703125" style="55" customWidth="1"/>
    <col min="7171" max="7171" width="45.42578125" style="55" customWidth="1"/>
    <col min="7172" max="7172" width="6.140625" style="55" customWidth="1"/>
    <col min="7173" max="7175" width="12.28515625" style="55" customWidth="1"/>
    <col min="7176" max="7176" width="15.140625" style="55" customWidth="1"/>
    <col min="7177" max="7177" width="15" style="55" customWidth="1"/>
    <col min="7178" max="7424" width="9" style="55"/>
    <col min="7425" max="7425" width="6" style="55" customWidth="1"/>
    <col min="7426" max="7426" width="11.5703125" style="55" customWidth="1"/>
    <col min="7427" max="7427" width="45.42578125" style="55" customWidth="1"/>
    <col min="7428" max="7428" width="6.140625" style="55" customWidth="1"/>
    <col min="7429" max="7431" width="12.28515625" style="55" customWidth="1"/>
    <col min="7432" max="7432" width="15.140625" style="55" customWidth="1"/>
    <col min="7433" max="7433" width="15" style="55" customWidth="1"/>
    <col min="7434" max="7680" width="9" style="55"/>
    <col min="7681" max="7681" width="6" style="55" customWidth="1"/>
    <col min="7682" max="7682" width="11.5703125" style="55" customWidth="1"/>
    <col min="7683" max="7683" width="45.42578125" style="55" customWidth="1"/>
    <col min="7684" max="7684" width="6.140625" style="55" customWidth="1"/>
    <col min="7685" max="7687" width="12.28515625" style="55" customWidth="1"/>
    <col min="7688" max="7688" width="15.140625" style="55" customWidth="1"/>
    <col min="7689" max="7689" width="15" style="55" customWidth="1"/>
    <col min="7690" max="7936" width="9" style="55"/>
    <col min="7937" max="7937" width="6" style="55" customWidth="1"/>
    <col min="7938" max="7938" width="11.5703125" style="55" customWidth="1"/>
    <col min="7939" max="7939" width="45.42578125" style="55" customWidth="1"/>
    <col min="7940" max="7940" width="6.140625" style="55" customWidth="1"/>
    <col min="7941" max="7943" width="12.28515625" style="55" customWidth="1"/>
    <col min="7944" max="7944" width="15.140625" style="55" customWidth="1"/>
    <col min="7945" max="7945" width="15" style="55" customWidth="1"/>
    <col min="7946" max="8192" width="9" style="55"/>
    <col min="8193" max="8193" width="6" style="55" customWidth="1"/>
    <col min="8194" max="8194" width="11.5703125" style="55" customWidth="1"/>
    <col min="8195" max="8195" width="45.42578125" style="55" customWidth="1"/>
    <col min="8196" max="8196" width="6.140625" style="55" customWidth="1"/>
    <col min="8197" max="8199" width="12.28515625" style="55" customWidth="1"/>
    <col min="8200" max="8200" width="15.140625" style="55" customWidth="1"/>
    <col min="8201" max="8201" width="15" style="55" customWidth="1"/>
    <col min="8202" max="8448" width="9" style="55"/>
    <col min="8449" max="8449" width="6" style="55" customWidth="1"/>
    <col min="8450" max="8450" width="11.5703125" style="55" customWidth="1"/>
    <col min="8451" max="8451" width="45.42578125" style="55" customWidth="1"/>
    <col min="8452" max="8452" width="6.140625" style="55" customWidth="1"/>
    <col min="8453" max="8455" width="12.28515625" style="55" customWidth="1"/>
    <col min="8456" max="8456" width="15.140625" style="55" customWidth="1"/>
    <col min="8457" max="8457" width="15" style="55" customWidth="1"/>
    <col min="8458" max="8704" width="9" style="55"/>
    <col min="8705" max="8705" width="6" style="55" customWidth="1"/>
    <col min="8706" max="8706" width="11.5703125" style="55" customWidth="1"/>
    <col min="8707" max="8707" width="45.42578125" style="55" customWidth="1"/>
    <col min="8708" max="8708" width="6.140625" style="55" customWidth="1"/>
    <col min="8709" max="8711" width="12.28515625" style="55" customWidth="1"/>
    <col min="8712" max="8712" width="15.140625" style="55" customWidth="1"/>
    <col min="8713" max="8713" width="15" style="55" customWidth="1"/>
    <col min="8714" max="8960" width="9" style="55"/>
    <col min="8961" max="8961" width="6" style="55" customWidth="1"/>
    <col min="8962" max="8962" width="11.5703125" style="55" customWidth="1"/>
    <col min="8963" max="8963" width="45.42578125" style="55" customWidth="1"/>
    <col min="8964" max="8964" width="6.140625" style="55" customWidth="1"/>
    <col min="8965" max="8967" width="12.28515625" style="55" customWidth="1"/>
    <col min="8968" max="8968" width="15.140625" style="55" customWidth="1"/>
    <col min="8969" max="8969" width="15" style="55" customWidth="1"/>
    <col min="8970" max="9216" width="9" style="55"/>
    <col min="9217" max="9217" width="6" style="55" customWidth="1"/>
    <col min="9218" max="9218" width="11.5703125" style="55" customWidth="1"/>
    <col min="9219" max="9219" width="45.42578125" style="55" customWidth="1"/>
    <col min="9220" max="9220" width="6.140625" style="55" customWidth="1"/>
    <col min="9221" max="9223" width="12.28515625" style="55" customWidth="1"/>
    <col min="9224" max="9224" width="15.140625" style="55" customWidth="1"/>
    <col min="9225" max="9225" width="15" style="55" customWidth="1"/>
    <col min="9226" max="9472" width="9" style="55"/>
    <col min="9473" max="9473" width="6" style="55" customWidth="1"/>
    <col min="9474" max="9474" width="11.5703125" style="55" customWidth="1"/>
    <col min="9475" max="9475" width="45.42578125" style="55" customWidth="1"/>
    <col min="9476" max="9476" width="6.140625" style="55" customWidth="1"/>
    <col min="9477" max="9479" width="12.28515625" style="55" customWidth="1"/>
    <col min="9480" max="9480" width="15.140625" style="55" customWidth="1"/>
    <col min="9481" max="9481" width="15" style="55" customWidth="1"/>
    <col min="9482" max="9728" width="9" style="55"/>
    <col min="9729" max="9729" width="6" style="55" customWidth="1"/>
    <col min="9730" max="9730" width="11.5703125" style="55" customWidth="1"/>
    <col min="9731" max="9731" width="45.42578125" style="55" customWidth="1"/>
    <col min="9732" max="9732" width="6.140625" style="55" customWidth="1"/>
    <col min="9733" max="9735" width="12.28515625" style="55" customWidth="1"/>
    <col min="9736" max="9736" width="15.140625" style="55" customWidth="1"/>
    <col min="9737" max="9737" width="15" style="55" customWidth="1"/>
    <col min="9738" max="9984" width="9" style="55"/>
    <col min="9985" max="9985" width="6" style="55" customWidth="1"/>
    <col min="9986" max="9986" width="11.5703125" style="55" customWidth="1"/>
    <col min="9987" max="9987" width="45.42578125" style="55" customWidth="1"/>
    <col min="9988" max="9988" width="6.140625" style="55" customWidth="1"/>
    <col min="9989" max="9991" width="12.28515625" style="55" customWidth="1"/>
    <col min="9992" max="9992" width="15.140625" style="55" customWidth="1"/>
    <col min="9993" max="9993" width="15" style="55" customWidth="1"/>
    <col min="9994" max="10240" width="9" style="55"/>
    <col min="10241" max="10241" width="6" style="55" customWidth="1"/>
    <col min="10242" max="10242" width="11.5703125" style="55" customWidth="1"/>
    <col min="10243" max="10243" width="45.42578125" style="55" customWidth="1"/>
    <col min="10244" max="10244" width="6.140625" style="55" customWidth="1"/>
    <col min="10245" max="10247" width="12.28515625" style="55" customWidth="1"/>
    <col min="10248" max="10248" width="15.140625" style="55" customWidth="1"/>
    <col min="10249" max="10249" width="15" style="55" customWidth="1"/>
    <col min="10250" max="10496" width="9" style="55"/>
    <col min="10497" max="10497" width="6" style="55" customWidth="1"/>
    <col min="10498" max="10498" width="11.5703125" style="55" customWidth="1"/>
    <col min="10499" max="10499" width="45.42578125" style="55" customWidth="1"/>
    <col min="10500" max="10500" width="6.140625" style="55" customWidth="1"/>
    <col min="10501" max="10503" width="12.28515625" style="55" customWidth="1"/>
    <col min="10504" max="10504" width="15.140625" style="55" customWidth="1"/>
    <col min="10505" max="10505" width="15" style="55" customWidth="1"/>
    <col min="10506" max="10752" width="9" style="55"/>
    <col min="10753" max="10753" width="6" style="55" customWidth="1"/>
    <col min="10754" max="10754" width="11.5703125" style="55" customWidth="1"/>
    <col min="10755" max="10755" width="45.42578125" style="55" customWidth="1"/>
    <col min="10756" max="10756" width="6.140625" style="55" customWidth="1"/>
    <col min="10757" max="10759" width="12.28515625" style="55" customWidth="1"/>
    <col min="10760" max="10760" width="15.140625" style="55" customWidth="1"/>
    <col min="10761" max="10761" width="15" style="55" customWidth="1"/>
    <col min="10762" max="11008" width="9" style="55"/>
    <col min="11009" max="11009" width="6" style="55" customWidth="1"/>
    <col min="11010" max="11010" width="11.5703125" style="55" customWidth="1"/>
    <col min="11011" max="11011" width="45.42578125" style="55" customWidth="1"/>
    <col min="11012" max="11012" width="6.140625" style="55" customWidth="1"/>
    <col min="11013" max="11015" width="12.28515625" style="55" customWidth="1"/>
    <col min="11016" max="11016" width="15.140625" style="55" customWidth="1"/>
    <col min="11017" max="11017" width="15" style="55" customWidth="1"/>
    <col min="11018" max="11264" width="9" style="55"/>
    <col min="11265" max="11265" width="6" style="55" customWidth="1"/>
    <col min="11266" max="11266" width="11.5703125" style="55" customWidth="1"/>
    <col min="11267" max="11267" width="45.42578125" style="55" customWidth="1"/>
    <col min="11268" max="11268" width="6.140625" style="55" customWidth="1"/>
    <col min="11269" max="11271" width="12.28515625" style="55" customWidth="1"/>
    <col min="11272" max="11272" width="15.140625" style="55" customWidth="1"/>
    <col min="11273" max="11273" width="15" style="55" customWidth="1"/>
    <col min="11274" max="11520" width="9" style="55"/>
    <col min="11521" max="11521" width="6" style="55" customWidth="1"/>
    <col min="11522" max="11522" width="11.5703125" style="55" customWidth="1"/>
    <col min="11523" max="11523" width="45.42578125" style="55" customWidth="1"/>
    <col min="11524" max="11524" width="6.140625" style="55" customWidth="1"/>
    <col min="11525" max="11527" width="12.28515625" style="55" customWidth="1"/>
    <col min="11528" max="11528" width="15.140625" style="55" customWidth="1"/>
    <col min="11529" max="11529" width="15" style="55" customWidth="1"/>
    <col min="11530" max="11776" width="9" style="55"/>
    <col min="11777" max="11777" width="6" style="55" customWidth="1"/>
    <col min="11778" max="11778" width="11.5703125" style="55" customWidth="1"/>
    <col min="11779" max="11779" width="45.42578125" style="55" customWidth="1"/>
    <col min="11780" max="11780" width="6.140625" style="55" customWidth="1"/>
    <col min="11781" max="11783" width="12.28515625" style="55" customWidth="1"/>
    <col min="11784" max="11784" width="15.140625" style="55" customWidth="1"/>
    <col min="11785" max="11785" width="15" style="55" customWidth="1"/>
    <col min="11786" max="12032" width="9" style="55"/>
    <col min="12033" max="12033" width="6" style="55" customWidth="1"/>
    <col min="12034" max="12034" width="11.5703125" style="55" customWidth="1"/>
    <col min="12035" max="12035" width="45.42578125" style="55" customWidth="1"/>
    <col min="12036" max="12036" width="6.140625" style="55" customWidth="1"/>
    <col min="12037" max="12039" width="12.28515625" style="55" customWidth="1"/>
    <col min="12040" max="12040" width="15.140625" style="55" customWidth="1"/>
    <col min="12041" max="12041" width="15" style="55" customWidth="1"/>
    <col min="12042" max="12288" width="9" style="55"/>
    <col min="12289" max="12289" width="6" style="55" customWidth="1"/>
    <col min="12290" max="12290" width="11.5703125" style="55" customWidth="1"/>
    <col min="12291" max="12291" width="45.42578125" style="55" customWidth="1"/>
    <col min="12292" max="12292" width="6.140625" style="55" customWidth="1"/>
    <col min="12293" max="12295" width="12.28515625" style="55" customWidth="1"/>
    <col min="12296" max="12296" width="15.140625" style="55" customWidth="1"/>
    <col min="12297" max="12297" width="15" style="55" customWidth="1"/>
    <col min="12298" max="12544" width="9" style="55"/>
    <col min="12545" max="12545" width="6" style="55" customWidth="1"/>
    <col min="12546" max="12546" width="11.5703125" style="55" customWidth="1"/>
    <col min="12547" max="12547" width="45.42578125" style="55" customWidth="1"/>
    <col min="12548" max="12548" width="6.140625" style="55" customWidth="1"/>
    <col min="12549" max="12551" width="12.28515625" style="55" customWidth="1"/>
    <col min="12552" max="12552" width="15.140625" style="55" customWidth="1"/>
    <col min="12553" max="12553" width="15" style="55" customWidth="1"/>
    <col min="12554" max="12800" width="9" style="55"/>
    <col min="12801" max="12801" width="6" style="55" customWidth="1"/>
    <col min="12802" max="12802" width="11.5703125" style="55" customWidth="1"/>
    <col min="12803" max="12803" width="45.42578125" style="55" customWidth="1"/>
    <col min="12804" max="12804" width="6.140625" style="55" customWidth="1"/>
    <col min="12805" max="12807" width="12.28515625" style="55" customWidth="1"/>
    <col min="12808" max="12808" width="15.140625" style="55" customWidth="1"/>
    <col min="12809" max="12809" width="15" style="55" customWidth="1"/>
    <col min="12810" max="13056" width="9" style="55"/>
    <col min="13057" max="13057" width="6" style="55" customWidth="1"/>
    <col min="13058" max="13058" width="11.5703125" style="55" customWidth="1"/>
    <col min="13059" max="13059" width="45.42578125" style="55" customWidth="1"/>
    <col min="13060" max="13060" width="6.140625" style="55" customWidth="1"/>
    <col min="13061" max="13063" width="12.28515625" style="55" customWidth="1"/>
    <col min="13064" max="13064" width="15.140625" style="55" customWidth="1"/>
    <col min="13065" max="13065" width="15" style="55" customWidth="1"/>
    <col min="13066" max="13312" width="9" style="55"/>
    <col min="13313" max="13313" width="6" style="55" customWidth="1"/>
    <col min="13314" max="13314" width="11.5703125" style="55" customWidth="1"/>
    <col min="13315" max="13315" width="45.42578125" style="55" customWidth="1"/>
    <col min="13316" max="13316" width="6.140625" style="55" customWidth="1"/>
    <col min="13317" max="13319" width="12.28515625" style="55" customWidth="1"/>
    <col min="13320" max="13320" width="15.140625" style="55" customWidth="1"/>
    <col min="13321" max="13321" width="15" style="55" customWidth="1"/>
    <col min="13322" max="13568" width="9" style="55"/>
    <col min="13569" max="13569" width="6" style="55" customWidth="1"/>
    <col min="13570" max="13570" width="11.5703125" style="55" customWidth="1"/>
    <col min="13571" max="13571" width="45.42578125" style="55" customWidth="1"/>
    <col min="13572" max="13572" width="6.140625" style="55" customWidth="1"/>
    <col min="13573" max="13575" width="12.28515625" style="55" customWidth="1"/>
    <col min="13576" max="13576" width="15.140625" style="55" customWidth="1"/>
    <col min="13577" max="13577" width="15" style="55" customWidth="1"/>
    <col min="13578" max="13824" width="9" style="55"/>
    <col min="13825" max="13825" width="6" style="55" customWidth="1"/>
    <col min="13826" max="13826" width="11.5703125" style="55" customWidth="1"/>
    <col min="13827" max="13827" width="45.42578125" style="55" customWidth="1"/>
    <col min="13828" max="13828" width="6.140625" style="55" customWidth="1"/>
    <col min="13829" max="13831" width="12.28515625" style="55" customWidth="1"/>
    <col min="13832" max="13832" width="15.140625" style="55" customWidth="1"/>
    <col min="13833" max="13833" width="15" style="55" customWidth="1"/>
    <col min="13834" max="14080" width="9" style="55"/>
    <col min="14081" max="14081" width="6" style="55" customWidth="1"/>
    <col min="14082" max="14082" width="11.5703125" style="55" customWidth="1"/>
    <col min="14083" max="14083" width="45.42578125" style="55" customWidth="1"/>
    <col min="14084" max="14084" width="6.140625" style="55" customWidth="1"/>
    <col min="14085" max="14087" width="12.28515625" style="55" customWidth="1"/>
    <col min="14088" max="14088" width="15.140625" style="55" customWidth="1"/>
    <col min="14089" max="14089" width="15" style="55" customWidth="1"/>
    <col min="14090" max="14336" width="9" style="55"/>
    <col min="14337" max="14337" width="6" style="55" customWidth="1"/>
    <col min="14338" max="14338" width="11.5703125" style="55" customWidth="1"/>
    <col min="14339" max="14339" width="45.42578125" style="55" customWidth="1"/>
    <col min="14340" max="14340" width="6.140625" style="55" customWidth="1"/>
    <col min="14341" max="14343" width="12.28515625" style="55" customWidth="1"/>
    <col min="14344" max="14344" width="15.140625" style="55" customWidth="1"/>
    <col min="14345" max="14345" width="15" style="55" customWidth="1"/>
    <col min="14346" max="14592" width="9" style="55"/>
    <col min="14593" max="14593" width="6" style="55" customWidth="1"/>
    <col min="14594" max="14594" width="11.5703125" style="55" customWidth="1"/>
    <col min="14595" max="14595" width="45.42578125" style="55" customWidth="1"/>
    <col min="14596" max="14596" width="6.140625" style="55" customWidth="1"/>
    <col min="14597" max="14599" width="12.28515625" style="55" customWidth="1"/>
    <col min="14600" max="14600" width="15.140625" style="55" customWidth="1"/>
    <col min="14601" max="14601" width="15" style="55" customWidth="1"/>
    <col min="14602" max="14848" width="9" style="55"/>
    <col min="14849" max="14849" width="6" style="55" customWidth="1"/>
    <col min="14850" max="14850" width="11.5703125" style="55" customWidth="1"/>
    <col min="14851" max="14851" width="45.42578125" style="55" customWidth="1"/>
    <col min="14852" max="14852" width="6.140625" style="55" customWidth="1"/>
    <col min="14853" max="14855" width="12.28515625" style="55" customWidth="1"/>
    <col min="14856" max="14856" width="15.140625" style="55" customWidth="1"/>
    <col min="14857" max="14857" width="15" style="55" customWidth="1"/>
    <col min="14858" max="15104" width="9" style="55"/>
    <col min="15105" max="15105" width="6" style="55" customWidth="1"/>
    <col min="15106" max="15106" width="11.5703125" style="55" customWidth="1"/>
    <col min="15107" max="15107" width="45.42578125" style="55" customWidth="1"/>
    <col min="15108" max="15108" width="6.140625" style="55" customWidth="1"/>
    <col min="15109" max="15111" width="12.28515625" style="55" customWidth="1"/>
    <col min="15112" max="15112" width="15.140625" style="55" customWidth="1"/>
    <col min="15113" max="15113" width="15" style="55" customWidth="1"/>
    <col min="15114" max="15360" width="9" style="55"/>
    <col min="15361" max="15361" width="6" style="55" customWidth="1"/>
    <col min="15362" max="15362" width="11.5703125" style="55" customWidth="1"/>
    <col min="15363" max="15363" width="45.42578125" style="55" customWidth="1"/>
    <col min="15364" max="15364" width="6.140625" style="55" customWidth="1"/>
    <col min="15365" max="15367" width="12.28515625" style="55" customWidth="1"/>
    <col min="15368" max="15368" width="15.140625" style="55" customWidth="1"/>
    <col min="15369" max="15369" width="15" style="55" customWidth="1"/>
    <col min="15370" max="15616" width="9" style="55"/>
    <col min="15617" max="15617" width="6" style="55" customWidth="1"/>
    <col min="15618" max="15618" width="11.5703125" style="55" customWidth="1"/>
    <col min="15619" max="15619" width="45.42578125" style="55" customWidth="1"/>
    <col min="15620" max="15620" width="6.140625" style="55" customWidth="1"/>
    <col min="15621" max="15623" width="12.28515625" style="55" customWidth="1"/>
    <col min="15624" max="15624" width="15.140625" style="55" customWidth="1"/>
    <col min="15625" max="15625" width="15" style="55" customWidth="1"/>
    <col min="15626" max="15872" width="9" style="55"/>
    <col min="15873" max="15873" width="6" style="55" customWidth="1"/>
    <col min="15874" max="15874" width="11.5703125" style="55" customWidth="1"/>
    <col min="15875" max="15875" width="45.42578125" style="55" customWidth="1"/>
    <col min="15876" max="15876" width="6.140625" style="55" customWidth="1"/>
    <col min="15877" max="15879" width="12.28515625" style="55" customWidth="1"/>
    <col min="15880" max="15880" width="15.140625" style="55" customWidth="1"/>
    <col min="15881" max="15881" width="15" style="55" customWidth="1"/>
    <col min="15882" max="16128" width="9" style="55"/>
    <col min="16129" max="16129" width="6" style="55" customWidth="1"/>
    <col min="16130" max="16130" width="11.5703125" style="55" customWidth="1"/>
    <col min="16131" max="16131" width="45.42578125" style="55" customWidth="1"/>
    <col min="16132" max="16132" width="6.140625" style="55" customWidth="1"/>
    <col min="16133" max="16135" width="12.28515625" style="55" customWidth="1"/>
    <col min="16136" max="16136" width="15.140625" style="55" customWidth="1"/>
    <col min="16137" max="16137" width="15" style="55" customWidth="1"/>
    <col min="16138" max="16384" width="9" style="55"/>
  </cols>
  <sheetData>
    <row r="1" spans="1:10" x14ac:dyDescent="0.25">
      <c r="A1" s="55" t="s">
        <v>18</v>
      </c>
    </row>
    <row r="2" spans="1:10" x14ac:dyDescent="0.25">
      <c r="A2" s="55" t="s">
        <v>1</v>
      </c>
    </row>
    <row r="4" spans="1:10" x14ac:dyDescent="0.25">
      <c r="A4" s="459" t="str">
        <f>+'[1]Hộp oto'!A4:I5</f>
        <v>THẺ KHO NGUYÊN VẬT LIỆU</v>
      </c>
      <c r="B4" s="459"/>
      <c r="C4" s="459"/>
      <c r="D4" s="459"/>
      <c r="E4" s="459"/>
      <c r="F4" s="459"/>
      <c r="G4" s="459"/>
      <c r="H4" s="459"/>
      <c r="I4" s="459"/>
    </row>
    <row r="5" spans="1:10" x14ac:dyDescent="0.25">
      <c r="A5" s="459"/>
      <c r="B5" s="459"/>
      <c r="C5" s="459"/>
      <c r="D5" s="459"/>
      <c r="E5" s="459"/>
      <c r="F5" s="459"/>
      <c r="G5" s="459"/>
      <c r="H5" s="459"/>
      <c r="I5" s="459"/>
    </row>
    <row r="7" spans="1:10" ht="33.75" customHeight="1" x14ac:dyDescent="0.25">
      <c r="A7" s="65" t="s">
        <v>3</v>
      </c>
      <c r="B7" s="65" t="s">
        <v>4</v>
      </c>
      <c r="C7" s="4" t="s">
        <v>117</v>
      </c>
      <c r="D7" s="65" t="s">
        <v>5</v>
      </c>
      <c r="E7" s="287" t="s">
        <v>6</v>
      </c>
      <c r="F7" s="280" t="s">
        <v>7</v>
      </c>
      <c r="G7" s="398" t="s">
        <v>8</v>
      </c>
      <c r="H7" s="86" t="s">
        <v>9</v>
      </c>
      <c r="I7" s="86" t="s">
        <v>10</v>
      </c>
    </row>
    <row r="8" spans="1:10" s="94" customFormat="1" ht="18" customHeight="1" x14ac:dyDescent="0.25">
      <c r="A8" s="87"/>
      <c r="B8" s="88">
        <v>45658</v>
      </c>
      <c r="C8" s="89" t="s">
        <v>15</v>
      </c>
      <c r="D8" s="61" t="s">
        <v>19</v>
      </c>
      <c r="E8" s="90"/>
      <c r="F8" s="90"/>
      <c r="G8" s="91"/>
      <c r="H8" s="92"/>
      <c r="I8" s="93"/>
    </row>
    <row r="9" spans="1:10" ht="18" customHeight="1" x14ac:dyDescent="0.25">
      <c r="A9" s="58"/>
      <c r="B9" s="59">
        <v>45773</v>
      </c>
      <c r="C9" s="66" t="s">
        <v>387</v>
      </c>
      <c r="D9" s="61"/>
      <c r="E9" s="62">
        <v>73</v>
      </c>
      <c r="F9" s="62"/>
      <c r="G9" s="95">
        <f>+G8+E9-F9</f>
        <v>73</v>
      </c>
      <c r="H9" s="96" t="s">
        <v>94</v>
      </c>
      <c r="I9" s="96" t="s">
        <v>213</v>
      </c>
    </row>
    <row r="10" spans="1:10" ht="18" customHeight="1" x14ac:dyDescent="0.25">
      <c r="A10" s="58"/>
      <c r="B10" s="59">
        <v>45786</v>
      </c>
      <c r="C10" s="66"/>
      <c r="D10" s="61"/>
      <c r="E10" s="62"/>
      <c r="F10" s="97">
        <v>7</v>
      </c>
      <c r="G10" s="95">
        <f t="shared" ref="G10:G73" si="0">+G9+E10-F10</f>
        <v>66</v>
      </c>
      <c r="H10" s="96"/>
      <c r="I10" s="96"/>
    </row>
    <row r="11" spans="1:10" ht="18" customHeight="1" x14ac:dyDescent="0.25">
      <c r="A11" s="58"/>
      <c r="B11" s="70">
        <v>45787</v>
      </c>
      <c r="C11" s="66"/>
      <c r="D11" s="61"/>
      <c r="E11" s="62"/>
      <c r="F11" s="97">
        <v>3.6</v>
      </c>
      <c r="G11" s="95">
        <f t="shared" si="0"/>
        <v>62.4</v>
      </c>
      <c r="H11" s="96"/>
      <c r="I11" s="96"/>
    </row>
    <row r="12" spans="1:10" ht="18" customHeight="1" x14ac:dyDescent="0.25">
      <c r="A12" s="58"/>
      <c r="B12" s="59">
        <v>45839</v>
      </c>
      <c r="C12" s="66"/>
      <c r="D12" s="61"/>
      <c r="E12" s="62"/>
      <c r="F12" s="97">
        <v>8.6</v>
      </c>
      <c r="G12" s="95">
        <f t="shared" si="0"/>
        <v>53.8</v>
      </c>
      <c r="H12" s="96"/>
      <c r="I12" s="96"/>
    </row>
    <row r="13" spans="1:10" ht="18" customHeight="1" x14ac:dyDescent="0.25">
      <c r="A13" s="58"/>
      <c r="B13" s="59">
        <v>45840</v>
      </c>
      <c r="C13" s="66"/>
      <c r="D13" s="61"/>
      <c r="E13" s="62"/>
      <c r="F13" s="97">
        <v>13.3</v>
      </c>
      <c r="G13" s="95">
        <f>+G12+E13-F13</f>
        <v>40.5</v>
      </c>
      <c r="H13" s="96"/>
      <c r="I13" s="96"/>
    </row>
    <row r="14" spans="1:10" ht="18" customHeight="1" x14ac:dyDescent="0.25">
      <c r="A14" s="58"/>
      <c r="B14" s="59">
        <v>45938</v>
      </c>
      <c r="C14" s="66"/>
      <c r="D14" s="61"/>
      <c r="E14" s="62"/>
      <c r="F14" s="97">
        <v>14.5</v>
      </c>
      <c r="G14" s="95">
        <f t="shared" si="0"/>
        <v>26</v>
      </c>
      <c r="H14" s="96" t="s">
        <v>129</v>
      </c>
      <c r="I14" s="96" t="s">
        <v>90</v>
      </c>
    </row>
    <row r="15" spans="1:10" ht="18" customHeight="1" x14ac:dyDescent="0.25">
      <c r="A15" s="58"/>
      <c r="B15" s="59">
        <v>45940</v>
      </c>
      <c r="C15" s="66"/>
      <c r="D15" s="61"/>
      <c r="E15" s="62"/>
      <c r="F15" s="97">
        <v>2</v>
      </c>
      <c r="G15" s="95">
        <f t="shared" si="0"/>
        <v>24</v>
      </c>
      <c r="H15" s="96"/>
      <c r="I15" s="96" t="s">
        <v>456</v>
      </c>
    </row>
    <row r="16" spans="1:10" ht="18" customHeight="1" x14ac:dyDescent="0.25">
      <c r="A16" s="58"/>
      <c r="B16" s="59"/>
      <c r="C16" s="66"/>
      <c r="D16" s="61"/>
      <c r="E16" s="62"/>
      <c r="F16" s="97"/>
      <c r="G16" s="95">
        <f t="shared" si="0"/>
        <v>24</v>
      </c>
      <c r="H16" s="96"/>
      <c r="I16" s="96"/>
      <c r="J16" s="72"/>
    </row>
    <row r="17" spans="1:14" ht="18" customHeight="1" x14ac:dyDescent="0.25">
      <c r="A17" s="58"/>
      <c r="B17" s="98"/>
      <c r="C17" s="66"/>
      <c r="D17" s="61"/>
      <c r="E17" s="62"/>
      <c r="F17" s="62"/>
      <c r="G17" s="95">
        <f t="shared" si="0"/>
        <v>24</v>
      </c>
      <c r="H17" s="96"/>
      <c r="I17" s="96"/>
      <c r="J17" s="72"/>
    </row>
    <row r="18" spans="1:14" ht="18" customHeight="1" x14ac:dyDescent="0.25">
      <c r="A18" s="58"/>
      <c r="B18" s="59"/>
      <c r="C18" s="66"/>
      <c r="D18" s="61"/>
      <c r="E18" s="62"/>
      <c r="F18" s="97"/>
      <c r="G18" s="95">
        <f t="shared" si="0"/>
        <v>24</v>
      </c>
      <c r="H18" s="96"/>
      <c r="I18" s="96"/>
      <c r="J18" s="72"/>
    </row>
    <row r="19" spans="1:14" ht="18" customHeight="1" x14ac:dyDescent="0.25">
      <c r="A19" s="58"/>
      <c r="B19" s="59"/>
      <c r="C19" s="66"/>
      <c r="D19" s="61"/>
      <c r="E19" s="62"/>
      <c r="F19" s="97"/>
      <c r="G19" s="95">
        <f t="shared" si="0"/>
        <v>24</v>
      </c>
      <c r="H19" s="96"/>
      <c r="I19" s="96"/>
      <c r="J19" s="72"/>
    </row>
    <row r="20" spans="1:14" ht="18" customHeight="1" x14ac:dyDescent="0.25">
      <c r="A20" s="58"/>
      <c r="B20" s="59"/>
      <c r="C20" s="66"/>
      <c r="D20" s="61"/>
      <c r="E20" s="62"/>
      <c r="F20" s="97"/>
      <c r="G20" s="95">
        <f t="shared" si="0"/>
        <v>24</v>
      </c>
      <c r="H20" s="96"/>
      <c r="I20" s="96"/>
      <c r="J20" s="72"/>
    </row>
    <row r="21" spans="1:14" ht="18" customHeight="1" x14ac:dyDescent="0.25">
      <c r="A21" s="58"/>
      <c r="B21" s="59"/>
      <c r="C21" s="66"/>
      <c r="D21" s="61"/>
      <c r="E21" s="62"/>
      <c r="F21" s="97"/>
      <c r="G21" s="95">
        <f t="shared" si="0"/>
        <v>24</v>
      </c>
      <c r="H21" s="96"/>
      <c r="I21" s="96"/>
      <c r="J21" s="72"/>
    </row>
    <row r="22" spans="1:14" ht="18" customHeight="1" x14ac:dyDescent="0.25">
      <c r="A22" s="58"/>
      <c r="B22" s="59"/>
      <c r="C22" s="66"/>
      <c r="D22" s="61"/>
      <c r="E22" s="62"/>
      <c r="F22" s="62"/>
      <c r="G22" s="95">
        <f t="shared" si="0"/>
        <v>24</v>
      </c>
      <c r="H22" s="96"/>
      <c r="I22" s="96"/>
      <c r="J22" s="72"/>
      <c r="N22" s="55">
        <f>4*16+12</f>
        <v>76</v>
      </c>
    </row>
    <row r="23" spans="1:14" ht="18" customHeight="1" x14ac:dyDescent="0.25">
      <c r="A23" s="58"/>
      <c r="B23" s="59"/>
      <c r="C23" s="66"/>
      <c r="D23" s="61"/>
      <c r="E23" s="62"/>
      <c r="F23" s="62"/>
      <c r="G23" s="95">
        <f t="shared" si="0"/>
        <v>24</v>
      </c>
      <c r="H23" s="96"/>
      <c r="I23" s="96"/>
      <c r="J23" s="72"/>
      <c r="N23" s="55">
        <f>+N22*12</f>
        <v>912</v>
      </c>
    </row>
    <row r="24" spans="1:14" ht="18" customHeight="1" x14ac:dyDescent="0.25">
      <c r="A24" s="58"/>
      <c r="B24" s="59"/>
      <c r="C24" s="66"/>
      <c r="D24" s="61"/>
      <c r="E24" s="62"/>
      <c r="F24" s="97"/>
      <c r="G24" s="95">
        <f t="shared" si="0"/>
        <v>24</v>
      </c>
      <c r="H24" s="96"/>
      <c r="I24" s="96"/>
      <c r="J24" s="72"/>
      <c r="N24" s="55">
        <f>+N23*12</f>
        <v>10944</v>
      </c>
    </row>
    <row r="25" spans="1:14" ht="18" customHeight="1" x14ac:dyDescent="0.25">
      <c r="A25" s="355"/>
      <c r="B25" s="356"/>
      <c r="C25" s="357"/>
      <c r="D25" s="358"/>
      <c r="E25" s="281"/>
      <c r="F25" s="281"/>
      <c r="G25" s="95">
        <f t="shared" si="0"/>
        <v>24</v>
      </c>
      <c r="H25" s="354"/>
      <c r="I25" s="354"/>
      <c r="N25" s="55">
        <f>+N24*89</f>
        <v>974016</v>
      </c>
    </row>
    <row r="26" spans="1:14" ht="18" customHeight="1" x14ac:dyDescent="0.25">
      <c r="A26" s="58"/>
      <c r="B26" s="59"/>
      <c r="C26" s="66"/>
      <c r="D26" s="61"/>
      <c r="E26" s="62"/>
      <c r="F26" s="97"/>
      <c r="G26" s="95">
        <f t="shared" si="0"/>
        <v>24</v>
      </c>
      <c r="H26" s="96"/>
      <c r="I26" s="96"/>
      <c r="N26" s="55">
        <f>+N25/2848</f>
        <v>342</v>
      </c>
    </row>
    <row r="27" spans="1:14" ht="18" customHeight="1" x14ac:dyDescent="0.25">
      <c r="A27" s="58"/>
      <c r="B27" s="59"/>
      <c r="C27" s="66"/>
      <c r="D27" s="61"/>
      <c r="E27" s="62"/>
      <c r="F27" s="97"/>
      <c r="G27" s="95">
        <f t="shared" si="0"/>
        <v>24</v>
      </c>
      <c r="H27" s="96"/>
      <c r="I27" s="96"/>
    </row>
    <row r="28" spans="1:14" s="102" customFormat="1" ht="18" customHeight="1" x14ac:dyDescent="0.25">
      <c r="A28" s="100"/>
      <c r="B28" s="101"/>
      <c r="C28" s="66"/>
      <c r="D28" s="61"/>
      <c r="E28" s="288"/>
      <c r="F28" s="281"/>
      <c r="G28" s="95">
        <f t="shared" si="0"/>
        <v>24</v>
      </c>
      <c r="H28" s="96"/>
      <c r="I28" s="96"/>
    </row>
    <row r="29" spans="1:14" ht="18" customHeight="1" x14ac:dyDescent="0.25">
      <c r="A29" s="58"/>
      <c r="B29" s="59"/>
      <c r="C29" s="66"/>
      <c r="D29" s="61"/>
      <c r="E29" s="62"/>
      <c r="F29" s="97"/>
      <c r="G29" s="95">
        <f t="shared" si="0"/>
        <v>24</v>
      </c>
      <c r="H29" s="96"/>
      <c r="I29" s="96"/>
    </row>
    <row r="30" spans="1:14" ht="18" customHeight="1" x14ac:dyDescent="0.25">
      <c r="A30" s="58"/>
      <c r="B30" s="59"/>
      <c r="C30" s="66"/>
      <c r="D30" s="61"/>
      <c r="E30" s="62"/>
      <c r="F30" s="62"/>
      <c r="G30" s="95">
        <f t="shared" si="0"/>
        <v>24</v>
      </c>
      <c r="H30" s="96"/>
      <c r="I30" s="96"/>
    </row>
    <row r="31" spans="1:14" ht="18" customHeight="1" x14ac:dyDescent="0.25">
      <c r="A31" s="58"/>
      <c r="B31" s="59"/>
      <c r="C31" s="66"/>
      <c r="D31" s="61"/>
      <c r="E31" s="62"/>
      <c r="F31" s="62"/>
      <c r="G31" s="95">
        <f t="shared" si="0"/>
        <v>24</v>
      </c>
      <c r="H31" s="96"/>
      <c r="I31" s="96"/>
    </row>
    <row r="32" spans="1:14" ht="18" customHeight="1" x14ac:dyDescent="0.25">
      <c r="A32" s="58"/>
      <c r="B32" s="59"/>
      <c r="C32" s="66"/>
      <c r="D32" s="61"/>
      <c r="E32" s="62"/>
      <c r="F32" s="62"/>
      <c r="G32" s="95">
        <f t="shared" si="0"/>
        <v>24</v>
      </c>
      <c r="H32" s="96"/>
      <c r="I32" s="96"/>
    </row>
    <row r="33" spans="1:9" ht="18" customHeight="1" x14ac:dyDescent="0.25">
      <c r="A33" s="58"/>
      <c r="B33" s="59"/>
      <c r="C33" s="66"/>
      <c r="D33" s="61"/>
      <c r="E33" s="62"/>
      <c r="F33" s="62"/>
      <c r="G33" s="95">
        <f t="shared" si="0"/>
        <v>24</v>
      </c>
      <c r="H33" s="96"/>
      <c r="I33" s="96"/>
    </row>
    <row r="34" spans="1:9" ht="18" customHeight="1" x14ac:dyDescent="0.25">
      <c r="A34" s="58"/>
      <c r="B34" s="59"/>
      <c r="C34" s="66"/>
      <c r="D34" s="61"/>
      <c r="E34" s="62"/>
      <c r="F34" s="62"/>
      <c r="G34" s="95">
        <f t="shared" si="0"/>
        <v>24</v>
      </c>
      <c r="H34" s="96"/>
      <c r="I34" s="96"/>
    </row>
    <row r="35" spans="1:9" ht="18" customHeight="1" x14ac:dyDescent="0.25">
      <c r="A35" s="58"/>
      <c r="B35" s="59"/>
      <c r="C35" s="66"/>
      <c r="D35" s="61"/>
      <c r="E35" s="62"/>
      <c r="F35" s="62"/>
      <c r="G35" s="95">
        <f t="shared" si="0"/>
        <v>24</v>
      </c>
      <c r="H35" s="96"/>
      <c r="I35" s="96"/>
    </row>
    <row r="36" spans="1:9" ht="18" customHeight="1" x14ac:dyDescent="0.25">
      <c r="A36" s="58"/>
      <c r="B36" s="59"/>
      <c r="C36" s="66"/>
      <c r="D36" s="61"/>
      <c r="E36" s="62"/>
      <c r="F36" s="62"/>
      <c r="G36" s="95">
        <f t="shared" si="0"/>
        <v>24</v>
      </c>
      <c r="H36" s="96"/>
      <c r="I36" s="96"/>
    </row>
    <row r="37" spans="1:9" ht="18" customHeight="1" x14ac:dyDescent="0.25">
      <c r="A37" s="58"/>
      <c r="B37" s="59"/>
      <c r="C37" s="66"/>
      <c r="D37" s="61"/>
      <c r="E37" s="62"/>
      <c r="F37" s="62"/>
      <c r="G37" s="95">
        <f t="shared" si="0"/>
        <v>24</v>
      </c>
      <c r="H37" s="96"/>
      <c r="I37" s="96"/>
    </row>
    <row r="38" spans="1:9" ht="18" customHeight="1" x14ac:dyDescent="0.25">
      <c r="A38" s="58"/>
      <c r="B38" s="59"/>
      <c r="C38" s="66"/>
      <c r="D38" s="61"/>
      <c r="E38" s="62"/>
      <c r="F38" s="62"/>
      <c r="G38" s="95">
        <f t="shared" si="0"/>
        <v>24</v>
      </c>
      <c r="H38" s="96"/>
      <c r="I38" s="96"/>
    </row>
    <row r="39" spans="1:9" ht="18" customHeight="1" x14ac:dyDescent="0.25">
      <c r="A39" s="58"/>
      <c r="B39" s="59"/>
      <c r="C39" s="66"/>
      <c r="D39" s="61"/>
      <c r="E39" s="62"/>
      <c r="F39" s="62"/>
      <c r="G39" s="95">
        <f t="shared" si="0"/>
        <v>24</v>
      </c>
      <c r="H39" s="96"/>
      <c r="I39" s="96"/>
    </row>
    <row r="40" spans="1:9" ht="18" customHeight="1" x14ac:dyDescent="0.25">
      <c r="A40" s="58"/>
      <c r="B40" s="59"/>
      <c r="C40" s="66"/>
      <c r="D40" s="61"/>
      <c r="E40" s="62"/>
      <c r="F40" s="62"/>
      <c r="G40" s="95">
        <f t="shared" si="0"/>
        <v>24</v>
      </c>
      <c r="H40" s="96"/>
      <c r="I40" s="96"/>
    </row>
    <row r="41" spans="1:9" ht="18" customHeight="1" x14ac:dyDescent="0.25">
      <c r="A41" s="58"/>
      <c r="B41" s="59"/>
      <c r="C41" s="66"/>
      <c r="D41" s="61"/>
      <c r="E41" s="62"/>
      <c r="F41" s="103"/>
      <c r="G41" s="95">
        <f t="shared" si="0"/>
        <v>24</v>
      </c>
      <c r="H41" s="96"/>
      <c r="I41" s="96" t="s">
        <v>380</v>
      </c>
    </row>
    <row r="42" spans="1:9" ht="18" customHeight="1" x14ac:dyDescent="0.25">
      <c r="A42" s="58"/>
      <c r="B42" s="59"/>
      <c r="C42" s="66"/>
      <c r="D42" s="61"/>
      <c r="E42" s="62"/>
      <c r="F42" s="103"/>
      <c r="G42" s="95">
        <f t="shared" si="0"/>
        <v>24</v>
      </c>
      <c r="H42" s="96"/>
      <c r="I42" s="96"/>
    </row>
    <row r="43" spans="1:9" ht="18" customHeight="1" x14ac:dyDescent="0.25">
      <c r="A43" s="58"/>
      <c r="B43" s="59"/>
      <c r="C43" s="66"/>
      <c r="D43" s="61"/>
      <c r="E43" s="62"/>
      <c r="F43" s="103"/>
      <c r="G43" s="95">
        <f t="shared" si="0"/>
        <v>24</v>
      </c>
      <c r="H43" s="96"/>
      <c r="I43" s="96"/>
    </row>
    <row r="44" spans="1:9" ht="18" customHeight="1" x14ac:dyDescent="0.25">
      <c r="A44" s="58"/>
      <c r="B44" s="59"/>
      <c r="C44" s="66"/>
      <c r="D44" s="61"/>
      <c r="E44" s="62"/>
      <c r="F44" s="103"/>
      <c r="G44" s="95">
        <f t="shared" si="0"/>
        <v>24</v>
      </c>
      <c r="H44" s="96"/>
      <c r="I44" s="96"/>
    </row>
    <row r="45" spans="1:9" ht="18" customHeight="1" x14ac:dyDescent="0.25">
      <c r="A45" s="58"/>
      <c r="B45" s="59"/>
      <c r="C45" s="66"/>
      <c r="D45" s="61"/>
      <c r="E45" s="62"/>
      <c r="F45" s="103"/>
      <c r="G45" s="95">
        <f t="shared" si="0"/>
        <v>24</v>
      </c>
      <c r="H45" s="96"/>
      <c r="I45" s="96"/>
    </row>
    <row r="46" spans="1:9" ht="18" customHeight="1" x14ac:dyDescent="0.25">
      <c r="A46" s="58"/>
      <c r="B46" s="98"/>
      <c r="C46" s="66"/>
      <c r="D46" s="61"/>
      <c r="E46" s="62"/>
      <c r="F46" s="103"/>
      <c r="G46" s="95">
        <f t="shared" si="0"/>
        <v>24</v>
      </c>
      <c r="H46" s="96"/>
      <c r="I46" s="96"/>
    </row>
    <row r="47" spans="1:9" ht="18" customHeight="1" x14ac:dyDescent="0.25">
      <c r="A47" s="58"/>
      <c r="B47" s="59"/>
      <c r="C47" s="66"/>
      <c r="D47" s="61"/>
      <c r="E47" s="62"/>
      <c r="F47" s="103"/>
      <c r="G47" s="95">
        <f t="shared" si="0"/>
        <v>24</v>
      </c>
      <c r="H47" s="96"/>
      <c r="I47" s="96"/>
    </row>
    <row r="48" spans="1:9" ht="18" customHeight="1" x14ac:dyDescent="0.25">
      <c r="A48" s="58"/>
      <c r="B48" s="59"/>
      <c r="C48" s="66"/>
      <c r="D48" s="61"/>
      <c r="E48" s="62"/>
      <c r="F48" s="103"/>
      <c r="G48" s="376">
        <f t="shared" si="0"/>
        <v>24</v>
      </c>
      <c r="H48" s="96"/>
      <c r="I48" s="96"/>
    </row>
    <row r="49" spans="1:9" ht="18" customHeight="1" x14ac:dyDescent="0.25">
      <c r="A49" s="58"/>
      <c r="B49" s="59"/>
      <c r="C49" s="66"/>
      <c r="D49" s="61"/>
      <c r="E49" s="62"/>
      <c r="F49" s="103"/>
      <c r="G49" s="95">
        <f t="shared" si="0"/>
        <v>24</v>
      </c>
      <c r="H49" s="96"/>
      <c r="I49" s="96"/>
    </row>
    <row r="50" spans="1:9" ht="18" customHeight="1" x14ac:dyDescent="0.25">
      <c r="A50" s="58"/>
      <c r="B50" s="59"/>
      <c r="C50" s="66"/>
      <c r="D50" s="61"/>
      <c r="E50" s="62"/>
      <c r="F50" s="103"/>
      <c r="G50" s="95">
        <f t="shared" si="0"/>
        <v>24</v>
      </c>
      <c r="H50" s="96"/>
      <c r="I50" s="96"/>
    </row>
    <row r="51" spans="1:9" ht="18" customHeight="1" x14ac:dyDescent="0.25">
      <c r="A51" s="58"/>
      <c r="B51" s="59"/>
      <c r="C51" s="66"/>
      <c r="D51" s="61"/>
      <c r="E51" s="62"/>
      <c r="F51" s="103"/>
      <c r="G51" s="95">
        <f t="shared" si="0"/>
        <v>24</v>
      </c>
      <c r="H51" s="96"/>
      <c r="I51" s="96"/>
    </row>
    <row r="52" spans="1:9" ht="18" customHeight="1" x14ac:dyDescent="0.25">
      <c r="A52" s="58"/>
      <c r="B52" s="59"/>
      <c r="C52" s="66"/>
      <c r="D52" s="61"/>
      <c r="E52" s="62"/>
      <c r="F52" s="103"/>
      <c r="G52" s="95">
        <f t="shared" si="0"/>
        <v>24</v>
      </c>
      <c r="H52" s="96"/>
      <c r="I52" s="96"/>
    </row>
    <row r="53" spans="1:9" ht="18" customHeight="1" x14ac:dyDescent="0.25">
      <c r="A53" s="58"/>
      <c r="B53" s="59"/>
      <c r="C53" s="66"/>
      <c r="D53" s="61"/>
      <c r="E53" s="62"/>
      <c r="F53" s="103"/>
      <c r="G53" s="95">
        <f t="shared" si="0"/>
        <v>24</v>
      </c>
      <c r="H53" s="96"/>
      <c r="I53" s="96"/>
    </row>
    <row r="54" spans="1:9" ht="18" customHeight="1" x14ac:dyDescent="0.25">
      <c r="A54" s="58"/>
      <c r="B54" s="59"/>
      <c r="C54" s="66"/>
      <c r="D54" s="61"/>
      <c r="E54" s="62"/>
      <c r="F54" s="103"/>
      <c r="G54" s="95">
        <f t="shared" si="0"/>
        <v>24</v>
      </c>
      <c r="H54" s="96"/>
      <c r="I54" s="96"/>
    </row>
    <row r="55" spans="1:9" ht="18" customHeight="1" x14ac:dyDescent="0.25">
      <c r="A55" s="58"/>
      <c r="B55" s="59"/>
      <c r="C55" s="66"/>
      <c r="D55" s="61"/>
      <c r="E55" s="62"/>
      <c r="F55" s="103"/>
      <c r="G55" s="95">
        <f t="shared" si="0"/>
        <v>24</v>
      </c>
      <c r="H55" s="96"/>
      <c r="I55" s="96"/>
    </row>
    <row r="56" spans="1:9" ht="18" customHeight="1" x14ac:dyDescent="0.25">
      <c r="A56" s="58"/>
      <c r="B56" s="59"/>
      <c r="C56" s="66"/>
      <c r="D56" s="61"/>
      <c r="E56" s="62"/>
      <c r="F56" s="103"/>
      <c r="G56" s="95">
        <f t="shared" si="0"/>
        <v>24</v>
      </c>
      <c r="H56" s="96"/>
      <c r="I56" s="96"/>
    </row>
    <row r="57" spans="1:9" ht="18" customHeight="1" x14ac:dyDescent="0.25">
      <c r="A57" s="58"/>
      <c r="B57" s="59"/>
      <c r="C57" s="66"/>
      <c r="D57" s="61"/>
      <c r="E57" s="62"/>
      <c r="F57" s="103"/>
      <c r="G57" s="95">
        <f t="shared" si="0"/>
        <v>24</v>
      </c>
      <c r="H57" s="96"/>
      <c r="I57" s="96"/>
    </row>
    <row r="58" spans="1:9" ht="18" customHeight="1" x14ac:dyDescent="0.25">
      <c r="A58" s="58"/>
      <c r="B58" s="59"/>
      <c r="C58" s="66"/>
      <c r="D58" s="61"/>
      <c r="E58" s="62"/>
      <c r="F58" s="103"/>
      <c r="G58" s="95">
        <f t="shared" si="0"/>
        <v>24</v>
      </c>
      <c r="H58" s="96"/>
      <c r="I58" s="96"/>
    </row>
    <row r="59" spans="1:9" ht="18" customHeight="1" x14ac:dyDescent="0.25">
      <c r="A59" s="58"/>
      <c r="B59" s="59"/>
      <c r="C59" s="66"/>
      <c r="D59" s="61"/>
      <c r="E59" s="62"/>
      <c r="F59" s="282"/>
      <c r="G59" s="95">
        <f t="shared" si="0"/>
        <v>24</v>
      </c>
      <c r="H59" s="96"/>
      <c r="I59" s="96"/>
    </row>
    <row r="60" spans="1:9" ht="18" customHeight="1" x14ac:dyDescent="0.25">
      <c r="A60" s="58"/>
      <c r="B60" s="59"/>
      <c r="C60" s="66"/>
      <c r="D60" s="61"/>
      <c r="E60" s="62"/>
      <c r="F60" s="282"/>
      <c r="G60" s="95">
        <f t="shared" si="0"/>
        <v>24</v>
      </c>
      <c r="H60" s="96"/>
      <c r="I60" s="96"/>
    </row>
    <row r="61" spans="1:9" ht="18" customHeight="1" x14ac:dyDescent="0.25">
      <c r="A61" s="58"/>
      <c r="B61" s="59"/>
      <c r="C61" s="66"/>
      <c r="D61" s="61"/>
      <c r="E61" s="62"/>
      <c r="F61" s="282"/>
      <c r="G61" s="95">
        <f t="shared" si="0"/>
        <v>24</v>
      </c>
      <c r="H61" s="96"/>
      <c r="I61" s="96"/>
    </row>
    <row r="62" spans="1:9" ht="18" customHeight="1" x14ac:dyDescent="0.25">
      <c r="A62" s="58"/>
      <c r="B62" s="59"/>
      <c r="C62" s="66"/>
      <c r="D62" s="61"/>
      <c r="E62" s="62"/>
      <c r="F62" s="282"/>
      <c r="G62" s="95">
        <f t="shared" si="0"/>
        <v>24</v>
      </c>
      <c r="H62" s="96"/>
      <c r="I62" s="96"/>
    </row>
    <row r="63" spans="1:9" ht="18" customHeight="1" x14ac:dyDescent="0.25">
      <c r="A63" s="58"/>
      <c r="B63" s="59"/>
      <c r="C63" s="66"/>
      <c r="D63" s="61"/>
      <c r="E63" s="62"/>
      <c r="F63" s="282"/>
      <c r="G63" s="95">
        <f t="shared" si="0"/>
        <v>24</v>
      </c>
      <c r="H63" s="96"/>
      <c r="I63" s="96"/>
    </row>
    <row r="64" spans="1:9" ht="18" customHeight="1" x14ac:dyDescent="0.25">
      <c r="A64" s="58"/>
      <c r="B64" s="59"/>
      <c r="C64" s="66"/>
      <c r="D64" s="61"/>
      <c r="E64" s="62"/>
      <c r="F64" s="282"/>
      <c r="G64" s="95">
        <f t="shared" si="0"/>
        <v>24</v>
      </c>
      <c r="H64" s="96"/>
      <c r="I64" s="96"/>
    </row>
    <row r="65" spans="1:9" ht="18" customHeight="1" x14ac:dyDescent="0.25">
      <c r="A65" s="58"/>
      <c r="B65" s="59"/>
      <c r="C65" s="66"/>
      <c r="D65" s="61"/>
      <c r="E65" s="62"/>
      <c r="F65" s="282"/>
      <c r="G65" s="95">
        <f t="shared" si="0"/>
        <v>24</v>
      </c>
      <c r="H65" s="96"/>
      <c r="I65" s="96"/>
    </row>
    <row r="66" spans="1:9" ht="18" customHeight="1" x14ac:dyDescent="0.25">
      <c r="A66" s="58"/>
      <c r="B66" s="59"/>
      <c r="C66" s="66"/>
      <c r="D66" s="61"/>
      <c r="E66" s="62"/>
      <c r="F66" s="282"/>
      <c r="G66" s="95">
        <f t="shared" si="0"/>
        <v>24</v>
      </c>
      <c r="H66" s="96"/>
      <c r="I66" s="96"/>
    </row>
    <row r="67" spans="1:9" ht="18" customHeight="1" x14ac:dyDescent="0.25">
      <c r="A67" s="58"/>
      <c r="B67" s="59"/>
      <c r="C67" s="66"/>
      <c r="D67" s="61"/>
      <c r="E67" s="62"/>
      <c r="F67" s="282"/>
      <c r="G67" s="95">
        <f t="shared" si="0"/>
        <v>24</v>
      </c>
      <c r="H67" s="96"/>
      <c r="I67" s="96"/>
    </row>
    <row r="68" spans="1:9" ht="18" customHeight="1" x14ac:dyDescent="0.25">
      <c r="A68" s="58"/>
      <c r="B68" s="59"/>
      <c r="C68" s="66"/>
      <c r="D68" s="61"/>
      <c r="E68" s="62"/>
      <c r="F68" s="282"/>
      <c r="G68" s="95">
        <f t="shared" si="0"/>
        <v>24</v>
      </c>
      <c r="H68" s="96"/>
      <c r="I68" s="96"/>
    </row>
    <row r="69" spans="1:9" ht="18" customHeight="1" x14ac:dyDescent="0.25">
      <c r="A69" s="58"/>
      <c r="B69" s="59"/>
      <c r="C69" s="66"/>
      <c r="D69" s="61"/>
      <c r="E69" s="62"/>
      <c r="F69" s="282"/>
      <c r="G69" s="95">
        <f t="shared" si="0"/>
        <v>24</v>
      </c>
      <c r="H69" s="96"/>
      <c r="I69" s="96"/>
    </row>
    <row r="70" spans="1:9" ht="18" customHeight="1" x14ac:dyDescent="0.25">
      <c r="A70" s="58"/>
      <c r="B70" s="59"/>
      <c r="C70" s="66"/>
      <c r="D70" s="61"/>
      <c r="E70" s="62"/>
      <c r="F70" s="282"/>
      <c r="G70" s="95">
        <f t="shared" si="0"/>
        <v>24</v>
      </c>
      <c r="H70" s="96" t="s">
        <v>93</v>
      </c>
      <c r="I70" s="96" t="s">
        <v>90</v>
      </c>
    </row>
    <row r="71" spans="1:9" ht="18" customHeight="1" x14ac:dyDescent="0.25">
      <c r="A71" s="58"/>
      <c r="B71" s="59"/>
      <c r="C71" s="66"/>
      <c r="D71" s="61"/>
      <c r="E71" s="62"/>
      <c r="F71" s="282"/>
      <c r="G71" s="95">
        <f t="shared" si="0"/>
        <v>24</v>
      </c>
      <c r="H71" s="96" t="s">
        <v>93</v>
      </c>
      <c r="I71" s="96" t="s">
        <v>90</v>
      </c>
    </row>
    <row r="72" spans="1:9" ht="18" customHeight="1" x14ac:dyDescent="0.25">
      <c r="A72" s="58"/>
      <c r="B72" s="59"/>
      <c r="C72" s="66"/>
      <c r="D72" s="61"/>
      <c r="E72" s="62"/>
      <c r="F72" s="282"/>
      <c r="G72" s="95">
        <f t="shared" si="0"/>
        <v>24</v>
      </c>
      <c r="H72" s="96" t="s">
        <v>93</v>
      </c>
      <c r="I72" s="96" t="s">
        <v>90</v>
      </c>
    </row>
    <row r="73" spans="1:9" ht="18" customHeight="1" x14ac:dyDescent="0.25">
      <c r="A73" s="58"/>
      <c r="B73" s="59"/>
      <c r="C73" s="66"/>
      <c r="D73" s="61"/>
      <c r="E73" s="62"/>
      <c r="F73" s="282"/>
      <c r="G73" s="95">
        <f t="shared" si="0"/>
        <v>24</v>
      </c>
      <c r="H73" s="96" t="s">
        <v>93</v>
      </c>
      <c r="I73" s="96" t="s">
        <v>90</v>
      </c>
    </row>
    <row r="74" spans="1:9" ht="18" customHeight="1" x14ac:dyDescent="0.25">
      <c r="A74" s="58"/>
      <c r="B74" s="59"/>
      <c r="C74" s="66"/>
      <c r="D74" s="61"/>
      <c r="E74" s="62"/>
      <c r="F74" s="282"/>
      <c r="G74" s="95">
        <f t="shared" ref="G74:G137" si="1">+G73+E74-F74</f>
        <v>24</v>
      </c>
      <c r="H74" s="96" t="s">
        <v>93</v>
      </c>
      <c r="I74" s="96" t="s">
        <v>90</v>
      </c>
    </row>
    <row r="75" spans="1:9" ht="18" customHeight="1" x14ac:dyDescent="0.25">
      <c r="A75" s="58"/>
      <c r="B75" s="59"/>
      <c r="C75" s="66"/>
      <c r="D75" s="61"/>
      <c r="E75" s="62"/>
      <c r="F75" s="282"/>
      <c r="G75" s="95">
        <f t="shared" si="1"/>
        <v>24</v>
      </c>
      <c r="H75" s="96" t="s">
        <v>93</v>
      </c>
      <c r="I75" s="96" t="s">
        <v>90</v>
      </c>
    </row>
    <row r="76" spans="1:9" ht="18" customHeight="1" x14ac:dyDescent="0.25">
      <c r="A76" s="58"/>
      <c r="B76" s="59"/>
      <c r="C76" s="66"/>
      <c r="D76" s="61"/>
      <c r="E76" s="62"/>
      <c r="F76" s="282"/>
      <c r="G76" s="95">
        <f t="shared" si="1"/>
        <v>24</v>
      </c>
      <c r="H76" s="96"/>
      <c r="I76" s="96"/>
    </row>
    <row r="77" spans="1:9" ht="18" customHeight="1" x14ac:dyDescent="0.25">
      <c r="A77" s="58"/>
      <c r="B77" s="59"/>
      <c r="C77" s="66"/>
      <c r="D77" s="61"/>
      <c r="E77" s="62"/>
      <c r="F77" s="282"/>
      <c r="G77" s="95">
        <f t="shared" si="1"/>
        <v>24</v>
      </c>
      <c r="H77" s="96"/>
      <c r="I77" s="96"/>
    </row>
    <row r="78" spans="1:9" ht="18" customHeight="1" x14ac:dyDescent="0.25">
      <c r="A78" s="58"/>
      <c r="B78" s="59"/>
      <c r="C78" s="66"/>
      <c r="D78" s="61"/>
      <c r="E78" s="62"/>
      <c r="F78" s="282"/>
      <c r="G78" s="95">
        <f t="shared" si="1"/>
        <v>24</v>
      </c>
      <c r="H78" s="96"/>
      <c r="I78" s="96"/>
    </row>
    <row r="79" spans="1:9" ht="18" customHeight="1" x14ac:dyDescent="0.25">
      <c r="A79" s="58"/>
      <c r="B79" s="59"/>
      <c r="C79" s="66"/>
      <c r="D79" s="61"/>
      <c r="E79" s="62"/>
      <c r="F79" s="282"/>
      <c r="G79" s="95">
        <f t="shared" si="1"/>
        <v>24</v>
      </c>
      <c r="H79" s="96"/>
      <c r="I79" s="96"/>
    </row>
    <row r="80" spans="1:9" ht="18" customHeight="1" x14ac:dyDescent="0.25">
      <c r="A80" s="58"/>
      <c r="B80" s="59"/>
      <c r="C80" s="66"/>
      <c r="D80" s="61"/>
      <c r="E80" s="62"/>
      <c r="F80" s="282"/>
      <c r="G80" s="95">
        <f t="shared" si="1"/>
        <v>24</v>
      </c>
      <c r="H80" s="96"/>
      <c r="I80" s="96"/>
    </row>
    <row r="81" spans="1:9" ht="18" customHeight="1" x14ac:dyDescent="0.25">
      <c r="A81" s="58"/>
      <c r="B81" s="59"/>
      <c r="C81" s="66"/>
      <c r="D81" s="61"/>
      <c r="E81" s="62"/>
      <c r="F81" s="282"/>
      <c r="G81" s="95">
        <f t="shared" si="1"/>
        <v>24</v>
      </c>
      <c r="H81" s="96"/>
      <c r="I81" s="96"/>
    </row>
    <row r="82" spans="1:9" ht="18" customHeight="1" x14ac:dyDescent="0.25">
      <c r="A82" s="58"/>
      <c r="B82" s="59"/>
      <c r="C82" s="66"/>
      <c r="D82" s="61"/>
      <c r="E82" s="62"/>
      <c r="F82" s="282"/>
      <c r="G82" s="95">
        <f t="shared" si="1"/>
        <v>24</v>
      </c>
      <c r="H82" s="96"/>
      <c r="I82" s="96"/>
    </row>
    <row r="83" spans="1:9" s="297" customFormat="1" ht="18" customHeight="1" x14ac:dyDescent="0.25">
      <c r="A83" s="291"/>
      <c r="B83" s="292"/>
      <c r="C83" s="66"/>
      <c r="D83" s="293"/>
      <c r="E83" s="294"/>
      <c r="F83" s="295"/>
      <c r="G83" s="95">
        <f t="shared" si="1"/>
        <v>24</v>
      </c>
      <c r="H83" s="96"/>
      <c r="I83" s="296"/>
    </row>
    <row r="84" spans="1:9" ht="18" customHeight="1" x14ac:dyDescent="0.25">
      <c r="A84" s="58"/>
      <c r="B84" s="59"/>
      <c r="C84" s="66"/>
      <c r="D84" s="61"/>
      <c r="E84" s="62"/>
      <c r="F84" s="282"/>
      <c r="G84" s="95">
        <f t="shared" si="1"/>
        <v>24</v>
      </c>
      <c r="H84" s="96"/>
      <c r="I84" s="296"/>
    </row>
    <row r="85" spans="1:9" ht="18" customHeight="1" x14ac:dyDescent="0.25">
      <c r="A85" s="58"/>
      <c r="B85" s="59"/>
      <c r="C85" s="66"/>
      <c r="D85" s="61"/>
      <c r="E85" s="62"/>
      <c r="F85" s="282"/>
      <c r="G85" s="95">
        <f t="shared" si="1"/>
        <v>24</v>
      </c>
      <c r="H85" s="96"/>
      <c r="I85" s="96"/>
    </row>
    <row r="86" spans="1:9" ht="18" customHeight="1" x14ac:dyDescent="0.25">
      <c r="A86" s="58"/>
      <c r="B86" s="59"/>
      <c r="C86" s="66"/>
      <c r="D86" s="61"/>
      <c r="E86" s="62"/>
      <c r="F86" s="282"/>
      <c r="G86" s="95">
        <f t="shared" si="1"/>
        <v>24</v>
      </c>
      <c r="H86" s="96"/>
      <c r="I86" s="96"/>
    </row>
    <row r="87" spans="1:9" ht="18" customHeight="1" x14ac:dyDescent="0.25">
      <c r="A87" s="58"/>
      <c r="B87" s="59"/>
      <c r="C87" s="66"/>
      <c r="D87" s="61"/>
      <c r="E87" s="62"/>
      <c r="F87" s="282"/>
      <c r="G87" s="95">
        <f t="shared" si="1"/>
        <v>24</v>
      </c>
      <c r="H87" s="96"/>
      <c r="I87" s="96"/>
    </row>
    <row r="88" spans="1:9" ht="18" customHeight="1" x14ac:dyDescent="0.25">
      <c r="A88" s="58"/>
      <c r="B88" s="59"/>
      <c r="C88" s="66"/>
      <c r="D88" s="61"/>
      <c r="E88" s="62"/>
      <c r="F88" s="282"/>
      <c r="G88" s="95">
        <f t="shared" si="1"/>
        <v>24</v>
      </c>
      <c r="H88" s="96"/>
      <c r="I88" s="96"/>
    </row>
    <row r="89" spans="1:9" ht="18" customHeight="1" x14ac:dyDescent="0.25">
      <c r="A89" s="58"/>
      <c r="B89" s="59"/>
      <c r="C89" s="66"/>
      <c r="D89" s="61"/>
      <c r="E89" s="62"/>
      <c r="F89" s="282"/>
      <c r="G89" s="95">
        <f t="shared" si="1"/>
        <v>24</v>
      </c>
      <c r="H89" s="96"/>
      <c r="I89" s="96"/>
    </row>
    <row r="90" spans="1:9" ht="18" customHeight="1" x14ac:dyDescent="0.25">
      <c r="A90" s="58"/>
      <c r="B90" s="59"/>
      <c r="C90" s="66"/>
      <c r="D90" s="61"/>
      <c r="E90" s="62"/>
      <c r="F90" s="282"/>
      <c r="G90" s="95">
        <f t="shared" si="1"/>
        <v>24</v>
      </c>
      <c r="H90" s="96"/>
      <c r="I90" s="96"/>
    </row>
    <row r="91" spans="1:9" ht="18" customHeight="1" x14ac:dyDescent="0.25">
      <c r="A91" s="58"/>
      <c r="B91" s="59"/>
      <c r="C91" s="66"/>
      <c r="D91" s="61"/>
      <c r="E91" s="62"/>
      <c r="F91" s="282"/>
      <c r="G91" s="95">
        <f t="shared" si="1"/>
        <v>24</v>
      </c>
      <c r="H91" s="96"/>
      <c r="I91" s="96"/>
    </row>
    <row r="92" spans="1:9" ht="18" customHeight="1" x14ac:dyDescent="0.25">
      <c r="A92" s="58"/>
      <c r="B92" s="59"/>
      <c r="C92" s="66"/>
      <c r="D92" s="61"/>
      <c r="E92" s="62"/>
      <c r="F92" s="282"/>
      <c r="G92" s="95">
        <f t="shared" si="1"/>
        <v>24</v>
      </c>
      <c r="H92" s="96"/>
      <c r="I92" s="96"/>
    </row>
    <row r="93" spans="1:9" ht="18" customHeight="1" x14ac:dyDescent="0.25">
      <c r="A93" s="58"/>
      <c r="B93" s="59"/>
      <c r="C93" s="66"/>
      <c r="D93" s="61"/>
      <c r="E93" s="62"/>
      <c r="F93" s="282"/>
      <c r="G93" s="95">
        <f t="shared" si="1"/>
        <v>24</v>
      </c>
      <c r="H93" s="96"/>
      <c r="I93" s="96"/>
    </row>
    <row r="94" spans="1:9" ht="18" customHeight="1" x14ac:dyDescent="0.25">
      <c r="A94" s="58"/>
      <c r="B94" s="59"/>
      <c r="C94" s="66"/>
      <c r="D94" s="61"/>
      <c r="E94" s="62"/>
      <c r="F94" s="282"/>
      <c r="G94" s="95">
        <f t="shared" si="1"/>
        <v>24</v>
      </c>
      <c r="H94" s="96"/>
      <c r="I94" s="96"/>
    </row>
    <row r="95" spans="1:9" ht="18" customHeight="1" x14ac:dyDescent="0.25">
      <c r="A95" s="58"/>
      <c r="B95" s="59"/>
      <c r="C95" s="66"/>
      <c r="D95" s="61"/>
      <c r="E95" s="62"/>
      <c r="F95" s="282"/>
      <c r="G95" s="95">
        <f t="shared" si="1"/>
        <v>24</v>
      </c>
      <c r="H95" s="96"/>
      <c r="I95" s="96"/>
    </row>
    <row r="96" spans="1:9" ht="18" customHeight="1" x14ac:dyDescent="0.25">
      <c r="A96" s="58"/>
      <c r="B96" s="59"/>
      <c r="C96" s="66"/>
      <c r="D96" s="61"/>
      <c r="E96" s="62"/>
      <c r="F96" s="282"/>
      <c r="G96" s="95">
        <f t="shared" si="1"/>
        <v>24</v>
      </c>
      <c r="H96" s="96"/>
      <c r="I96" s="96"/>
    </row>
    <row r="97" spans="1:9" ht="18" customHeight="1" x14ac:dyDescent="0.25">
      <c r="A97" s="58"/>
      <c r="B97" s="59"/>
      <c r="C97" s="66"/>
      <c r="D97" s="61"/>
      <c r="E97" s="62"/>
      <c r="F97" s="282"/>
      <c r="G97" s="95">
        <f t="shared" si="1"/>
        <v>24</v>
      </c>
      <c r="H97" s="96"/>
      <c r="I97" s="96"/>
    </row>
    <row r="98" spans="1:9" ht="18" customHeight="1" x14ac:dyDescent="0.25">
      <c r="A98" s="58"/>
      <c r="B98" s="59"/>
      <c r="C98" s="66"/>
      <c r="D98" s="61"/>
      <c r="E98" s="62"/>
      <c r="F98" s="282"/>
      <c r="G98" s="95">
        <f t="shared" si="1"/>
        <v>24</v>
      </c>
      <c r="H98" s="96"/>
      <c r="I98" s="96"/>
    </row>
    <row r="99" spans="1:9" ht="18" customHeight="1" x14ac:dyDescent="0.25">
      <c r="A99" s="58"/>
      <c r="B99" s="59"/>
      <c r="C99" s="66"/>
      <c r="D99" s="61"/>
      <c r="E99" s="62"/>
      <c r="F99" s="282"/>
      <c r="G99" s="95">
        <f t="shared" si="1"/>
        <v>24</v>
      </c>
      <c r="H99" s="96"/>
      <c r="I99" s="96"/>
    </row>
    <row r="100" spans="1:9" ht="18" customHeight="1" x14ac:dyDescent="0.25">
      <c r="A100" s="58"/>
      <c r="B100" s="59"/>
      <c r="C100" s="66"/>
      <c r="D100" s="61"/>
      <c r="E100" s="62"/>
      <c r="F100" s="282"/>
      <c r="G100" s="95">
        <f t="shared" si="1"/>
        <v>24</v>
      </c>
      <c r="H100" s="96"/>
      <c r="I100" s="99"/>
    </row>
    <row r="101" spans="1:9" ht="18" customHeight="1" x14ac:dyDescent="0.25">
      <c r="A101" s="58"/>
      <c r="B101" s="59"/>
      <c r="C101" s="66"/>
      <c r="D101" s="61"/>
      <c r="E101" s="62"/>
      <c r="F101" s="282"/>
      <c r="G101" s="95">
        <f t="shared" si="1"/>
        <v>24</v>
      </c>
      <c r="H101" s="96"/>
      <c r="I101" s="99"/>
    </row>
    <row r="102" spans="1:9" ht="18" customHeight="1" x14ac:dyDescent="0.25">
      <c r="A102" s="58"/>
      <c r="B102" s="59"/>
      <c r="C102" s="66"/>
      <c r="D102" s="61"/>
      <c r="E102" s="62"/>
      <c r="F102" s="282"/>
      <c r="G102" s="95">
        <f t="shared" si="1"/>
        <v>24</v>
      </c>
      <c r="H102" s="96"/>
      <c r="I102" s="99"/>
    </row>
    <row r="103" spans="1:9" ht="18" customHeight="1" x14ac:dyDescent="0.25">
      <c r="A103" s="58"/>
      <c r="B103" s="59"/>
      <c r="C103" s="66"/>
      <c r="D103" s="61"/>
      <c r="E103" s="62"/>
      <c r="F103" s="282"/>
      <c r="G103" s="95">
        <f t="shared" si="1"/>
        <v>24</v>
      </c>
      <c r="H103" s="96"/>
      <c r="I103" s="99"/>
    </row>
    <row r="104" spans="1:9" ht="18" customHeight="1" x14ac:dyDescent="0.25">
      <c r="A104" s="58"/>
      <c r="B104" s="59"/>
      <c r="C104" s="66"/>
      <c r="D104" s="61"/>
      <c r="E104" s="62"/>
      <c r="F104" s="282"/>
      <c r="G104" s="95">
        <f t="shared" si="1"/>
        <v>24</v>
      </c>
      <c r="H104" s="96"/>
      <c r="I104" s="99"/>
    </row>
    <row r="105" spans="1:9" ht="18" customHeight="1" x14ac:dyDescent="0.25">
      <c r="A105" s="58"/>
      <c r="B105" s="59"/>
      <c r="C105" s="66"/>
      <c r="D105" s="61"/>
      <c r="E105" s="62"/>
      <c r="F105" s="282"/>
      <c r="G105" s="95">
        <f t="shared" si="1"/>
        <v>24</v>
      </c>
      <c r="H105" s="96"/>
      <c r="I105" s="99"/>
    </row>
    <row r="106" spans="1:9" ht="18" customHeight="1" x14ac:dyDescent="0.25">
      <c r="A106" s="58"/>
      <c r="B106" s="59"/>
      <c r="C106" s="66"/>
      <c r="D106" s="61"/>
      <c r="E106" s="62"/>
      <c r="F106" s="282"/>
      <c r="G106" s="95">
        <f t="shared" si="1"/>
        <v>24</v>
      </c>
      <c r="H106" s="96"/>
      <c r="I106" s="99"/>
    </row>
    <row r="107" spans="1:9" ht="18" customHeight="1" x14ac:dyDescent="0.25">
      <c r="A107" s="58"/>
      <c r="B107" s="59"/>
      <c r="C107" s="66"/>
      <c r="D107" s="61"/>
      <c r="E107" s="62"/>
      <c r="F107" s="282"/>
      <c r="G107" s="95">
        <f t="shared" si="1"/>
        <v>24</v>
      </c>
      <c r="H107" s="96"/>
      <c r="I107" s="99"/>
    </row>
    <row r="108" spans="1:9" ht="18" customHeight="1" x14ac:dyDescent="0.25">
      <c r="A108" s="58"/>
      <c r="B108" s="59"/>
      <c r="C108" s="66"/>
      <c r="D108" s="61"/>
      <c r="E108" s="62"/>
      <c r="F108" s="282"/>
      <c r="G108" s="95">
        <f t="shared" si="1"/>
        <v>24</v>
      </c>
      <c r="H108" s="96"/>
      <c r="I108" s="99"/>
    </row>
    <row r="109" spans="1:9" ht="18" customHeight="1" x14ac:dyDescent="0.25">
      <c r="A109" s="58"/>
      <c r="B109" s="59"/>
      <c r="C109" s="66"/>
      <c r="D109" s="61"/>
      <c r="E109" s="62"/>
      <c r="F109" s="282"/>
      <c r="G109" s="95">
        <f t="shared" si="1"/>
        <v>24</v>
      </c>
      <c r="H109" s="96"/>
      <c r="I109" s="99"/>
    </row>
    <row r="110" spans="1:9" ht="18" customHeight="1" x14ac:dyDescent="0.25">
      <c r="A110" s="58"/>
      <c r="B110" s="59"/>
      <c r="C110" s="66"/>
      <c r="D110" s="61"/>
      <c r="E110" s="62"/>
      <c r="F110" s="282"/>
      <c r="G110" s="95">
        <f t="shared" si="1"/>
        <v>24</v>
      </c>
      <c r="H110" s="96"/>
      <c r="I110" s="99"/>
    </row>
    <row r="111" spans="1:9" ht="18" customHeight="1" x14ac:dyDescent="0.25">
      <c r="A111" s="58"/>
      <c r="B111" s="59"/>
      <c r="C111" s="66"/>
      <c r="D111" s="61"/>
      <c r="E111" s="62"/>
      <c r="F111" s="282"/>
      <c r="G111" s="95">
        <f t="shared" si="1"/>
        <v>24</v>
      </c>
      <c r="H111" s="96"/>
      <c r="I111" s="99"/>
    </row>
    <row r="112" spans="1:9" ht="18" customHeight="1" x14ac:dyDescent="0.25">
      <c r="A112" s="58"/>
      <c r="B112" s="59"/>
      <c r="C112" s="66"/>
      <c r="D112" s="61"/>
      <c r="E112" s="62"/>
      <c r="F112" s="282"/>
      <c r="G112" s="95">
        <f t="shared" si="1"/>
        <v>24</v>
      </c>
      <c r="H112" s="96"/>
      <c r="I112" s="99"/>
    </row>
    <row r="113" spans="1:9" ht="18" customHeight="1" x14ac:dyDescent="0.25">
      <c r="A113" s="58"/>
      <c r="B113" s="59"/>
      <c r="C113" s="66"/>
      <c r="D113" s="61"/>
      <c r="E113" s="62"/>
      <c r="F113" s="282"/>
      <c r="G113" s="95">
        <f t="shared" si="1"/>
        <v>24</v>
      </c>
      <c r="H113" s="96"/>
      <c r="I113" s="99"/>
    </row>
    <row r="114" spans="1:9" ht="18" customHeight="1" x14ac:dyDescent="0.25">
      <c r="A114" s="58"/>
      <c r="B114" s="59"/>
      <c r="C114" s="66"/>
      <c r="D114" s="61"/>
      <c r="E114" s="62"/>
      <c r="F114" s="282"/>
      <c r="G114" s="95">
        <f t="shared" si="1"/>
        <v>24</v>
      </c>
      <c r="H114" s="96"/>
      <c r="I114" s="99"/>
    </row>
    <row r="115" spans="1:9" ht="18" customHeight="1" x14ac:dyDescent="0.25">
      <c r="A115" s="58"/>
      <c r="B115" s="59"/>
      <c r="C115" s="66"/>
      <c r="D115" s="61"/>
      <c r="E115" s="62"/>
      <c r="F115" s="282"/>
      <c r="G115" s="95">
        <f t="shared" si="1"/>
        <v>24</v>
      </c>
      <c r="H115" s="96"/>
      <c r="I115" s="99"/>
    </row>
    <row r="116" spans="1:9" ht="18" customHeight="1" x14ac:dyDescent="0.25">
      <c r="A116" s="58"/>
      <c r="B116" s="59"/>
      <c r="C116" s="66"/>
      <c r="D116" s="61"/>
      <c r="E116" s="62"/>
      <c r="F116" s="282"/>
      <c r="G116" s="95">
        <f t="shared" si="1"/>
        <v>24</v>
      </c>
      <c r="H116" s="96"/>
      <c r="I116" s="99"/>
    </row>
    <row r="117" spans="1:9" ht="18" customHeight="1" x14ac:dyDescent="0.25">
      <c r="A117" s="58"/>
      <c r="B117" s="59"/>
      <c r="C117" s="66"/>
      <c r="D117" s="61"/>
      <c r="E117" s="62"/>
      <c r="F117" s="282"/>
      <c r="G117" s="95">
        <f t="shared" si="1"/>
        <v>24</v>
      </c>
      <c r="H117" s="96"/>
      <c r="I117" s="99"/>
    </row>
    <row r="118" spans="1:9" ht="18" customHeight="1" x14ac:dyDescent="0.25">
      <c r="A118" s="58"/>
      <c r="B118" s="59"/>
      <c r="C118" s="66"/>
      <c r="D118" s="61"/>
      <c r="E118" s="62"/>
      <c r="F118" s="282"/>
      <c r="G118" s="95">
        <f t="shared" si="1"/>
        <v>24</v>
      </c>
      <c r="H118" s="96"/>
      <c r="I118" s="99"/>
    </row>
    <row r="119" spans="1:9" ht="18" customHeight="1" x14ac:dyDescent="0.25">
      <c r="A119" s="58"/>
      <c r="B119" s="59"/>
      <c r="C119" s="66"/>
      <c r="D119" s="61"/>
      <c r="E119" s="62"/>
      <c r="F119" s="282"/>
      <c r="G119" s="95">
        <f t="shared" si="1"/>
        <v>24</v>
      </c>
      <c r="H119" s="96"/>
      <c r="I119" s="99"/>
    </row>
    <row r="120" spans="1:9" ht="18" customHeight="1" x14ac:dyDescent="0.25">
      <c r="A120" s="58"/>
      <c r="B120" s="59"/>
      <c r="C120" s="66"/>
      <c r="D120" s="61"/>
      <c r="E120" s="62"/>
      <c r="F120" s="282"/>
      <c r="G120" s="95">
        <f t="shared" si="1"/>
        <v>24</v>
      </c>
      <c r="H120" s="96"/>
      <c r="I120" s="99"/>
    </row>
    <row r="121" spans="1:9" ht="18" customHeight="1" x14ac:dyDescent="0.25">
      <c r="A121" s="58"/>
      <c r="B121" s="59"/>
      <c r="C121" s="66"/>
      <c r="D121" s="61"/>
      <c r="E121" s="62"/>
      <c r="F121" s="282"/>
      <c r="G121" s="95">
        <f t="shared" si="1"/>
        <v>24</v>
      </c>
      <c r="H121" s="96"/>
      <c r="I121" s="99"/>
    </row>
    <row r="122" spans="1:9" ht="18" customHeight="1" x14ac:dyDescent="0.25">
      <c r="A122" s="58"/>
      <c r="B122" s="59"/>
      <c r="C122" s="66"/>
      <c r="D122" s="61"/>
      <c r="E122" s="62"/>
      <c r="F122" s="282"/>
      <c r="G122" s="95">
        <f t="shared" si="1"/>
        <v>24</v>
      </c>
      <c r="H122" s="96"/>
      <c r="I122" s="99"/>
    </row>
    <row r="123" spans="1:9" ht="18" customHeight="1" x14ac:dyDescent="0.25">
      <c r="A123" s="58"/>
      <c r="B123" s="59"/>
      <c r="C123" s="66"/>
      <c r="D123" s="61"/>
      <c r="E123" s="62"/>
      <c r="F123" s="282"/>
      <c r="G123" s="95">
        <f t="shared" si="1"/>
        <v>24</v>
      </c>
      <c r="H123" s="96"/>
      <c r="I123" s="99"/>
    </row>
    <row r="124" spans="1:9" ht="18" customHeight="1" x14ac:dyDescent="0.25">
      <c r="A124" s="58"/>
      <c r="B124" s="59"/>
      <c r="C124" s="66"/>
      <c r="D124" s="61"/>
      <c r="E124" s="62"/>
      <c r="F124" s="282"/>
      <c r="G124" s="95">
        <f t="shared" si="1"/>
        <v>24</v>
      </c>
      <c r="H124" s="96"/>
      <c r="I124" s="99"/>
    </row>
    <row r="125" spans="1:9" ht="18" customHeight="1" x14ac:dyDescent="0.25">
      <c r="A125" s="58"/>
      <c r="B125" s="59"/>
      <c r="C125" s="66"/>
      <c r="D125" s="61"/>
      <c r="E125" s="62"/>
      <c r="F125" s="282"/>
      <c r="G125" s="95">
        <f t="shared" si="1"/>
        <v>24</v>
      </c>
      <c r="H125" s="96"/>
      <c r="I125" s="99"/>
    </row>
    <row r="126" spans="1:9" ht="18" customHeight="1" x14ac:dyDescent="0.25">
      <c r="A126" s="58"/>
      <c r="B126" s="59"/>
      <c r="C126" s="66"/>
      <c r="D126" s="61"/>
      <c r="E126" s="62"/>
      <c r="F126" s="282"/>
      <c r="G126" s="95">
        <f t="shared" si="1"/>
        <v>24</v>
      </c>
      <c r="H126" s="96"/>
      <c r="I126" s="99"/>
    </row>
    <row r="127" spans="1:9" ht="18" customHeight="1" x14ac:dyDescent="0.25">
      <c r="A127" s="58"/>
      <c r="B127" s="59"/>
      <c r="C127" s="66"/>
      <c r="D127" s="61"/>
      <c r="E127" s="62"/>
      <c r="F127" s="282"/>
      <c r="G127" s="95">
        <f t="shared" si="1"/>
        <v>24</v>
      </c>
      <c r="H127" s="96"/>
      <c r="I127" s="99"/>
    </row>
    <row r="128" spans="1:9" ht="18" customHeight="1" x14ac:dyDescent="0.25">
      <c r="A128" s="58"/>
      <c r="B128" s="59"/>
      <c r="C128" s="66"/>
      <c r="D128" s="61"/>
      <c r="E128" s="62"/>
      <c r="F128" s="282"/>
      <c r="G128" s="95">
        <f t="shared" si="1"/>
        <v>24</v>
      </c>
      <c r="H128" s="96"/>
      <c r="I128" s="99"/>
    </row>
    <row r="129" spans="1:9" ht="18" customHeight="1" x14ac:dyDescent="0.25">
      <c r="A129" s="58"/>
      <c r="B129" s="59"/>
      <c r="C129" s="66"/>
      <c r="D129" s="61"/>
      <c r="E129" s="62"/>
      <c r="F129" s="282"/>
      <c r="G129" s="95">
        <f t="shared" si="1"/>
        <v>24</v>
      </c>
      <c r="H129" s="96"/>
      <c r="I129" s="99"/>
    </row>
    <row r="130" spans="1:9" ht="18" customHeight="1" x14ac:dyDescent="0.25">
      <c r="A130" s="58"/>
      <c r="B130" s="59"/>
      <c r="C130" s="66"/>
      <c r="D130" s="61"/>
      <c r="E130" s="62"/>
      <c r="F130" s="282"/>
      <c r="G130" s="95">
        <f t="shared" si="1"/>
        <v>24</v>
      </c>
      <c r="H130" s="96"/>
      <c r="I130" s="99"/>
    </row>
    <row r="131" spans="1:9" ht="18" customHeight="1" x14ac:dyDescent="0.25">
      <c r="A131" s="58"/>
      <c r="B131" s="59"/>
      <c r="C131" s="66"/>
      <c r="D131" s="61"/>
      <c r="E131" s="62"/>
      <c r="F131" s="282"/>
      <c r="G131" s="95">
        <f t="shared" si="1"/>
        <v>24</v>
      </c>
      <c r="H131" s="96"/>
      <c r="I131" s="99"/>
    </row>
    <row r="132" spans="1:9" ht="18" customHeight="1" x14ac:dyDescent="0.25">
      <c r="A132" s="58"/>
      <c r="B132" s="59"/>
      <c r="C132" s="66"/>
      <c r="D132" s="61"/>
      <c r="E132" s="62"/>
      <c r="F132" s="282"/>
      <c r="G132" s="95">
        <f t="shared" si="1"/>
        <v>24</v>
      </c>
      <c r="H132" s="96"/>
      <c r="I132" s="99"/>
    </row>
    <row r="133" spans="1:9" ht="18" customHeight="1" x14ac:dyDescent="0.25">
      <c r="A133" s="58"/>
      <c r="B133" s="59"/>
      <c r="C133" s="66"/>
      <c r="D133" s="61"/>
      <c r="E133" s="62"/>
      <c r="F133" s="282"/>
      <c r="G133" s="95">
        <f t="shared" si="1"/>
        <v>24</v>
      </c>
      <c r="H133" s="96"/>
      <c r="I133" s="99"/>
    </row>
    <row r="134" spans="1:9" ht="18" customHeight="1" x14ac:dyDescent="0.25">
      <c r="A134" s="58"/>
      <c r="B134" s="59"/>
      <c r="C134" s="66"/>
      <c r="D134" s="61"/>
      <c r="E134" s="62"/>
      <c r="F134" s="282"/>
      <c r="G134" s="95">
        <f t="shared" si="1"/>
        <v>24</v>
      </c>
      <c r="H134" s="96"/>
      <c r="I134" s="99"/>
    </row>
    <row r="135" spans="1:9" ht="18" customHeight="1" x14ac:dyDescent="0.25">
      <c r="A135" s="58"/>
      <c r="B135" s="59"/>
      <c r="C135" s="66"/>
      <c r="D135" s="61"/>
      <c r="E135" s="62"/>
      <c r="F135" s="282"/>
      <c r="G135" s="95">
        <f t="shared" si="1"/>
        <v>24</v>
      </c>
      <c r="H135" s="96"/>
      <c r="I135" s="99"/>
    </row>
    <row r="136" spans="1:9" ht="18" customHeight="1" x14ac:dyDescent="0.25">
      <c r="A136" s="58"/>
      <c r="B136" s="59"/>
      <c r="C136" s="66"/>
      <c r="D136" s="61"/>
      <c r="E136" s="62"/>
      <c r="F136" s="282"/>
      <c r="G136" s="95">
        <f t="shared" si="1"/>
        <v>24</v>
      </c>
      <c r="H136" s="96"/>
      <c r="I136" s="99"/>
    </row>
    <row r="137" spans="1:9" ht="18" customHeight="1" x14ac:dyDescent="0.25">
      <c r="A137" s="58"/>
      <c r="B137" s="59"/>
      <c r="C137" s="66"/>
      <c r="D137" s="65"/>
      <c r="E137" s="62"/>
      <c r="F137" s="282"/>
      <c r="G137" s="95">
        <f t="shared" si="1"/>
        <v>24</v>
      </c>
      <c r="H137" s="96"/>
      <c r="I137" s="99"/>
    </row>
    <row r="138" spans="1:9" ht="18" customHeight="1" x14ac:dyDescent="0.25">
      <c r="A138" s="58"/>
      <c r="B138" s="59"/>
      <c r="C138" s="66"/>
      <c r="D138" s="65"/>
      <c r="E138" s="62"/>
      <c r="F138" s="282"/>
      <c r="G138" s="95">
        <f t="shared" ref="G138:G153" si="2">+G137+E138-F138</f>
        <v>24</v>
      </c>
      <c r="H138" s="96"/>
      <c r="I138" s="99"/>
    </row>
    <row r="139" spans="1:9" ht="18" customHeight="1" x14ac:dyDescent="0.25">
      <c r="A139" s="58"/>
      <c r="B139" s="59"/>
      <c r="C139" s="66"/>
      <c r="D139" s="65"/>
      <c r="E139" s="62"/>
      <c r="F139" s="282"/>
      <c r="G139" s="95">
        <f t="shared" si="2"/>
        <v>24</v>
      </c>
      <c r="H139" s="96"/>
      <c r="I139" s="99"/>
    </row>
    <row r="140" spans="1:9" ht="18" customHeight="1" x14ac:dyDescent="0.25">
      <c r="A140" s="58"/>
      <c r="B140" s="59"/>
      <c r="C140" s="66"/>
      <c r="D140" s="65"/>
      <c r="E140" s="62"/>
      <c r="F140" s="282"/>
      <c r="G140" s="95">
        <f t="shared" si="2"/>
        <v>24</v>
      </c>
      <c r="H140" s="96"/>
      <c r="I140" s="99"/>
    </row>
    <row r="141" spans="1:9" ht="18" customHeight="1" x14ac:dyDescent="0.25">
      <c r="A141" s="58"/>
      <c r="B141" s="59"/>
      <c r="C141" s="66"/>
      <c r="D141" s="65"/>
      <c r="E141" s="62"/>
      <c r="F141" s="282"/>
      <c r="G141" s="95">
        <f t="shared" si="2"/>
        <v>24</v>
      </c>
      <c r="H141" s="96"/>
      <c r="I141" s="99"/>
    </row>
    <row r="142" spans="1:9" ht="18" customHeight="1" x14ac:dyDescent="0.25">
      <c r="A142" s="58"/>
      <c r="B142" s="59"/>
      <c r="C142" s="66"/>
      <c r="D142" s="65"/>
      <c r="E142" s="62"/>
      <c r="F142" s="282"/>
      <c r="G142" s="95">
        <f t="shared" si="2"/>
        <v>24</v>
      </c>
      <c r="H142" s="96"/>
      <c r="I142" s="99"/>
    </row>
    <row r="143" spans="1:9" ht="18" customHeight="1" x14ac:dyDescent="0.25">
      <c r="A143" s="58"/>
      <c r="B143" s="59"/>
      <c r="C143" s="66"/>
      <c r="D143" s="65"/>
      <c r="E143" s="62"/>
      <c r="F143" s="282"/>
      <c r="G143" s="95">
        <f t="shared" si="2"/>
        <v>24</v>
      </c>
      <c r="H143" s="96"/>
      <c r="I143" s="99"/>
    </row>
    <row r="144" spans="1:9" ht="18" customHeight="1" x14ac:dyDescent="0.25">
      <c r="A144" s="58"/>
      <c r="B144" s="59"/>
      <c r="C144" s="66"/>
      <c r="D144" s="65"/>
      <c r="E144" s="62"/>
      <c r="F144" s="282"/>
      <c r="G144" s="95">
        <f t="shared" si="2"/>
        <v>24</v>
      </c>
      <c r="H144" s="96"/>
      <c r="I144" s="99"/>
    </row>
    <row r="145" spans="1:9" ht="18" customHeight="1" x14ac:dyDescent="0.25">
      <c r="A145" s="58"/>
      <c r="B145" s="59"/>
      <c r="C145" s="66"/>
      <c r="D145" s="65"/>
      <c r="E145" s="62"/>
      <c r="F145" s="282"/>
      <c r="G145" s="95">
        <f t="shared" si="2"/>
        <v>24</v>
      </c>
      <c r="H145" s="96"/>
      <c r="I145" s="99"/>
    </row>
    <row r="146" spans="1:9" ht="18" customHeight="1" x14ac:dyDescent="0.25">
      <c r="A146" s="58"/>
      <c r="B146" s="59"/>
      <c r="C146" s="66"/>
      <c r="D146" s="65"/>
      <c r="E146" s="62"/>
      <c r="F146" s="282"/>
      <c r="G146" s="95">
        <f t="shared" si="2"/>
        <v>24</v>
      </c>
      <c r="H146" s="96"/>
      <c r="I146" s="99"/>
    </row>
    <row r="147" spans="1:9" ht="18" customHeight="1" x14ac:dyDescent="0.25">
      <c r="A147" s="58"/>
      <c r="B147" s="59"/>
      <c r="C147" s="66"/>
      <c r="D147" s="65"/>
      <c r="E147" s="62"/>
      <c r="F147" s="282"/>
      <c r="G147" s="95">
        <f t="shared" si="2"/>
        <v>24</v>
      </c>
      <c r="H147" s="96"/>
      <c r="I147" s="99"/>
    </row>
    <row r="148" spans="1:9" ht="18" customHeight="1" x14ac:dyDescent="0.25">
      <c r="A148" s="58"/>
      <c r="B148" s="59"/>
      <c r="C148" s="66" t="s">
        <v>192</v>
      </c>
      <c r="D148" s="65" t="s">
        <v>19</v>
      </c>
      <c r="E148" s="62"/>
      <c r="F148" s="282"/>
      <c r="G148" s="95">
        <f t="shared" si="2"/>
        <v>24</v>
      </c>
      <c r="H148" s="96"/>
      <c r="I148" s="99"/>
    </row>
    <row r="149" spans="1:9" ht="18" customHeight="1" x14ac:dyDescent="0.25">
      <c r="A149" s="58"/>
      <c r="B149" s="59"/>
      <c r="C149" s="66"/>
      <c r="D149" s="65" t="s">
        <v>19</v>
      </c>
      <c r="E149" s="62"/>
      <c r="F149" s="282"/>
      <c r="G149" s="95">
        <f t="shared" si="2"/>
        <v>24</v>
      </c>
      <c r="H149" s="96"/>
      <c r="I149" s="99"/>
    </row>
    <row r="150" spans="1:9" ht="18" customHeight="1" x14ac:dyDescent="0.25">
      <c r="A150" s="58"/>
      <c r="B150" s="59"/>
      <c r="C150" s="66"/>
      <c r="D150" s="65" t="s">
        <v>19</v>
      </c>
      <c r="E150" s="62"/>
      <c r="F150" s="282"/>
      <c r="G150" s="95">
        <f t="shared" si="2"/>
        <v>24</v>
      </c>
      <c r="H150" s="96"/>
      <c r="I150" s="99"/>
    </row>
    <row r="151" spans="1:9" ht="18" customHeight="1" x14ac:dyDescent="0.25">
      <c r="A151" s="58"/>
      <c r="B151" s="59"/>
      <c r="C151" s="66"/>
      <c r="D151" s="65" t="s">
        <v>19</v>
      </c>
      <c r="E151" s="62"/>
      <c r="F151" s="282"/>
      <c r="G151" s="95">
        <f t="shared" si="2"/>
        <v>24</v>
      </c>
      <c r="H151" s="104"/>
      <c r="I151" s="99"/>
    </row>
    <row r="152" spans="1:9" x14ac:dyDescent="0.25">
      <c r="A152" s="65"/>
      <c r="B152" s="59"/>
      <c r="C152" s="105"/>
      <c r="D152" s="65" t="s">
        <v>19</v>
      </c>
      <c r="E152" s="289"/>
      <c r="F152" s="283"/>
      <c r="G152" s="95">
        <f t="shared" si="2"/>
        <v>24</v>
      </c>
      <c r="H152" s="106"/>
      <c r="I152" s="86"/>
    </row>
    <row r="153" spans="1:9" x14ac:dyDescent="0.25">
      <c r="A153" s="65"/>
      <c r="B153" s="73"/>
      <c r="C153" s="58"/>
      <c r="D153" s="65" t="s">
        <v>19</v>
      </c>
      <c r="E153" s="290"/>
      <c r="F153" s="284"/>
      <c r="G153" s="95">
        <f t="shared" si="2"/>
        <v>24</v>
      </c>
      <c r="H153" s="107"/>
      <c r="I153" s="86"/>
    </row>
    <row r="154" spans="1:9" x14ac:dyDescent="0.25">
      <c r="A154" s="58"/>
      <c r="B154" s="58"/>
      <c r="C154" s="81" t="s">
        <v>13</v>
      </c>
      <c r="D154" s="65"/>
      <c r="E154" s="285">
        <f>SUM(E9:E153)</f>
        <v>73</v>
      </c>
      <c r="F154" s="285">
        <f>SUM(F9:F153)</f>
        <v>49</v>
      </c>
      <c r="G154" s="320">
        <f>E154-F154+G8</f>
        <v>24</v>
      </c>
      <c r="H154" s="108"/>
      <c r="I154" s="109"/>
    </row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/>
  <dimension ref="A1:N132"/>
  <sheetViews>
    <sheetView topLeftCell="A25" workbookViewId="0">
      <selection activeCell="F34" sqref="F3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style="110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111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112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 t="s">
        <v>11</v>
      </c>
      <c r="D9" s="10"/>
      <c r="E9" s="11"/>
      <c r="F9" s="123"/>
      <c r="G9" s="344">
        <v>189.1</v>
      </c>
      <c r="H9" s="7"/>
      <c r="I9" s="7"/>
      <c r="J9">
        <f>497+10</f>
        <v>507</v>
      </c>
    </row>
    <row r="10" spans="1:10" ht="18" customHeight="1" x14ac:dyDescent="0.25">
      <c r="A10" s="14">
        <v>1</v>
      </c>
      <c r="B10" s="8">
        <v>45664</v>
      </c>
      <c r="C10" s="15" t="s">
        <v>108</v>
      </c>
      <c r="D10" s="10" t="s">
        <v>19</v>
      </c>
      <c r="E10" s="113"/>
      <c r="F10" s="118">
        <v>4.5</v>
      </c>
      <c r="G10" s="114">
        <f t="shared" ref="G10:G73" si="0">+G9+E10-F10</f>
        <v>184.6</v>
      </c>
      <c r="H10" s="276" t="s">
        <v>94</v>
      </c>
      <c r="I10" s="7" t="s">
        <v>90</v>
      </c>
    </row>
    <row r="11" spans="1:10" ht="18" customHeight="1" x14ac:dyDescent="0.25">
      <c r="A11" s="14">
        <f t="shared" ref="A11:A75" si="1">+A10+1</f>
        <v>2</v>
      </c>
      <c r="B11" s="8">
        <v>45665</v>
      </c>
      <c r="C11" s="15" t="s">
        <v>108</v>
      </c>
      <c r="D11" s="10" t="s">
        <v>19</v>
      </c>
      <c r="E11" s="113"/>
      <c r="F11" s="346">
        <v>4.5999999999999996</v>
      </c>
      <c r="G11" s="114">
        <f t="shared" si="0"/>
        <v>180</v>
      </c>
      <c r="H11" s="276" t="s">
        <v>94</v>
      </c>
      <c r="I11" s="7" t="s">
        <v>90</v>
      </c>
    </row>
    <row r="12" spans="1:10" ht="18" customHeight="1" x14ac:dyDescent="0.25">
      <c r="A12" s="14">
        <f t="shared" si="1"/>
        <v>3</v>
      </c>
      <c r="B12" s="8">
        <v>45666</v>
      </c>
      <c r="C12" s="15" t="s">
        <v>108</v>
      </c>
      <c r="D12" s="10" t="s">
        <v>19</v>
      </c>
      <c r="E12" s="113"/>
      <c r="F12" s="346">
        <v>4.0999999999999996</v>
      </c>
      <c r="G12" s="114">
        <f t="shared" si="0"/>
        <v>175.9</v>
      </c>
      <c r="H12" s="276" t="s">
        <v>94</v>
      </c>
      <c r="I12" s="7" t="s">
        <v>90</v>
      </c>
    </row>
    <row r="13" spans="1:10" ht="18" customHeight="1" x14ac:dyDescent="0.25">
      <c r="A13" s="14">
        <f t="shared" si="1"/>
        <v>4</v>
      </c>
      <c r="B13" s="8">
        <v>45667</v>
      </c>
      <c r="C13" s="15" t="s">
        <v>108</v>
      </c>
      <c r="D13" s="10" t="s">
        <v>19</v>
      </c>
      <c r="E13" s="113"/>
      <c r="F13" s="125">
        <v>4.3</v>
      </c>
      <c r="G13" s="114">
        <f t="shared" si="0"/>
        <v>171.6</v>
      </c>
      <c r="H13" s="276" t="s">
        <v>94</v>
      </c>
      <c r="I13" s="7" t="s">
        <v>90</v>
      </c>
    </row>
    <row r="14" spans="1:10" ht="18" customHeight="1" x14ac:dyDescent="0.25">
      <c r="A14" s="14">
        <f t="shared" si="1"/>
        <v>5</v>
      </c>
      <c r="B14" s="8">
        <v>45668</v>
      </c>
      <c r="C14" s="15" t="s">
        <v>108</v>
      </c>
      <c r="D14" s="10" t="s">
        <v>19</v>
      </c>
      <c r="E14" s="113"/>
      <c r="F14" s="125">
        <v>5.5</v>
      </c>
      <c r="G14" s="114">
        <f t="shared" si="0"/>
        <v>166.1</v>
      </c>
      <c r="H14" s="276" t="s">
        <v>94</v>
      </c>
      <c r="I14" s="7" t="s">
        <v>90</v>
      </c>
    </row>
    <row r="15" spans="1:10" ht="18" customHeight="1" x14ac:dyDescent="0.25">
      <c r="A15" s="14">
        <f t="shared" si="1"/>
        <v>6</v>
      </c>
      <c r="B15" s="8">
        <v>45695</v>
      </c>
      <c r="C15" s="15" t="s">
        <v>108</v>
      </c>
      <c r="D15" s="10" t="s">
        <v>19</v>
      </c>
      <c r="E15" s="113"/>
      <c r="F15" s="115">
        <v>2.8</v>
      </c>
      <c r="G15" s="114">
        <f t="shared" si="0"/>
        <v>163.29999999999998</v>
      </c>
      <c r="H15" s="276" t="s">
        <v>94</v>
      </c>
      <c r="I15" s="7" t="s">
        <v>90</v>
      </c>
      <c r="J15" s="26"/>
    </row>
    <row r="16" spans="1:10" ht="18" customHeight="1" x14ac:dyDescent="0.25">
      <c r="A16" s="14"/>
      <c r="B16" s="8">
        <v>45696</v>
      </c>
      <c r="C16" s="15" t="s">
        <v>108</v>
      </c>
      <c r="D16" s="10" t="s">
        <v>19</v>
      </c>
      <c r="E16" s="113"/>
      <c r="F16" s="115">
        <v>4.9000000000000004</v>
      </c>
      <c r="G16" s="114">
        <f t="shared" si="0"/>
        <v>158.39999999999998</v>
      </c>
      <c r="H16" s="276" t="s">
        <v>94</v>
      </c>
      <c r="I16" s="7" t="s">
        <v>90</v>
      </c>
      <c r="J16" s="26"/>
    </row>
    <row r="17" spans="1:13" ht="18" customHeight="1" x14ac:dyDescent="0.25">
      <c r="A17" s="14">
        <f>+A15+1</f>
        <v>7</v>
      </c>
      <c r="B17" s="8">
        <v>45698</v>
      </c>
      <c r="C17" s="15" t="s">
        <v>108</v>
      </c>
      <c r="D17" s="10" t="s">
        <v>19</v>
      </c>
      <c r="E17" s="113"/>
      <c r="F17" s="125">
        <v>6.5</v>
      </c>
      <c r="G17" s="114">
        <f t="shared" si="0"/>
        <v>151.89999999999998</v>
      </c>
      <c r="H17" s="276" t="s">
        <v>94</v>
      </c>
      <c r="I17" s="7" t="s">
        <v>90</v>
      </c>
      <c r="J17" s="26"/>
    </row>
    <row r="18" spans="1:13" ht="18" customHeight="1" x14ac:dyDescent="0.25">
      <c r="A18" s="14">
        <f t="shared" si="1"/>
        <v>8</v>
      </c>
      <c r="B18" s="8">
        <v>45699</v>
      </c>
      <c r="C18" s="15" t="s">
        <v>108</v>
      </c>
      <c r="D18" s="10" t="s">
        <v>19</v>
      </c>
      <c r="E18" s="113"/>
      <c r="F18" s="125">
        <v>5.8</v>
      </c>
      <c r="G18" s="114">
        <f t="shared" si="0"/>
        <v>146.09999999999997</v>
      </c>
      <c r="H18" s="276" t="s">
        <v>94</v>
      </c>
      <c r="I18" s="7" t="s">
        <v>90</v>
      </c>
    </row>
    <row r="19" spans="1:13" ht="18" customHeight="1" x14ac:dyDescent="0.25">
      <c r="A19" s="14">
        <f t="shared" si="1"/>
        <v>9</v>
      </c>
      <c r="B19" s="8">
        <v>45700</v>
      </c>
      <c r="C19" s="15" t="s">
        <v>108</v>
      </c>
      <c r="D19" s="10" t="s">
        <v>19</v>
      </c>
      <c r="E19" s="113"/>
      <c r="F19" s="125">
        <v>6.1</v>
      </c>
      <c r="G19" s="114">
        <f t="shared" si="0"/>
        <v>139.99999999999997</v>
      </c>
      <c r="H19" s="276" t="s">
        <v>94</v>
      </c>
      <c r="I19" s="7" t="s">
        <v>90</v>
      </c>
    </row>
    <row r="20" spans="1:13" ht="18" customHeight="1" x14ac:dyDescent="0.25">
      <c r="A20" s="14">
        <f t="shared" si="1"/>
        <v>10</v>
      </c>
      <c r="B20" s="8">
        <v>45757</v>
      </c>
      <c r="C20" s="15" t="s">
        <v>108</v>
      </c>
      <c r="D20" s="10" t="s">
        <v>19</v>
      </c>
      <c r="E20" s="113"/>
      <c r="F20" s="125">
        <v>5.3</v>
      </c>
      <c r="G20" s="114">
        <f t="shared" si="0"/>
        <v>134.69999999999996</v>
      </c>
      <c r="H20" s="276" t="s">
        <v>94</v>
      </c>
      <c r="I20" s="7" t="s">
        <v>90</v>
      </c>
    </row>
    <row r="21" spans="1:13" ht="18" customHeight="1" x14ac:dyDescent="0.25">
      <c r="A21" s="14">
        <f t="shared" si="1"/>
        <v>11</v>
      </c>
      <c r="B21" s="8">
        <v>45758</v>
      </c>
      <c r="C21" s="15" t="s">
        <v>108</v>
      </c>
      <c r="D21" s="10" t="s">
        <v>19</v>
      </c>
      <c r="E21" s="11"/>
      <c r="F21" s="118">
        <v>5.7</v>
      </c>
      <c r="G21" s="114">
        <f t="shared" si="0"/>
        <v>128.99999999999997</v>
      </c>
      <c r="H21" s="276" t="s">
        <v>94</v>
      </c>
      <c r="I21" s="7" t="s">
        <v>90</v>
      </c>
    </row>
    <row r="22" spans="1:13" ht="18" customHeight="1" x14ac:dyDescent="0.25">
      <c r="A22" s="14">
        <f t="shared" si="1"/>
        <v>12</v>
      </c>
      <c r="B22" s="8">
        <v>45759</v>
      </c>
      <c r="C22" s="15" t="s">
        <v>108</v>
      </c>
      <c r="D22" s="10" t="s">
        <v>19</v>
      </c>
      <c r="E22" s="113"/>
      <c r="F22" s="116">
        <v>4.3</v>
      </c>
      <c r="G22" s="114">
        <f t="shared" si="0"/>
        <v>124.69999999999997</v>
      </c>
      <c r="H22" s="276" t="s">
        <v>94</v>
      </c>
      <c r="I22" s="7" t="s">
        <v>90</v>
      </c>
    </row>
    <row r="23" spans="1:13" ht="18" customHeight="1" x14ac:dyDescent="0.25">
      <c r="A23" s="14">
        <f t="shared" si="1"/>
        <v>13</v>
      </c>
      <c r="B23" s="8">
        <v>45762</v>
      </c>
      <c r="C23" s="15" t="s">
        <v>108</v>
      </c>
      <c r="D23" s="10" t="s">
        <v>19</v>
      </c>
      <c r="E23" s="113"/>
      <c r="F23" s="118">
        <v>3</v>
      </c>
      <c r="G23" s="114">
        <f t="shared" si="0"/>
        <v>121.69999999999997</v>
      </c>
      <c r="H23" s="276" t="s">
        <v>94</v>
      </c>
      <c r="I23" s="7" t="s">
        <v>90</v>
      </c>
      <c r="J23" s="115"/>
      <c r="K23" s="26"/>
    </row>
    <row r="24" spans="1:13" ht="18" customHeight="1" x14ac:dyDescent="0.25">
      <c r="A24" s="14">
        <f t="shared" si="1"/>
        <v>14</v>
      </c>
      <c r="B24" s="8">
        <v>45763</v>
      </c>
      <c r="C24" s="15" t="s">
        <v>108</v>
      </c>
      <c r="D24" s="10" t="s">
        <v>19</v>
      </c>
      <c r="E24" s="113"/>
      <c r="F24" s="118">
        <v>1</v>
      </c>
      <c r="G24" s="114">
        <f t="shared" si="0"/>
        <v>120.69999999999997</v>
      </c>
      <c r="H24" s="276" t="s">
        <v>94</v>
      </c>
      <c r="I24" s="7" t="s">
        <v>90</v>
      </c>
      <c r="J24" s="17"/>
      <c r="K24" s="26"/>
    </row>
    <row r="25" spans="1:13" ht="18" customHeight="1" x14ac:dyDescent="0.25">
      <c r="A25" s="14">
        <f t="shared" si="1"/>
        <v>15</v>
      </c>
      <c r="B25" s="8">
        <v>45764</v>
      </c>
      <c r="C25" s="15" t="s">
        <v>108</v>
      </c>
      <c r="D25" s="10" t="s">
        <v>19</v>
      </c>
      <c r="E25" s="117"/>
      <c r="F25" s="118">
        <v>3.9</v>
      </c>
      <c r="G25" s="114">
        <f t="shared" si="0"/>
        <v>116.79999999999997</v>
      </c>
      <c r="H25" s="276" t="s">
        <v>94</v>
      </c>
      <c r="I25" s="7" t="s">
        <v>90</v>
      </c>
      <c r="J25" s="17"/>
      <c r="K25" s="26"/>
    </row>
    <row r="26" spans="1:13" ht="18" customHeight="1" x14ac:dyDescent="0.25">
      <c r="A26" s="14">
        <f t="shared" si="1"/>
        <v>16</v>
      </c>
      <c r="B26" s="8">
        <v>45772</v>
      </c>
      <c r="C26" s="15" t="s">
        <v>108</v>
      </c>
      <c r="D26" s="10" t="s">
        <v>19</v>
      </c>
      <c r="E26" s="117"/>
      <c r="F26" s="118">
        <v>1.9</v>
      </c>
      <c r="G26" s="114">
        <f t="shared" si="0"/>
        <v>114.89999999999996</v>
      </c>
      <c r="H26" s="276" t="s">
        <v>94</v>
      </c>
      <c r="I26" s="7" t="s">
        <v>90</v>
      </c>
      <c r="J26" s="17"/>
      <c r="K26" s="26"/>
    </row>
    <row r="27" spans="1:13" ht="18" customHeight="1" x14ac:dyDescent="0.25">
      <c r="A27" s="14">
        <f t="shared" si="1"/>
        <v>17</v>
      </c>
      <c r="B27" s="8">
        <v>45775</v>
      </c>
      <c r="C27" s="15" t="s">
        <v>108</v>
      </c>
      <c r="D27" s="10" t="s">
        <v>19</v>
      </c>
      <c r="E27" s="117"/>
      <c r="F27" s="118">
        <v>2.8</v>
      </c>
      <c r="G27" s="114">
        <f t="shared" si="0"/>
        <v>112.09999999999997</v>
      </c>
      <c r="H27" s="276" t="s">
        <v>94</v>
      </c>
      <c r="I27" s="7" t="s">
        <v>90</v>
      </c>
      <c r="J27" s="17"/>
    </row>
    <row r="28" spans="1:13" ht="18" customHeight="1" x14ac:dyDescent="0.25">
      <c r="A28" s="14">
        <f t="shared" si="1"/>
        <v>18</v>
      </c>
      <c r="B28" s="8">
        <v>45776</v>
      </c>
      <c r="C28" s="15" t="s">
        <v>108</v>
      </c>
      <c r="D28" s="10" t="s">
        <v>19</v>
      </c>
      <c r="E28" s="117"/>
      <c r="F28" s="118">
        <v>2.4</v>
      </c>
      <c r="G28" s="114">
        <f t="shared" si="0"/>
        <v>109.69999999999996</v>
      </c>
      <c r="H28" s="276"/>
      <c r="I28" s="7"/>
      <c r="J28" s="27"/>
      <c r="K28" s="26"/>
    </row>
    <row r="29" spans="1:13" ht="18" customHeight="1" x14ac:dyDescent="0.25">
      <c r="A29" s="14">
        <f t="shared" si="1"/>
        <v>19</v>
      </c>
      <c r="B29" s="8">
        <v>45805</v>
      </c>
      <c r="C29" s="15" t="s">
        <v>108</v>
      </c>
      <c r="D29" s="10" t="s">
        <v>19</v>
      </c>
      <c r="E29" s="117"/>
      <c r="F29" s="118">
        <v>7</v>
      </c>
      <c r="G29" s="114">
        <f t="shared" si="0"/>
        <v>102.69999999999996</v>
      </c>
      <c r="H29" s="276" t="s">
        <v>94</v>
      </c>
      <c r="I29" s="7" t="s">
        <v>90</v>
      </c>
      <c r="J29" s="31"/>
    </row>
    <row r="30" spans="1:13" ht="18" customHeight="1" x14ac:dyDescent="0.25">
      <c r="A30" s="14">
        <f t="shared" si="1"/>
        <v>20</v>
      </c>
      <c r="B30" s="8">
        <v>45806</v>
      </c>
      <c r="C30" s="15" t="s">
        <v>108</v>
      </c>
      <c r="D30" s="10" t="s">
        <v>19</v>
      </c>
      <c r="E30" s="117"/>
      <c r="F30" s="118">
        <v>4.5999999999999996</v>
      </c>
      <c r="G30" s="114">
        <f t="shared" si="0"/>
        <v>98.099999999999966</v>
      </c>
      <c r="H30" s="276" t="s">
        <v>94</v>
      </c>
      <c r="I30" s="7" t="s">
        <v>90</v>
      </c>
      <c r="J30" s="120"/>
    </row>
    <row r="31" spans="1:13" ht="18" customHeight="1" x14ac:dyDescent="0.25">
      <c r="A31" s="14">
        <f t="shared" si="1"/>
        <v>21</v>
      </c>
      <c r="B31" s="8">
        <v>45807</v>
      </c>
      <c r="C31" s="15" t="s">
        <v>108</v>
      </c>
      <c r="D31" s="10" t="s">
        <v>19</v>
      </c>
      <c r="E31" s="117"/>
      <c r="F31" s="118">
        <v>6.1</v>
      </c>
      <c r="G31" s="114">
        <f t="shared" si="0"/>
        <v>91.999999999999972</v>
      </c>
      <c r="H31" s="276" t="s">
        <v>94</v>
      </c>
      <c r="I31" s="7" t="s">
        <v>90</v>
      </c>
    </row>
    <row r="32" spans="1:13" ht="18" customHeight="1" x14ac:dyDescent="0.25">
      <c r="A32" s="14">
        <f t="shared" si="1"/>
        <v>22</v>
      </c>
      <c r="B32" s="8">
        <v>45809</v>
      </c>
      <c r="C32" s="15" t="s">
        <v>108</v>
      </c>
      <c r="D32" s="10" t="s">
        <v>19</v>
      </c>
      <c r="E32" s="117"/>
      <c r="F32" s="118">
        <v>9.5</v>
      </c>
      <c r="G32" s="114">
        <f t="shared" si="0"/>
        <v>82.499999999999972</v>
      </c>
      <c r="H32" s="276" t="s">
        <v>94</v>
      </c>
      <c r="I32" s="7" t="s">
        <v>90</v>
      </c>
      <c r="M32">
        <f>766+602.4+814+781+776+618.8</f>
        <v>4358.2</v>
      </c>
    </row>
    <row r="33" spans="1:9" ht="18" customHeight="1" x14ac:dyDescent="0.25">
      <c r="A33" s="14">
        <f t="shared" si="1"/>
        <v>23</v>
      </c>
      <c r="B33" s="8">
        <v>45939</v>
      </c>
      <c r="C33" s="15" t="s">
        <v>108</v>
      </c>
      <c r="D33" s="10" t="s">
        <v>19</v>
      </c>
      <c r="E33" s="117"/>
      <c r="F33" s="118">
        <v>5.6</v>
      </c>
      <c r="G33" s="114">
        <f t="shared" si="0"/>
        <v>76.899999999999977</v>
      </c>
      <c r="H33" s="276" t="s">
        <v>94</v>
      </c>
      <c r="I33" s="7" t="s">
        <v>90</v>
      </c>
    </row>
    <row r="34" spans="1:9" ht="18" customHeight="1" x14ac:dyDescent="0.25">
      <c r="A34" s="14">
        <f t="shared" si="1"/>
        <v>24</v>
      </c>
      <c r="B34" s="8">
        <v>45940</v>
      </c>
      <c r="C34" s="15" t="s">
        <v>108</v>
      </c>
      <c r="D34" s="10" t="s">
        <v>19</v>
      </c>
      <c r="E34" s="117"/>
      <c r="F34" s="118">
        <v>11</v>
      </c>
      <c r="G34" s="114">
        <f t="shared" si="0"/>
        <v>65.899999999999977</v>
      </c>
      <c r="H34" s="276" t="s">
        <v>94</v>
      </c>
      <c r="I34" s="7" t="s">
        <v>90</v>
      </c>
    </row>
    <row r="35" spans="1:9" ht="18" customHeight="1" x14ac:dyDescent="0.25">
      <c r="A35" s="14">
        <f t="shared" si="1"/>
        <v>25</v>
      </c>
      <c r="B35" s="8"/>
      <c r="C35" s="15" t="s">
        <v>108</v>
      </c>
      <c r="D35" s="10" t="s">
        <v>19</v>
      </c>
      <c r="E35" s="117"/>
      <c r="F35" s="118"/>
      <c r="G35" s="114">
        <f t="shared" si="0"/>
        <v>65.899999999999977</v>
      </c>
      <c r="H35" s="276" t="s">
        <v>94</v>
      </c>
      <c r="I35" s="7"/>
    </row>
    <row r="36" spans="1:9" ht="18" customHeight="1" x14ac:dyDescent="0.25">
      <c r="A36" s="14">
        <f t="shared" si="1"/>
        <v>26</v>
      </c>
      <c r="B36" s="8"/>
      <c r="C36" s="15" t="s">
        <v>108</v>
      </c>
      <c r="D36" s="10" t="s">
        <v>19</v>
      </c>
      <c r="E36" s="117"/>
      <c r="F36" s="118"/>
      <c r="G36" s="114">
        <f t="shared" si="0"/>
        <v>65.899999999999977</v>
      </c>
      <c r="H36" s="276" t="s">
        <v>141</v>
      </c>
      <c r="I36" s="7" t="s">
        <v>90</v>
      </c>
    </row>
    <row r="37" spans="1:9" ht="18" customHeight="1" x14ac:dyDescent="0.25">
      <c r="A37" s="14">
        <f t="shared" si="1"/>
        <v>27</v>
      </c>
      <c r="B37" s="8"/>
      <c r="C37" s="15" t="s">
        <v>108</v>
      </c>
      <c r="D37" s="10" t="s">
        <v>19</v>
      </c>
      <c r="E37" s="117"/>
      <c r="F37" s="118"/>
      <c r="G37" s="114">
        <f t="shared" si="0"/>
        <v>65.899999999999977</v>
      </c>
      <c r="H37" s="276" t="s">
        <v>94</v>
      </c>
      <c r="I37" s="7" t="s">
        <v>90</v>
      </c>
    </row>
    <row r="38" spans="1:9" ht="18" customHeight="1" x14ac:dyDescent="0.25">
      <c r="A38" s="14">
        <f t="shared" si="1"/>
        <v>28</v>
      </c>
      <c r="B38" s="8"/>
      <c r="C38" s="15" t="s">
        <v>108</v>
      </c>
      <c r="D38" s="10" t="s">
        <v>19</v>
      </c>
      <c r="E38" s="117"/>
      <c r="F38" s="118"/>
      <c r="G38" s="114">
        <f t="shared" si="0"/>
        <v>65.899999999999977</v>
      </c>
      <c r="H38" s="276" t="s">
        <v>94</v>
      </c>
      <c r="I38" s="7" t="s">
        <v>90</v>
      </c>
    </row>
    <row r="39" spans="1:9" ht="18" customHeight="1" x14ac:dyDescent="0.25">
      <c r="A39" s="14">
        <f t="shared" si="1"/>
        <v>29</v>
      </c>
      <c r="B39" s="8"/>
      <c r="C39" s="15" t="s">
        <v>108</v>
      </c>
      <c r="D39" s="10" t="s">
        <v>19</v>
      </c>
      <c r="E39" s="117"/>
      <c r="F39" s="118"/>
      <c r="G39" s="114">
        <f t="shared" si="0"/>
        <v>65.899999999999977</v>
      </c>
      <c r="H39" s="276" t="s">
        <v>94</v>
      </c>
      <c r="I39" s="7" t="s">
        <v>90</v>
      </c>
    </row>
    <row r="40" spans="1:9" ht="18" customHeight="1" x14ac:dyDescent="0.25">
      <c r="A40" s="14">
        <f t="shared" si="1"/>
        <v>30</v>
      </c>
      <c r="B40" s="8"/>
      <c r="C40" s="15" t="s">
        <v>108</v>
      </c>
      <c r="D40" s="10" t="s">
        <v>19</v>
      </c>
      <c r="E40" s="117"/>
      <c r="F40" s="118"/>
      <c r="G40" s="114">
        <f t="shared" si="0"/>
        <v>65.899999999999977</v>
      </c>
      <c r="H40" s="276" t="s">
        <v>140</v>
      </c>
      <c r="I40" s="7" t="s">
        <v>90</v>
      </c>
    </row>
    <row r="41" spans="1:9" ht="18" customHeight="1" x14ac:dyDescent="0.25">
      <c r="A41" s="14">
        <f t="shared" si="1"/>
        <v>31</v>
      </c>
      <c r="B41" s="8"/>
      <c r="C41" s="15" t="s">
        <v>108</v>
      </c>
      <c r="D41" s="10" t="s">
        <v>19</v>
      </c>
      <c r="E41" s="117"/>
      <c r="F41" s="118"/>
      <c r="G41" s="114">
        <f t="shared" si="0"/>
        <v>65.899999999999977</v>
      </c>
      <c r="H41" s="276" t="s">
        <v>140</v>
      </c>
      <c r="I41" s="7" t="s">
        <v>90</v>
      </c>
    </row>
    <row r="42" spans="1:9" ht="18" customHeight="1" x14ac:dyDescent="0.25">
      <c r="A42" s="14">
        <f t="shared" si="1"/>
        <v>32</v>
      </c>
      <c r="B42" s="8"/>
      <c r="C42" s="15" t="s">
        <v>108</v>
      </c>
      <c r="D42" s="10" t="s">
        <v>19</v>
      </c>
      <c r="E42" s="117"/>
      <c r="F42" s="118"/>
      <c r="G42" s="114">
        <f t="shared" si="0"/>
        <v>65.899999999999977</v>
      </c>
      <c r="H42" s="276" t="s">
        <v>140</v>
      </c>
      <c r="I42" s="7" t="s">
        <v>90</v>
      </c>
    </row>
    <row r="43" spans="1:9" ht="18" customHeight="1" x14ac:dyDescent="0.25">
      <c r="A43" s="14">
        <f t="shared" si="1"/>
        <v>33</v>
      </c>
      <c r="B43" s="8"/>
      <c r="C43" s="15" t="s">
        <v>108</v>
      </c>
      <c r="D43" s="10" t="s">
        <v>19</v>
      </c>
      <c r="E43" s="117"/>
      <c r="F43" s="118"/>
      <c r="G43" s="114">
        <f t="shared" si="0"/>
        <v>65.899999999999977</v>
      </c>
      <c r="H43" s="276" t="s">
        <v>94</v>
      </c>
      <c r="I43" s="7" t="s">
        <v>90</v>
      </c>
    </row>
    <row r="44" spans="1:9" ht="18" customHeight="1" x14ac:dyDescent="0.25">
      <c r="A44" s="14">
        <f t="shared" si="1"/>
        <v>34</v>
      </c>
      <c r="B44" s="8"/>
      <c r="C44" s="15" t="s">
        <v>108</v>
      </c>
      <c r="D44" s="10" t="s">
        <v>19</v>
      </c>
      <c r="F44" s="118"/>
      <c r="G44" s="114">
        <f t="shared" si="0"/>
        <v>65.899999999999977</v>
      </c>
      <c r="H44" s="276" t="s">
        <v>94</v>
      </c>
      <c r="I44" s="7" t="s">
        <v>90</v>
      </c>
    </row>
    <row r="45" spans="1:9" ht="18" customHeight="1" x14ac:dyDescent="0.25">
      <c r="A45" s="14">
        <f t="shared" si="1"/>
        <v>35</v>
      </c>
      <c r="B45" s="8"/>
      <c r="C45" s="15" t="s">
        <v>108</v>
      </c>
      <c r="D45" s="10" t="s">
        <v>19</v>
      </c>
      <c r="E45" s="117"/>
      <c r="F45" s="118"/>
      <c r="G45" s="114">
        <f t="shared" si="0"/>
        <v>65.899999999999977</v>
      </c>
      <c r="H45" s="276" t="s">
        <v>94</v>
      </c>
      <c r="I45" s="7" t="s">
        <v>90</v>
      </c>
    </row>
    <row r="46" spans="1:9" ht="18" customHeight="1" x14ac:dyDescent="0.25">
      <c r="A46" s="14">
        <f t="shared" si="1"/>
        <v>36</v>
      </c>
      <c r="B46" s="8"/>
      <c r="C46" s="15" t="s">
        <v>108</v>
      </c>
      <c r="D46" s="10" t="s">
        <v>19</v>
      </c>
      <c r="E46" s="117"/>
      <c r="F46" s="118"/>
      <c r="G46" s="114">
        <f t="shared" si="0"/>
        <v>65.899999999999977</v>
      </c>
      <c r="H46" s="276" t="s">
        <v>94</v>
      </c>
      <c r="I46" s="7" t="s">
        <v>90</v>
      </c>
    </row>
    <row r="47" spans="1:9" ht="18" customHeight="1" x14ac:dyDescent="0.25">
      <c r="A47" s="14">
        <f t="shared" si="1"/>
        <v>37</v>
      </c>
      <c r="B47" s="8"/>
      <c r="C47" s="15" t="s">
        <v>108</v>
      </c>
      <c r="D47" s="10" t="s">
        <v>19</v>
      </c>
      <c r="E47" s="117"/>
      <c r="F47" s="118"/>
      <c r="G47" s="114">
        <f t="shared" si="0"/>
        <v>65.899999999999977</v>
      </c>
      <c r="H47" s="276" t="s">
        <v>94</v>
      </c>
      <c r="I47" s="7" t="s">
        <v>90</v>
      </c>
    </row>
    <row r="48" spans="1:9" ht="18" customHeight="1" x14ac:dyDescent="0.25">
      <c r="A48" s="14">
        <f t="shared" si="1"/>
        <v>38</v>
      </c>
      <c r="B48" s="8"/>
      <c r="C48" s="15" t="s">
        <v>108</v>
      </c>
      <c r="D48" s="10" t="s">
        <v>19</v>
      </c>
      <c r="E48" s="117"/>
      <c r="F48" s="118"/>
      <c r="G48" s="114">
        <f t="shared" si="0"/>
        <v>65.899999999999977</v>
      </c>
      <c r="H48" s="276" t="s">
        <v>94</v>
      </c>
      <c r="I48" s="7" t="s">
        <v>90</v>
      </c>
    </row>
    <row r="49" spans="1:14" ht="18" customHeight="1" x14ac:dyDescent="0.25">
      <c r="A49" s="14">
        <f t="shared" si="1"/>
        <v>39</v>
      </c>
      <c r="B49" s="8"/>
      <c r="C49" s="15" t="s">
        <v>108</v>
      </c>
      <c r="D49" s="10" t="s">
        <v>19</v>
      </c>
      <c r="E49" s="117"/>
      <c r="F49" s="118"/>
      <c r="G49" s="114">
        <f t="shared" si="0"/>
        <v>65.899999999999977</v>
      </c>
      <c r="H49" s="276" t="s">
        <v>94</v>
      </c>
      <c r="I49" s="7" t="s">
        <v>90</v>
      </c>
    </row>
    <row r="50" spans="1:14" ht="18" customHeight="1" x14ac:dyDescent="0.25">
      <c r="A50" s="14">
        <f t="shared" si="1"/>
        <v>40</v>
      </c>
      <c r="B50" s="8"/>
      <c r="C50" s="15" t="s">
        <v>108</v>
      </c>
      <c r="D50" s="10" t="s">
        <v>19</v>
      </c>
      <c r="E50" s="117"/>
      <c r="F50" s="118"/>
      <c r="G50" s="114">
        <f t="shared" si="0"/>
        <v>65.899999999999977</v>
      </c>
      <c r="H50" s="276" t="s">
        <v>94</v>
      </c>
      <c r="I50" s="7" t="s">
        <v>90</v>
      </c>
    </row>
    <row r="51" spans="1:14" ht="18" customHeight="1" x14ac:dyDescent="0.25">
      <c r="A51" s="14">
        <f t="shared" si="1"/>
        <v>41</v>
      </c>
      <c r="B51" s="8"/>
      <c r="C51" s="15" t="s">
        <v>108</v>
      </c>
      <c r="D51" s="10" t="s">
        <v>19</v>
      </c>
      <c r="E51" s="117"/>
      <c r="F51" s="118"/>
      <c r="G51" s="114">
        <f t="shared" si="0"/>
        <v>65.899999999999977</v>
      </c>
      <c r="H51" s="276" t="s">
        <v>94</v>
      </c>
      <c r="I51" s="7" t="s">
        <v>90</v>
      </c>
    </row>
    <row r="52" spans="1:14" ht="18" customHeight="1" x14ac:dyDescent="0.25">
      <c r="A52" s="14">
        <f t="shared" si="1"/>
        <v>42</v>
      </c>
      <c r="B52" s="8"/>
      <c r="C52" s="15" t="s">
        <v>108</v>
      </c>
      <c r="D52" s="10" t="s">
        <v>19</v>
      </c>
      <c r="E52" s="117"/>
      <c r="F52" s="118"/>
      <c r="G52" s="114">
        <f t="shared" si="0"/>
        <v>65.899999999999977</v>
      </c>
      <c r="H52" s="276" t="s">
        <v>94</v>
      </c>
      <c r="I52" s="7" t="s">
        <v>90</v>
      </c>
    </row>
    <row r="53" spans="1:14" ht="18" customHeight="1" x14ac:dyDescent="0.25">
      <c r="A53" s="14">
        <f t="shared" si="1"/>
        <v>43</v>
      </c>
      <c r="B53" s="8"/>
      <c r="C53" s="15" t="s">
        <v>108</v>
      </c>
      <c r="D53" s="10" t="s">
        <v>19</v>
      </c>
      <c r="E53" s="117"/>
      <c r="F53" s="118"/>
      <c r="G53" s="114">
        <f t="shared" si="0"/>
        <v>65.899999999999977</v>
      </c>
      <c r="H53" s="276" t="s">
        <v>94</v>
      </c>
      <c r="I53" s="7" t="s">
        <v>90</v>
      </c>
    </row>
    <row r="54" spans="1:14" ht="18" customHeight="1" x14ac:dyDescent="0.25">
      <c r="A54" s="14">
        <f t="shared" si="1"/>
        <v>44</v>
      </c>
      <c r="B54" s="8"/>
      <c r="C54" s="15" t="s">
        <v>108</v>
      </c>
      <c r="D54" s="10" t="s">
        <v>19</v>
      </c>
      <c r="E54" s="117"/>
      <c r="F54" s="118"/>
      <c r="G54" s="114">
        <f t="shared" si="0"/>
        <v>65.899999999999977</v>
      </c>
      <c r="H54" s="276" t="s">
        <v>94</v>
      </c>
      <c r="I54" s="7" t="s">
        <v>90</v>
      </c>
    </row>
    <row r="55" spans="1:14" ht="18" customHeight="1" x14ac:dyDescent="0.25">
      <c r="A55" s="14">
        <f t="shared" si="1"/>
        <v>45</v>
      </c>
      <c r="B55" s="8"/>
      <c r="C55" s="15" t="s">
        <v>108</v>
      </c>
      <c r="D55" s="10" t="s">
        <v>19</v>
      </c>
      <c r="E55" s="117"/>
      <c r="F55" s="118"/>
      <c r="G55" s="114">
        <f t="shared" si="0"/>
        <v>65.899999999999977</v>
      </c>
      <c r="H55" s="276" t="s">
        <v>94</v>
      </c>
      <c r="I55" s="7" t="s">
        <v>90</v>
      </c>
    </row>
    <row r="56" spans="1:14" ht="18" customHeight="1" x14ac:dyDescent="0.25">
      <c r="A56" s="14">
        <f t="shared" si="1"/>
        <v>46</v>
      </c>
      <c r="B56" s="8"/>
      <c r="C56" s="15" t="s">
        <v>108</v>
      </c>
      <c r="D56" s="10" t="s">
        <v>19</v>
      </c>
      <c r="E56" s="117"/>
      <c r="F56" s="118"/>
      <c r="G56" s="114">
        <f t="shared" si="0"/>
        <v>65.899999999999977</v>
      </c>
      <c r="H56" s="276" t="s">
        <v>94</v>
      </c>
      <c r="I56" s="7" t="s">
        <v>90</v>
      </c>
    </row>
    <row r="57" spans="1:14" ht="18" customHeight="1" x14ac:dyDescent="0.25">
      <c r="A57" s="14">
        <f t="shared" si="1"/>
        <v>47</v>
      </c>
      <c r="B57" s="8"/>
      <c r="C57" s="15" t="s">
        <v>108</v>
      </c>
      <c r="D57" s="10" t="s">
        <v>19</v>
      </c>
      <c r="E57" s="117"/>
      <c r="F57" s="118"/>
      <c r="G57" s="114">
        <f t="shared" si="0"/>
        <v>65.899999999999977</v>
      </c>
      <c r="H57" s="276" t="s">
        <v>94</v>
      </c>
      <c r="I57" s="7" t="s">
        <v>90</v>
      </c>
    </row>
    <row r="58" spans="1:14" ht="18" customHeight="1" x14ac:dyDescent="0.25">
      <c r="A58" s="14">
        <f t="shared" si="1"/>
        <v>48</v>
      </c>
      <c r="B58" s="8"/>
      <c r="C58" s="15" t="s">
        <v>108</v>
      </c>
      <c r="D58" s="10" t="s">
        <v>19</v>
      </c>
      <c r="E58" s="117"/>
      <c r="F58" s="118"/>
      <c r="G58" s="114">
        <f t="shared" si="0"/>
        <v>65.899999999999977</v>
      </c>
      <c r="H58" s="276" t="s">
        <v>94</v>
      </c>
      <c r="I58" s="7" t="s">
        <v>90</v>
      </c>
    </row>
    <row r="59" spans="1:14" ht="18" customHeight="1" x14ac:dyDescent="0.25">
      <c r="A59" s="14">
        <f t="shared" si="1"/>
        <v>49</v>
      </c>
      <c r="B59" s="8"/>
      <c r="C59" s="15" t="s">
        <v>108</v>
      </c>
      <c r="D59" s="10" t="s">
        <v>19</v>
      </c>
      <c r="E59" s="117"/>
      <c r="F59" s="118"/>
      <c r="G59" s="114">
        <f t="shared" si="0"/>
        <v>65.899999999999977</v>
      </c>
      <c r="H59" s="276" t="s">
        <v>94</v>
      </c>
      <c r="I59" s="7" t="s">
        <v>90</v>
      </c>
    </row>
    <row r="60" spans="1:14" ht="18" customHeight="1" x14ac:dyDescent="0.25">
      <c r="A60" s="14">
        <f t="shared" si="1"/>
        <v>50</v>
      </c>
      <c r="B60" s="8"/>
      <c r="C60" s="15" t="s">
        <v>108</v>
      </c>
      <c r="D60" s="10" t="s">
        <v>19</v>
      </c>
      <c r="E60" s="117"/>
      <c r="F60" s="118"/>
      <c r="G60" s="114">
        <f t="shared" si="0"/>
        <v>65.899999999999977</v>
      </c>
      <c r="H60" s="276" t="s">
        <v>94</v>
      </c>
      <c r="I60" s="7" t="s">
        <v>90</v>
      </c>
    </row>
    <row r="61" spans="1:14" ht="18" customHeight="1" x14ac:dyDescent="0.25">
      <c r="A61" s="14">
        <f t="shared" si="1"/>
        <v>51</v>
      </c>
      <c r="B61" s="8"/>
      <c r="C61" s="15" t="s">
        <v>108</v>
      </c>
      <c r="D61" s="10" t="s">
        <v>19</v>
      </c>
      <c r="E61" s="117"/>
      <c r="F61" s="118"/>
      <c r="G61" s="114">
        <f t="shared" si="0"/>
        <v>65.899999999999977</v>
      </c>
      <c r="H61" s="276" t="s">
        <v>94</v>
      </c>
      <c r="I61" s="7" t="s">
        <v>90</v>
      </c>
    </row>
    <row r="62" spans="1:14" ht="18" customHeight="1" x14ac:dyDescent="0.25">
      <c r="A62" s="14">
        <f t="shared" si="1"/>
        <v>52</v>
      </c>
      <c r="B62" s="44"/>
      <c r="C62" s="15" t="s">
        <v>108</v>
      </c>
      <c r="D62" s="10" t="s">
        <v>19</v>
      </c>
      <c r="E62" s="117"/>
      <c r="F62" s="118"/>
      <c r="G62" s="114">
        <f t="shared" si="0"/>
        <v>65.899999999999977</v>
      </c>
      <c r="H62" s="276" t="s">
        <v>94</v>
      </c>
      <c r="I62" s="7" t="s">
        <v>90</v>
      </c>
      <c r="N62">
        <f>260-46</f>
        <v>214</v>
      </c>
    </row>
    <row r="63" spans="1:14" ht="18" customHeight="1" x14ac:dyDescent="0.25">
      <c r="A63" s="14">
        <f t="shared" si="1"/>
        <v>53</v>
      </c>
      <c r="B63" s="44"/>
      <c r="C63" s="15" t="s">
        <v>108</v>
      </c>
      <c r="D63" s="10" t="s">
        <v>19</v>
      </c>
      <c r="E63" s="117"/>
      <c r="F63" s="118"/>
      <c r="G63" s="388">
        <f t="shared" si="0"/>
        <v>65.899999999999977</v>
      </c>
      <c r="H63" s="276" t="s">
        <v>94</v>
      </c>
      <c r="I63" s="7" t="s">
        <v>90</v>
      </c>
    </row>
    <row r="64" spans="1:14" ht="18" customHeight="1" x14ac:dyDescent="0.25">
      <c r="A64" s="14">
        <f t="shared" si="1"/>
        <v>54</v>
      </c>
      <c r="B64" s="8"/>
      <c r="C64" s="15" t="s">
        <v>108</v>
      </c>
      <c r="D64" s="10" t="s">
        <v>19</v>
      </c>
      <c r="E64" s="117"/>
      <c r="F64" s="118"/>
      <c r="G64" s="114">
        <f t="shared" si="0"/>
        <v>65.899999999999977</v>
      </c>
      <c r="H64" s="276" t="s">
        <v>94</v>
      </c>
      <c r="I64" s="7" t="s">
        <v>90</v>
      </c>
    </row>
    <row r="65" spans="1:9" ht="18" customHeight="1" x14ac:dyDescent="0.25">
      <c r="A65" s="14">
        <f t="shared" si="1"/>
        <v>55</v>
      </c>
      <c r="B65" s="8"/>
      <c r="C65" s="15" t="s">
        <v>108</v>
      </c>
      <c r="D65" s="10" t="s">
        <v>19</v>
      </c>
      <c r="E65" s="117"/>
      <c r="F65" s="118"/>
      <c r="G65" s="114">
        <f t="shared" si="0"/>
        <v>65.899999999999977</v>
      </c>
      <c r="H65" s="276"/>
      <c r="I65" s="7"/>
    </row>
    <row r="66" spans="1:9" ht="18" customHeight="1" x14ac:dyDescent="0.25">
      <c r="A66" s="14">
        <f t="shared" si="1"/>
        <v>56</v>
      </c>
      <c r="B66" s="8"/>
      <c r="C66" s="15" t="s">
        <v>108</v>
      </c>
      <c r="D66" s="10" t="s">
        <v>19</v>
      </c>
      <c r="E66" s="117"/>
      <c r="F66" s="118"/>
      <c r="G66" s="114">
        <f t="shared" si="0"/>
        <v>65.899999999999977</v>
      </c>
      <c r="H66" s="276"/>
      <c r="I66" s="7"/>
    </row>
    <row r="67" spans="1:9" ht="18" customHeight="1" x14ac:dyDescent="0.25">
      <c r="A67" s="14">
        <f t="shared" si="1"/>
        <v>57</v>
      </c>
      <c r="B67" s="8"/>
      <c r="C67" s="15" t="s">
        <v>108</v>
      </c>
      <c r="D67" s="10" t="s">
        <v>19</v>
      </c>
      <c r="E67" s="117"/>
      <c r="F67" s="118"/>
      <c r="G67" s="114">
        <f t="shared" si="0"/>
        <v>65.899999999999977</v>
      </c>
      <c r="H67" s="276"/>
      <c r="I67" s="7"/>
    </row>
    <row r="68" spans="1:9" ht="18" customHeight="1" x14ac:dyDescent="0.25">
      <c r="A68" s="14">
        <f t="shared" si="1"/>
        <v>58</v>
      </c>
      <c r="B68" s="8"/>
      <c r="C68" s="15" t="s">
        <v>108</v>
      </c>
      <c r="D68" s="10" t="s">
        <v>19</v>
      </c>
      <c r="E68" s="117"/>
      <c r="F68" s="118"/>
      <c r="G68" s="114">
        <f t="shared" si="0"/>
        <v>65.899999999999977</v>
      </c>
      <c r="H68" s="276"/>
      <c r="I68" s="7"/>
    </row>
    <row r="69" spans="1:9" ht="18" customHeight="1" x14ac:dyDescent="0.25">
      <c r="A69" s="14">
        <f t="shared" si="1"/>
        <v>59</v>
      </c>
      <c r="B69" s="8"/>
      <c r="C69" s="15" t="s">
        <v>108</v>
      </c>
      <c r="D69" s="10" t="s">
        <v>19</v>
      </c>
      <c r="E69" s="117"/>
      <c r="F69" s="118"/>
      <c r="G69" s="114">
        <f t="shared" si="0"/>
        <v>65.899999999999977</v>
      </c>
      <c r="H69" s="276"/>
      <c r="I69" s="7"/>
    </row>
    <row r="70" spans="1:9" ht="18" customHeight="1" x14ac:dyDescent="0.25">
      <c r="A70" s="14">
        <f t="shared" si="1"/>
        <v>60</v>
      </c>
      <c r="B70" s="8"/>
      <c r="C70" s="15" t="s">
        <v>108</v>
      </c>
      <c r="D70" s="10" t="s">
        <v>19</v>
      </c>
      <c r="E70" s="117"/>
      <c r="F70" s="118"/>
      <c r="G70" s="114">
        <f t="shared" si="0"/>
        <v>65.899999999999977</v>
      </c>
      <c r="H70" s="276"/>
      <c r="I70" s="7"/>
    </row>
    <row r="71" spans="1:9" ht="18" customHeight="1" x14ac:dyDescent="0.25">
      <c r="A71" s="14">
        <f t="shared" si="1"/>
        <v>61</v>
      </c>
      <c r="B71" s="8"/>
      <c r="C71" s="15" t="s">
        <v>108</v>
      </c>
      <c r="D71" s="10" t="s">
        <v>19</v>
      </c>
      <c r="E71" s="117"/>
      <c r="F71" s="118"/>
      <c r="G71" s="114">
        <f t="shared" si="0"/>
        <v>65.899999999999977</v>
      </c>
      <c r="H71" s="276"/>
      <c r="I71" s="7"/>
    </row>
    <row r="72" spans="1:9" ht="18" customHeight="1" x14ac:dyDescent="0.25">
      <c r="A72" s="14">
        <f t="shared" si="1"/>
        <v>62</v>
      </c>
      <c r="B72" s="8"/>
      <c r="C72" s="15" t="s">
        <v>108</v>
      </c>
      <c r="D72" s="10" t="s">
        <v>19</v>
      </c>
      <c r="E72" s="117"/>
      <c r="F72" s="118"/>
      <c r="G72" s="114">
        <f t="shared" si="0"/>
        <v>65.899999999999977</v>
      </c>
      <c r="H72" s="276"/>
      <c r="I72" s="7"/>
    </row>
    <row r="73" spans="1:9" ht="18" customHeight="1" x14ac:dyDescent="0.25">
      <c r="A73" s="14">
        <f t="shared" si="1"/>
        <v>63</v>
      </c>
      <c r="B73" s="8"/>
      <c r="C73" s="15" t="s">
        <v>108</v>
      </c>
      <c r="D73" s="10" t="s">
        <v>19</v>
      </c>
      <c r="E73" s="117"/>
      <c r="F73" s="118"/>
      <c r="G73" s="114">
        <f t="shared" si="0"/>
        <v>65.899999999999977</v>
      </c>
      <c r="H73" s="276"/>
      <c r="I73" s="7"/>
    </row>
    <row r="74" spans="1:9" ht="18" customHeight="1" x14ac:dyDescent="0.25">
      <c r="A74" s="14">
        <f t="shared" si="1"/>
        <v>64</v>
      </c>
      <c r="B74" s="8"/>
      <c r="C74" s="15" t="s">
        <v>108</v>
      </c>
      <c r="D74" s="10" t="s">
        <v>19</v>
      </c>
      <c r="E74" s="117"/>
      <c r="F74" s="118"/>
      <c r="G74" s="114">
        <f t="shared" ref="G74:G90" si="2">+G73+E74-F74</f>
        <v>65.899999999999977</v>
      </c>
      <c r="H74" s="276"/>
      <c r="I74" s="7"/>
    </row>
    <row r="75" spans="1:9" ht="18" customHeight="1" x14ac:dyDescent="0.25">
      <c r="A75" s="14">
        <f t="shared" si="1"/>
        <v>65</v>
      </c>
      <c r="B75" s="8"/>
      <c r="C75" s="15" t="s">
        <v>108</v>
      </c>
      <c r="D75" s="10" t="s">
        <v>19</v>
      </c>
      <c r="E75" s="117"/>
      <c r="F75" s="118"/>
      <c r="G75" s="114">
        <f t="shared" si="2"/>
        <v>65.899999999999977</v>
      </c>
      <c r="H75" s="276"/>
      <c r="I75" s="7"/>
    </row>
    <row r="76" spans="1:9" ht="18" customHeight="1" x14ac:dyDescent="0.25">
      <c r="A76" s="14">
        <f t="shared" ref="A76:A90" si="3">+A75+1</f>
        <v>66</v>
      </c>
      <c r="B76" s="8"/>
      <c r="C76" s="15" t="s">
        <v>108</v>
      </c>
      <c r="D76" s="10" t="s">
        <v>19</v>
      </c>
      <c r="E76" s="117"/>
      <c r="F76" s="118"/>
      <c r="G76" s="114">
        <f t="shared" si="2"/>
        <v>65.899999999999977</v>
      </c>
      <c r="H76" s="276"/>
      <c r="I76" s="7"/>
    </row>
    <row r="77" spans="1:9" ht="18" customHeight="1" x14ac:dyDescent="0.25">
      <c r="A77" s="14">
        <f t="shared" si="3"/>
        <v>67</v>
      </c>
      <c r="B77" s="8"/>
      <c r="C77" s="15" t="s">
        <v>108</v>
      </c>
      <c r="D77" s="10" t="s">
        <v>19</v>
      </c>
      <c r="E77" s="117"/>
      <c r="F77" s="118"/>
      <c r="G77" s="114">
        <f t="shared" si="2"/>
        <v>65.899999999999977</v>
      </c>
      <c r="H77" s="276"/>
      <c r="I77" s="7"/>
    </row>
    <row r="78" spans="1:9" ht="18" customHeight="1" x14ac:dyDescent="0.25">
      <c r="A78" s="14">
        <f t="shared" si="3"/>
        <v>68</v>
      </c>
      <c r="B78" s="8"/>
      <c r="C78" s="15" t="s">
        <v>108</v>
      </c>
      <c r="D78" s="10" t="s">
        <v>19</v>
      </c>
      <c r="E78" s="117"/>
      <c r="F78" s="118"/>
      <c r="G78" s="114">
        <f t="shared" si="2"/>
        <v>65.899999999999977</v>
      </c>
      <c r="H78" s="276"/>
      <c r="I78" s="7"/>
    </row>
    <row r="79" spans="1:9" ht="18" customHeight="1" x14ac:dyDescent="0.25">
      <c r="A79" s="14"/>
      <c r="B79" s="8"/>
      <c r="C79" s="15" t="s">
        <v>108</v>
      </c>
      <c r="D79" s="10" t="s">
        <v>19</v>
      </c>
      <c r="E79" s="117"/>
      <c r="F79" s="118"/>
      <c r="G79" s="114">
        <f t="shared" si="2"/>
        <v>65.899999999999977</v>
      </c>
      <c r="H79" s="276"/>
      <c r="I79" s="7"/>
    </row>
    <row r="80" spans="1:9" ht="18" customHeight="1" x14ac:dyDescent="0.25">
      <c r="A80" s="14"/>
      <c r="B80" s="8"/>
      <c r="C80" s="15" t="s">
        <v>108</v>
      </c>
      <c r="D80" s="10" t="s">
        <v>19</v>
      </c>
      <c r="E80" s="117"/>
      <c r="F80" s="118"/>
      <c r="G80" s="114">
        <f t="shared" si="2"/>
        <v>65.899999999999977</v>
      </c>
      <c r="H80" s="276"/>
      <c r="I80" s="7"/>
    </row>
    <row r="81" spans="1:9" ht="18" customHeight="1" x14ac:dyDescent="0.25">
      <c r="A81" s="14"/>
      <c r="B81" s="8"/>
      <c r="C81" s="15" t="s">
        <v>108</v>
      </c>
      <c r="D81" s="10" t="s">
        <v>19</v>
      </c>
      <c r="E81" s="117"/>
      <c r="F81" s="118"/>
      <c r="G81" s="114">
        <f t="shared" si="2"/>
        <v>65.899999999999977</v>
      </c>
      <c r="H81" s="276"/>
      <c r="I81" s="7"/>
    </row>
    <row r="82" spans="1:9" ht="18" customHeight="1" x14ac:dyDescent="0.25">
      <c r="A82" s="14"/>
      <c r="B82" s="8"/>
      <c r="C82" s="15" t="s">
        <v>108</v>
      </c>
      <c r="D82" s="10" t="s">
        <v>19</v>
      </c>
      <c r="E82" s="117"/>
      <c r="F82" s="118"/>
      <c r="G82" s="114">
        <f t="shared" si="2"/>
        <v>65.899999999999977</v>
      </c>
      <c r="H82" s="276"/>
      <c r="I82" s="7"/>
    </row>
    <row r="83" spans="1:9" ht="18" customHeight="1" x14ac:dyDescent="0.25">
      <c r="A83" s="14"/>
      <c r="B83" s="8"/>
      <c r="C83" s="15" t="s">
        <v>108</v>
      </c>
      <c r="D83" s="10" t="s">
        <v>19</v>
      </c>
      <c r="E83" s="117"/>
      <c r="F83" s="118"/>
      <c r="G83" s="114">
        <f t="shared" si="2"/>
        <v>65.899999999999977</v>
      </c>
      <c r="H83" s="276"/>
      <c r="I83" s="7"/>
    </row>
    <row r="84" spans="1:9" ht="18" customHeight="1" x14ac:dyDescent="0.25">
      <c r="A84" s="14"/>
      <c r="B84" s="8"/>
      <c r="C84" s="15" t="s">
        <v>108</v>
      </c>
      <c r="D84" s="10" t="s">
        <v>19</v>
      </c>
      <c r="E84" s="117"/>
      <c r="F84" s="118"/>
      <c r="G84" s="114">
        <f t="shared" si="2"/>
        <v>65.899999999999977</v>
      </c>
      <c r="H84" s="276"/>
      <c r="I84" s="7"/>
    </row>
    <row r="85" spans="1:9" ht="18" customHeight="1" x14ac:dyDescent="0.25">
      <c r="A85" s="14"/>
      <c r="B85" s="8"/>
      <c r="C85" s="15" t="s">
        <v>108</v>
      </c>
      <c r="D85" s="10" t="s">
        <v>19</v>
      </c>
      <c r="E85" s="117"/>
      <c r="F85" s="118"/>
      <c r="G85" s="114">
        <f t="shared" si="2"/>
        <v>65.899999999999977</v>
      </c>
      <c r="H85" s="276"/>
      <c r="I85" s="7"/>
    </row>
    <row r="86" spans="1:9" ht="18" customHeight="1" x14ac:dyDescent="0.25">
      <c r="A86" s="14"/>
      <c r="B86" s="8"/>
      <c r="C86" s="15" t="s">
        <v>108</v>
      </c>
      <c r="D86" s="10" t="s">
        <v>19</v>
      </c>
      <c r="E86" s="117"/>
      <c r="F86" s="118"/>
      <c r="G86" s="114">
        <f t="shared" si="2"/>
        <v>65.899999999999977</v>
      </c>
      <c r="H86" s="276"/>
      <c r="I86" s="7"/>
    </row>
    <row r="87" spans="1:9" ht="18" customHeight="1" x14ac:dyDescent="0.25">
      <c r="A87" s="14"/>
      <c r="B87" s="8"/>
      <c r="C87" s="15" t="s">
        <v>108</v>
      </c>
      <c r="D87" s="10" t="s">
        <v>19</v>
      </c>
      <c r="E87" s="117"/>
      <c r="F87" s="118"/>
      <c r="G87" s="114">
        <f t="shared" si="2"/>
        <v>65.899999999999977</v>
      </c>
      <c r="H87" s="276"/>
      <c r="I87" s="7"/>
    </row>
    <row r="88" spans="1:9" ht="18" customHeight="1" x14ac:dyDescent="0.25">
      <c r="A88" s="14">
        <f>+A78+1</f>
        <v>69</v>
      </c>
      <c r="B88" s="8"/>
      <c r="C88" s="15"/>
      <c r="D88" s="10"/>
      <c r="E88" s="117"/>
      <c r="F88" s="118"/>
      <c r="G88" s="114">
        <f t="shared" si="2"/>
        <v>65.899999999999977</v>
      </c>
      <c r="H88" s="28"/>
      <c r="I88" s="29"/>
    </row>
    <row r="89" spans="1:9" ht="18" customHeight="1" x14ac:dyDescent="0.25">
      <c r="A89" s="14">
        <f t="shared" si="3"/>
        <v>70</v>
      </c>
      <c r="B89" s="8"/>
      <c r="C89" s="15"/>
      <c r="D89" s="10"/>
      <c r="E89" s="117"/>
      <c r="F89" s="118"/>
      <c r="G89" s="114">
        <f t="shared" si="2"/>
        <v>65.899999999999977</v>
      </c>
      <c r="H89" s="28"/>
      <c r="I89" s="29"/>
    </row>
    <row r="90" spans="1:9" ht="18" customHeight="1" x14ac:dyDescent="0.25">
      <c r="A90" s="14">
        <f t="shared" si="3"/>
        <v>71</v>
      </c>
      <c r="B90" s="8"/>
      <c r="C90" s="15"/>
      <c r="D90" s="10"/>
      <c r="E90" s="117"/>
      <c r="F90" s="118"/>
      <c r="G90" s="114">
        <f t="shared" si="2"/>
        <v>65.899999999999977</v>
      </c>
      <c r="H90" s="28"/>
      <c r="I90" s="29"/>
    </row>
    <row r="91" spans="1:9" ht="15" customHeight="1" x14ac:dyDescent="0.25">
      <c r="A91" s="7"/>
      <c r="B91" s="33"/>
      <c r="C91" s="34" t="s">
        <v>13</v>
      </c>
      <c r="D91" s="7"/>
      <c r="E91" s="121">
        <f>SUM(E10:E90)</f>
        <v>0</v>
      </c>
      <c r="F91" s="121">
        <f>SUM(F10:F90)</f>
        <v>123.2</v>
      </c>
      <c r="G91" s="121">
        <f>+E91-F91+G9</f>
        <v>65.899999999999991</v>
      </c>
      <c r="H91" s="35"/>
      <c r="I91" s="36"/>
    </row>
    <row r="92" spans="1:9" ht="15" customHeight="1" x14ac:dyDescent="0.25"/>
    <row r="93" spans="1:9" ht="15" customHeight="1" x14ac:dyDescent="0.25"/>
    <row r="94" spans="1:9" ht="15" customHeight="1" x14ac:dyDescent="0.25"/>
    <row r="95" spans="1:9" ht="15" customHeight="1" x14ac:dyDescent="0.25"/>
    <row r="96" spans="1:9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B4C0-AD4F-42B7-8358-87186B0D3F70}">
  <sheetPr codeName="Sheet20"/>
  <dimension ref="A1:K181"/>
  <sheetViews>
    <sheetView topLeftCell="A85" workbookViewId="0">
      <selection activeCell="F111" sqref="F1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2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6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 t="s">
        <v>11</v>
      </c>
      <c r="D9" s="10"/>
      <c r="E9" s="11"/>
      <c r="F9" s="12"/>
      <c r="G9" s="344">
        <v>167.9</v>
      </c>
      <c r="H9" s="7"/>
      <c r="I9" s="7"/>
      <c r="J9">
        <f>497+10</f>
        <v>507</v>
      </c>
    </row>
    <row r="10" spans="1:10" ht="18" customHeight="1" x14ac:dyDescent="0.25">
      <c r="A10" s="14">
        <v>1</v>
      </c>
      <c r="B10" s="8">
        <v>45659</v>
      </c>
      <c r="C10" s="15" t="s">
        <v>146</v>
      </c>
      <c r="D10" s="10" t="s">
        <v>19</v>
      </c>
      <c r="E10" s="113"/>
      <c r="F10" s="27">
        <v>0.7</v>
      </c>
      <c r="G10" s="114">
        <f t="shared" ref="G10:G75" si="0">+G9+E10-F10</f>
        <v>167.20000000000002</v>
      </c>
      <c r="H10" s="276" t="s">
        <v>94</v>
      </c>
      <c r="I10" s="7"/>
    </row>
    <row r="11" spans="1:10" ht="18" customHeight="1" x14ac:dyDescent="0.25">
      <c r="A11" s="14">
        <f t="shared" ref="A11:A75" si="1">+A10+1</f>
        <v>2</v>
      </c>
      <c r="B11" s="8">
        <v>45660</v>
      </c>
      <c r="C11" s="15" t="s">
        <v>146</v>
      </c>
      <c r="D11" s="10" t="s">
        <v>19</v>
      </c>
      <c r="E11" s="113"/>
      <c r="F11" s="23">
        <v>1.6</v>
      </c>
      <c r="G11" s="114">
        <f t="shared" si="0"/>
        <v>165.60000000000002</v>
      </c>
      <c r="H11" s="276" t="s">
        <v>94</v>
      </c>
      <c r="I11" s="7" t="s">
        <v>90</v>
      </c>
    </row>
    <row r="12" spans="1:10" ht="18" customHeight="1" x14ac:dyDescent="0.25">
      <c r="A12" s="14">
        <f t="shared" si="1"/>
        <v>3</v>
      </c>
      <c r="B12" s="8">
        <v>45661</v>
      </c>
      <c r="C12" s="15" t="s">
        <v>146</v>
      </c>
      <c r="D12" s="10" t="s">
        <v>19</v>
      </c>
      <c r="E12" s="113"/>
      <c r="F12" s="346">
        <v>1.2</v>
      </c>
      <c r="G12" s="114">
        <f t="shared" si="0"/>
        <v>164.40000000000003</v>
      </c>
      <c r="H12" s="276" t="s">
        <v>94</v>
      </c>
      <c r="I12" s="7" t="s">
        <v>90</v>
      </c>
    </row>
    <row r="13" spans="1:10" ht="18" customHeight="1" x14ac:dyDescent="0.25">
      <c r="A13" s="14">
        <f t="shared" si="1"/>
        <v>4</v>
      </c>
      <c r="B13" s="8">
        <v>45297</v>
      </c>
      <c r="C13" s="15" t="s">
        <v>146</v>
      </c>
      <c r="D13" s="10" t="s">
        <v>19</v>
      </c>
      <c r="E13" s="113"/>
      <c r="F13" s="17">
        <v>0.8</v>
      </c>
      <c r="G13" s="114">
        <f t="shared" si="0"/>
        <v>163.60000000000002</v>
      </c>
      <c r="H13" s="276" t="s">
        <v>94</v>
      </c>
      <c r="I13" s="7" t="s">
        <v>90</v>
      </c>
    </row>
    <row r="14" spans="1:10" ht="18" customHeight="1" x14ac:dyDescent="0.25">
      <c r="A14" s="14">
        <f t="shared" si="1"/>
        <v>5</v>
      </c>
      <c r="B14" s="8">
        <v>45664</v>
      </c>
      <c r="C14" s="15" t="s">
        <v>146</v>
      </c>
      <c r="D14" s="10" t="s">
        <v>19</v>
      </c>
      <c r="E14" s="113"/>
      <c r="F14" s="17">
        <v>0.7</v>
      </c>
      <c r="G14" s="114">
        <f t="shared" si="0"/>
        <v>162.90000000000003</v>
      </c>
      <c r="H14" s="276" t="s">
        <v>94</v>
      </c>
      <c r="I14" s="7" t="s">
        <v>90</v>
      </c>
      <c r="J14" t="s">
        <v>21</v>
      </c>
    </row>
    <row r="15" spans="1:10" ht="18" customHeight="1" x14ac:dyDescent="0.25">
      <c r="A15" s="14">
        <f t="shared" si="1"/>
        <v>6</v>
      </c>
      <c r="B15" s="8">
        <v>45666</v>
      </c>
      <c r="C15" s="15" t="s">
        <v>146</v>
      </c>
      <c r="D15" s="10" t="s">
        <v>19</v>
      </c>
      <c r="E15" s="113"/>
      <c r="F15" s="115">
        <v>0.5</v>
      </c>
      <c r="G15" s="114">
        <f t="shared" si="0"/>
        <v>162.40000000000003</v>
      </c>
      <c r="H15" s="276" t="s">
        <v>94</v>
      </c>
      <c r="I15" s="7" t="s">
        <v>90</v>
      </c>
      <c r="J15" s="26">
        <f>+F15+F17</f>
        <v>1</v>
      </c>
    </row>
    <row r="16" spans="1:10" ht="18" customHeight="1" x14ac:dyDescent="0.25">
      <c r="A16" s="14"/>
      <c r="B16" s="8">
        <v>45667</v>
      </c>
      <c r="C16" s="15" t="s">
        <v>146</v>
      </c>
      <c r="D16" s="10" t="s">
        <v>19</v>
      </c>
      <c r="E16" s="113"/>
      <c r="F16" s="115">
        <v>1</v>
      </c>
      <c r="G16" s="114">
        <f t="shared" si="0"/>
        <v>161.40000000000003</v>
      </c>
      <c r="H16" s="276" t="s">
        <v>94</v>
      </c>
      <c r="I16" s="7" t="s">
        <v>90</v>
      </c>
      <c r="J16" s="26"/>
    </row>
    <row r="17" spans="1:11" ht="18" customHeight="1" x14ac:dyDescent="0.25">
      <c r="A17" s="14">
        <f>+A15+1</f>
        <v>7</v>
      </c>
      <c r="B17" s="8">
        <v>45670</v>
      </c>
      <c r="C17" s="15" t="s">
        <v>146</v>
      </c>
      <c r="D17" s="10" t="s">
        <v>19</v>
      </c>
      <c r="E17" s="113"/>
      <c r="F17" s="152">
        <v>0.5</v>
      </c>
      <c r="G17" s="114">
        <f t="shared" si="0"/>
        <v>160.90000000000003</v>
      </c>
      <c r="H17" s="276" t="s">
        <v>129</v>
      </c>
      <c r="I17" s="7" t="s">
        <v>90</v>
      </c>
      <c r="J17" s="26"/>
    </row>
    <row r="18" spans="1:11" ht="18" customHeight="1" x14ac:dyDescent="0.25">
      <c r="A18" s="14">
        <f t="shared" si="1"/>
        <v>8</v>
      </c>
      <c r="B18" s="8">
        <v>45678</v>
      </c>
      <c r="C18" s="15" t="s">
        <v>146</v>
      </c>
      <c r="D18" s="10" t="s">
        <v>19</v>
      </c>
      <c r="E18" s="113"/>
      <c r="F18" s="152">
        <v>0.4</v>
      </c>
      <c r="G18" s="114">
        <f t="shared" si="0"/>
        <v>160.50000000000003</v>
      </c>
      <c r="H18" s="276" t="s">
        <v>129</v>
      </c>
      <c r="I18" s="7" t="s">
        <v>90</v>
      </c>
    </row>
    <row r="19" spans="1:11" ht="18" customHeight="1" x14ac:dyDescent="0.25">
      <c r="A19" s="14">
        <f t="shared" si="1"/>
        <v>9</v>
      </c>
      <c r="B19" s="8">
        <v>45679</v>
      </c>
      <c r="C19" s="15" t="s">
        <v>146</v>
      </c>
      <c r="D19" s="10" t="s">
        <v>19</v>
      </c>
      <c r="E19" s="113"/>
      <c r="F19" s="152">
        <v>0.8</v>
      </c>
      <c r="G19" s="114">
        <f t="shared" si="0"/>
        <v>159.70000000000002</v>
      </c>
      <c r="H19" s="276" t="s">
        <v>129</v>
      </c>
      <c r="I19" s="7" t="s">
        <v>90</v>
      </c>
    </row>
    <row r="20" spans="1:11" ht="18" customHeight="1" x14ac:dyDescent="0.25">
      <c r="A20" s="14">
        <f t="shared" si="1"/>
        <v>10</v>
      </c>
      <c r="B20" s="8">
        <v>45680</v>
      </c>
      <c r="C20" s="15" t="s">
        <v>146</v>
      </c>
      <c r="D20" s="10" t="s">
        <v>19</v>
      </c>
      <c r="E20" s="113"/>
      <c r="F20" s="152">
        <v>0.7</v>
      </c>
      <c r="G20" s="114">
        <f t="shared" si="0"/>
        <v>159.00000000000003</v>
      </c>
      <c r="H20" s="276" t="s">
        <v>129</v>
      </c>
      <c r="I20" s="7" t="s">
        <v>90</v>
      </c>
    </row>
    <row r="21" spans="1:11" ht="18" customHeight="1" x14ac:dyDescent="0.25">
      <c r="A21" s="14">
        <f t="shared" si="1"/>
        <v>11</v>
      </c>
      <c r="B21" s="8">
        <v>45681</v>
      </c>
      <c r="C21" s="15" t="s">
        <v>146</v>
      </c>
      <c r="D21" s="10" t="s">
        <v>19</v>
      </c>
      <c r="E21" s="11"/>
      <c r="F21" s="27">
        <v>1.1000000000000001</v>
      </c>
      <c r="G21" s="114">
        <f t="shared" si="0"/>
        <v>157.90000000000003</v>
      </c>
      <c r="H21" s="276" t="s">
        <v>129</v>
      </c>
      <c r="I21" s="7" t="s">
        <v>90</v>
      </c>
    </row>
    <row r="22" spans="1:11" ht="18" customHeight="1" x14ac:dyDescent="0.25">
      <c r="A22" s="14">
        <f t="shared" si="1"/>
        <v>12</v>
      </c>
      <c r="B22" s="8">
        <v>45695</v>
      </c>
      <c r="C22" s="15" t="s">
        <v>146</v>
      </c>
      <c r="D22" s="10" t="s">
        <v>19</v>
      </c>
      <c r="E22" s="113"/>
      <c r="F22" s="116">
        <v>0.8</v>
      </c>
      <c r="G22" s="114">
        <f t="shared" si="0"/>
        <v>157.10000000000002</v>
      </c>
      <c r="H22" s="276" t="s">
        <v>129</v>
      </c>
      <c r="I22" s="7" t="s">
        <v>90</v>
      </c>
    </row>
    <row r="23" spans="1:11" ht="18" customHeight="1" x14ac:dyDescent="0.25">
      <c r="A23" s="14">
        <f t="shared" si="1"/>
        <v>13</v>
      </c>
      <c r="B23" s="8">
        <v>45696</v>
      </c>
      <c r="C23" s="15" t="s">
        <v>146</v>
      </c>
      <c r="D23" s="10" t="s">
        <v>19</v>
      </c>
      <c r="E23" s="113"/>
      <c r="F23" s="27">
        <v>0.9</v>
      </c>
      <c r="G23" s="114">
        <f t="shared" si="0"/>
        <v>156.20000000000002</v>
      </c>
      <c r="H23" s="276" t="s">
        <v>129</v>
      </c>
      <c r="I23" s="7" t="s">
        <v>90</v>
      </c>
      <c r="J23" s="115"/>
      <c r="K23" s="26"/>
    </row>
    <row r="24" spans="1:11" ht="18" customHeight="1" x14ac:dyDescent="0.25">
      <c r="A24" s="14">
        <f t="shared" si="1"/>
        <v>14</v>
      </c>
      <c r="B24" s="8">
        <v>45698</v>
      </c>
      <c r="C24" s="15" t="s">
        <v>146</v>
      </c>
      <c r="D24" s="10" t="s">
        <v>19</v>
      </c>
      <c r="E24" s="113"/>
      <c r="F24" s="27">
        <v>1.2</v>
      </c>
      <c r="G24" s="114">
        <f t="shared" si="0"/>
        <v>155.00000000000003</v>
      </c>
      <c r="H24" s="276" t="s">
        <v>129</v>
      </c>
      <c r="I24" s="7" t="s">
        <v>90</v>
      </c>
      <c r="J24" s="17"/>
      <c r="K24" s="26"/>
    </row>
    <row r="25" spans="1:11" ht="18" customHeight="1" x14ac:dyDescent="0.25">
      <c r="A25" s="14">
        <f t="shared" si="1"/>
        <v>15</v>
      </c>
      <c r="B25" s="8">
        <v>45699</v>
      </c>
      <c r="C25" s="15" t="s">
        <v>146</v>
      </c>
      <c r="D25" s="10" t="s">
        <v>19</v>
      </c>
      <c r="E25" s="117"/>
      <c r="F25" s="118">
        <v>0.9</v>
      </c>
      <c r="G25" s="114">
        <f t="shared" si="0"/>
        <v>154.10000000000002</v>
      </c>
      <c r="H25" s="276" t="s">
        <v>129</v>
      </c>
      <c r="I25" s="7" t="s">
        <v>90</v>
      </c>
      <c r="J25" s="17"/>
      <c r="K25" s="26"/>
    </row>
    <row r="26" spans="1:11" ht="18" customHeight="1" x14ac:dyDescent="0.25">
      <c r="A26" s="14">
        <f t="shared" si="1"/>
        <v>16</v>
      </c>
      <c r="B26" s="8">
        <v>45701</v>
      </c>
      <c r="C26" s="15" t="s">
        <v>146</v>
      </c>
      <c r="D26" s="10" t="s">
        <v>19</v>
      </c>
      <c r="E26" s="117"/>
      <c r="F26" s="118">
        <v>1</v>
      </c>
      <c r="G26" s="114">
        <f t="shared" si="0"/>
        <v>153.10000000000002</v>
      </c>
      <c r="H26" s="276" t="s">
        <v>129</v>
      </c>
      <c r="I26" s="7" t="s">
        <v>90</v>
      </c>
      <c r="J26" s="17"/>
      <c r="K26" s="26"/>
    </row>
    <row r="27" spans="1:11" ht="18" customHeight="1" x14ac:dyDescent="0.25">
      <c r="A27" s="14">
        <f t="shared" si="1"/>
        <v>17</v>
      </c>
      <c r="B27" s="8">
        <v>45702</v>
      </c>
      <c r="C27" s="15" t="s">
        <v>146</v>
      </c>
      <c r="D27" s="10" t="s">
        <v>19</v>
      </c>
      <c r="E27" s="117"/>
      <c r="F27" s="119">
        <v>1.1000000000000001</v>
      </c>
      <c r="G27" s="114">
        <f t="shared" si="0"/>
        <v>152.00000000000003</v>
      </c>
      <c r="H27" s="276" t="s">
        <v>129</v>
      </c>
      <c r="I27" s="7" t="s">
        <v>90</v>
      </c>
      <c r="J27" s="17"/>
    </row>
    <row r="28" spans="1:11" ht="18" customHeight="1" x14ac:dyDescent="0.25">
      <c r="A28" s="14">
        <f t="shared" si="1"/>
        <v>18</v>
      </c>
      <c r="B28" s="8">
        <v>45703</v>
      </c>
      <c r="C28" s="15" t="s">
        <v>146</v>
      </c>
      <c r="D28" s="10" t="s">
        <v>19</v>
      </c>
      <c r="E28" s="117"/>
      <c r="F28" s="119">
        <v>0.7</v>
      </c>
      <c r="G28" s="114">
        <f t="shared" si="0"/>
        <v>151.30000000000004</v>
      </c>
      <c r="H28" s="276" t="s">
        <v>129</v>
      </c>
      <c r="I28" s="7" t="s">
        <v>90</v>
      </c>
      <c r="J28" s="27"/>
      <c r="K28" s="26"/>
    </row>
    <row r="29" spans="1:11" ht="18" customHeight="1" x14ac:dyDescent="0.25">
      <c r="A29" s="14">
        <f t="shared" si="1"/>
        <v>19</v>
      </c>
      <c r="B29" s="8">
        <v>45705</v>
      </c>
      <c r="C29" s="15" t="s">
        <v>146</v>
      </c>
      <c r="D29" s="10" t="s">
        <v>19</v>
      </c>
      <c r="E29" s="117"/>
      <c r="F29" s="119">
        <v>0.3</v>
      </c>
      <c r="G29" s="114">
        <f t="shared" si="0"/>
        <v>151.00000000000003</v>
      </c>
      <c r="H29" s="276" t="s">
        <v>129</v>
      </c>
      <c r="I29" s="7" t="s">
        <v>90</v>
      </c>
      <c r="J29" s="31"/>
    </row>
    <row r="30" spans="1:11" ht="18" customHeight="1" x14ac:dyDescent="0.25">
      <c r="A30" s="14">
        <f t="shared" si="1"/>
        <v>20</v>
      </c>
      <c r="B30" s="8">
        <v>45677</v>
      </c>
      <c r="C30" s="15" t="s">
        <v>146</v>
      </c>
      <c r="D30" s="10" t="s">
        <v>19</v>
      </c>
      <c r="E30" s="117"/>
      <c r="F30" s="119">
        <v>1</v>
      </c>
      <c r="G30" s="114">
        <f t="shared" si="0"/>
        <v>150.00000000000003</v>
      </c>
      <c r="H30" s="276" t="s">
        <v>129</v>
      </c>
      <c r="I30" s="7" t="s">
        <v>90</v>
      </c>
      <c r="J30" s="120"/>
    </row>
    <row r="31" spans="1:11" ht="18" customHeight="1" x14ac:dyDescent="0.25">
      <c r="A31" s="14">
        <f t="shared" si="1"/>
        <v>21</v>
      </c>
      <c r="B31" s="8">
        <v>45709</v>
      </c>
      <c r="C31" s="15" t="s">
        <v>146</v>
      </c>
      <c r="D31" s="10" t="s">
        <v>19</v>
      </c>
      <c r="E31" s="117"/>
      <c r="F31" s="119">
        <v>0.9</v>
      </c>
      <c r="G31" s="114">
        <f t="shared" si="0"/>
        <v>149.10000000000002</v>
      </c>
      <c r="H31" s="276" t="s">
        <v>129</v>
      </c>
      <c r="I31" s="7" t="s">
        <v>90</v>
      </c>
    </row>
    <row r="32" spans="1:11" ht="18" customHeight="1" x14ac:dyDescent="0.25">
      <c r="A32" s="14">
        <f t="shared" si="1"/>
        <v>22</v>
      </c>
      <c r="B32" s="8">
        <v>45710</v>
      </c>
      <c r="C32" s="15" t="s">
        <v>146</v>
      </c>
      <c r="D32" s="10" t="s">
        <v>19</v>
      </c>
      <c r="E32" s="117"/>
      <c r="F32" s="27">
        <v>1.2</v>
      </c>
      <c r="G32" s="114">
        <f t="shared" si="0"/>
        <v>147.90000000000003</v>
      </c>
      <c r="H32" s="276" t="s">
        <v>129</v>
      </c>
      <c r="I32" s="7" t="s">
        <v>90</v>
      </c>
    </row>
    <row r="33" spans="1:9" ht="18" customHeight="1" x14ac:dyDescent="0.25">
      <c r="A33" s="14">
        <f t="shared" si="1"/>
        <v>23</v>
      </c>
      <c r="B33" s="8">
        <v>45712</v>
      </c>
      <c r="C33" s="15" t="s">
        <v>146</v>
      </c>
      <c r="D33" s="10" t="s">
        <v>19</v>
      </c>
      <c r="E33" s="117"/>
      <c r="F33" s="27">
        <v>1.2</v>
      </c>
      <c r="G33" s="114">
        <f t="shared" si="0"/>
        <v>146.70000000000005</v>
      </c>
      <c r="H33" s="276" t="s">
        <v>129</v>
      </c>
      <c r="I33" s="7" t="s">
        <v>90</v>
      </c>
    </row>
    <row r="34" spans="1:9" ht="18" customHeight="1" x14ac:dyDescent="0.25">
      <c r="A34" s="14">
        <f t="shared" si="1"/>
        <v>24</v>
      </c>
      <c r="B34" s="8">
        <v>45713</v>
      </c>
      <c r="C34" s="15" t="s">
        <v>146</v>
      </c>
      <c r="D34" s="10" t="s">
        <v>19</v>
      </c>
      <c r="E34" s="117"/>
      <c r="F34" s="119">
        <v>1.2</v>
      </c>
      <c r="G34" s="114">
        <f t="shared" si="0"/>
        <v>145.50000000000006</v>
      </c>
      <c r="H34" s="276" t="s">
        <v>129</v>
      </c>
      <c r="I34" s="7" t="s">
        <v>90</v>
      </c>
    </row>
    <row r="35" spans="1:9" ht="18" customHeight="1" x14ac:dyDescent="0.25">
      <c r="A35" s="14">
        <f t="shared" si="1"/>
        <v>25</v>
      </c>
      <c r="B35" s="8">
        <v>45714</v>
      </c>
      <c r="C35" s="15" t="s">
        <v>146</v>
      </c>
      <c r="D35" s="10" t="s">
        <v>19</v>
      </c>
      <c r="E35" s="117"/>
      <c r="F35" s="119">
        <v>0.5</v>
      </c>
      <c r="G35" s="114">
        <f t="shared" si="0"/>
        <v>145.00000000000006</v>
      </c>
      <c r="H35" s="276" t="s">
        <v>129</v>
      </c>
      <c r="I35" s="7"/>
    </row>
    <row r="36" spans="1:9" ht="18" customHeight="1" x14ac:dyDescent="0.25">
      <c r="A36" s="14">
        <f t="shared" si="1"/>
        <v>26</v>
      </c>
      <c r="B36" s="8">
        <v>45716</v>
      </c>
      <c r="C36" s="15" t="s">
        <v>146</v>
      </c>
      <c r="D36" s="10" t="s">
        <v>19</v>
      </c>
      <c r="E36" s="117"/>
      <c r="F36" s="27">
        <v>1</v>
      </c>
      <c r="G36" s="114">
        <f t="shared" si="0"/>
        <v>144.00000000000006</v>
      </c>
      <c r="H36" s="276" t="s">
        <v>141</v>
      </c>
      <c r="I36" s="7" t="s">
        <v>90</v>
      </c>
    </row>
    <row r="37" spans="1:9" ht="18" customHeight="1" x14ac:dyDescent="0.25">
      <c r="A37" s="14">
        <f t="shared" si="1"/>
        <v>27</v>
      </c>
      <c r="B37" s="8">
        <v>45717</v>
      </c>
      <c r="C37" s="15" t="s">
        <v>146</v>
      </c>
      <c r="D37" s="10" t="s">
        <v>19</v>
      </c>
      <c r="E37" s="117"/>
      <c r="F37" s="27">
        <v>0.9</v>
      </c>
      <c r="G37" s="114">
        <f t="shared" si="0"/>
        <v>143.10000000000005</v>
      </c>
      <c r="H37" s="276" t="s">
        <v>141</v>
      </c>
      <c r="I37" s="7" t="s">
        <v>90</v>
      </c>
    </row>
    <row r="38" spans="1:9" ht="18" customHeight="1" x14ac:dyDescent="0.25">
      <c r="A38" s="14">
        <f t="shared" si="1"/>
        <v>28</v>
      </c>
      <c r="B38" s="8">
        <v>45719</v>
      </c>
      <c r="C38" s="15" t="s">
        <v>146</v>
      </c>
      <c r="D38" s="10" t="s">
        <v>19</v>
      </c>
      <c r="E38" s="117">
        <v>0.8</v>
      </c>
      <c r="F38" s="119">
        <v>1</v>
      </c>
      <c r="G38" s="114">
        <f t="shared" si="0"/>
        <v>142.90000000000006</v>
      </c>
      <c r="H38" s="276" t="s">
        <v>141</v>
      </c>
      <c r="I38" s="7" t="s">
        <v>90</v>
      </c>
    </row>
    <row r="39" spans="1:9" ht="18" customHeight="1" x14ac:dyDescent="0.25">
      <c r="A39" s="14">
        <f t="shared" si="1"/>
        <v>29</v>
      </c>
      <c r="B39" s="8">
        <v>45720</v>
      </c>
      <c r="C39" s="15" t="s">
        <v>146</v>
      </c>
      <c r="D39" s="10" t="s">
        <v>19</v>
      </c>
      <c r="E39" s="117"/>
      <c r="F39" s="119">
        <v>0.1</v>
      </c>
      <c r="G39" s="114">
        <f t="shared" si="0"/>
        <v>142.80000000000007</v>
      </c>
      <c r="H39" s="276" t="s">
        <v>141</v>
      </c>
      <c r="I39" s="7" t="s">
        <v>90</v>
      </c>
    </row>
    <row r="40" spans="1:9" ht="18" customHeight="1" x14ac:dyDescent="0.25">
      <c r="A40" s="14">
        <f t="shared" si="1"/>
        <v>30</v>
      </c>
      <c r="B40" s="8">
        <v>45724</v>
      </c>
      <c r="C40" s="15" t="s">
        <v>146</v>
      </c>
      <c r="D40" s="10" t="s">
        <v>19</v>
      </c>
      <c r="E40" s="117"/>
      <c r="F40" s="119">
        <v>0.9</v>
      </c>
      <c r="G40" s="114">
        <f t="shared" si="0"/>
        <v>141.90000000000006</v>
      </c>
      <c r="H40" s="276" t="s">
        <v>94</v>
      </c>
      <c r="I40" s="7" t="s">
        <v>90</v>
      </c>
    </row>
    <row r="41" spans="1:9" ht="18" customHeight="1" x14ac:dyDescent="0.25">
      <c r="A41" s="14">
        <f t="shared" si="1"/>
        <v>31</v>
      </c>
      <c r="B41" s="8">
        <v>45726</v>
      </c>
      <c r="C41" s="15" t="s">
        <v>146</v>
      </c>
      <c r="D41" s="10" t="s">
        <v>19</v>
      </c>
      <c r="E41" s="117"/>
      <c r="F41" s="27">
        <v>1.1000000000000001</v>
      </c>
      <c r="G41" s="114">
        <f t="shared" si="0"/>
        <v>140.80000000000007</v>
      </c>
      <c r="H41" s="276" t="s">
        <v>94</v>
      </c>
      <c r="I41" s="7" t="s">
        <v>90</v>
      </c>
    </row>
    <row r="42" spans="1:9" ht="18" customHeight="1" x14ac:dyDescent="0.25">
      <c r="A42" s="14">
        <f t="shared" si="1"/>
        <v>32</v>
      </c>
      <c r="B42" s="8">
        <v>45728</v>
      </c>
      <c r="C42" s="15" t="s">
        <v>146</v>
      </c>
      <c r="D42" s="10" t="s">
        <v>19</v>
      </c>
      <c r="E42" s="117"/>
      <c r="F42" s="119">
        <v>0.1</v>
      </c>
      <c r="G42" s="114">
        <f t="shared" si="0"/>
        <v>140.70000000000007</v>
      </c>
      <c r="H42" s="276" t="s">
        <v>94</v>
      </c>
      <c r="I42" s="7" t="s">
        <v>90</v>
      </c>
    </row>
    <row r="43" spans="1:9" ht="18" customHeight="1" x14ac:dyDescent="0.25">
      <c r="A43" s="14">
        <f t="shared" si="1"/>
        <v>33</v>
      </c>
      <c r="B43" s="8">
        <v>45733</v>
      </c>
      <c r="C43" s="15" t="s">
        <v>146</v>
      </c>
      <c r="D43" s="10" t="s">
        <v>19</v>
      </c>
      <c r="E43" s="117"/>
      <c r="F43" s="119">
        <v>2.6</v>
      </c>
      <c r="G43" s="114">
        <f t="shared" si="0"/>
        <v>138.10000000000008</v>
      </c>
      <c r="H43" s="276" t="s">
        <v>94</v>
      </c>
      <c r="I43" s="7" t="s">
        <v>90</v>
      </c>
    </row>
    <row r="44" spans="1:9" ht="18" customHeight="1" x14ac:dyDescent="0.25">
      <c r="A44" s="14">
        <f t="shared" si="1"/>
        <v>34</v>
      </c>
      <c r="B44" s="8">
        <v>45735</v>
      </c>
      <c r="C44" s="15" t="s">
        <v>146</v>
      </c>
      <c r="D44" s="10" t="s">
        <v>19</v>
      </c>
      <c r="F44" s="119">
        <v>0.6</v>
      </c>
      <c r="G44" s="114">
        <f t="shared" si="0"/>
        <v>137.50000000000009</v>
      </c>
      <c r="H44" s="276" t="s">
        <v>94</v>
      </c>
      <c r="I44" s="7" t="s">
        <v>90</v>
      </c>
    </row>
    <row r="45" spans="1:9" ht="18" customHeight="1" x14ac:dyDescent="0.25">
      <c r="A45" s="14">
        <f t="shared" si="1"/>
        <v>35</v>
      </c>
      <c r="B45" s="8">
        <v>45741</v>
      </c>
      <c r="C45" s="15" t="s">
        <v>146</v>
      </c>
      <c r="D45" s="10" t="s">
        <v>19</v>
      </c>
      <c r="E45" s="117"/>
      <c r="F45" s="118">
        <v>1.7</v>
      </c>
      <c r="G45" s="114">
        <f t="shared" si="0"/>
        <v>135.8000000000001</v>
      </c>
      <c r="H45" s="276" t="s">
        <v>94</v>
      </c>
      <c r="I45" s="7" t="s">
        <v>90</v>
      </c>
    </row>
    <row r="46" spans="1:9" ht="18" customHeight="1" x14ac:dyDescent="0.25">
      <c r="A46" s="14">
        <f t="shared" si="1"/>
        <v>36</v>
      </c>
      <c r="B46" s="8">
        <v>45742</v>
      </c>
      <c r="C46" s="15" t="s">
        <v>146</v>
      </c>
      <c r="D46" s="10" t="s">
        <v>19</v>
      </c>
      <c r="E46" s="117"/>
      <c r="F46" s="118">
        <v>1.5</v>
      </c>
      <c r="G46" s="114">
        <f t="shared" si="0"/>
        <v>134.3000000000001</v>
      </c>
      <c r="H46" s="276" t="s">
        <v>94</v>
      </c>
      <c r="I46" s="7" t="s">
        <v>90</v>
      </c>
    </row>
    <row r="47" spans="1:9" ht="18" customHeight="1" x14ac:dyDescent="0.25">
      <c r="A47" s="14">
        <f t="shared" si="1"/>
        <v>37</v>
      </c>
      <c r="B47" s="8">
        <v>45743</v>
      </c>
      <c r="C47" s="15" t="s">
        <v>146</v>
      </c>
      <c r="D47" s="10" t="s">
        <v>19</v>
      </c>
      <c r="E47" s="117"/>
      <c r="F47" s="118">
        <v>1.4</v>
      </c>
      <c r="G47" s="114">
        <f t="shared" si="0"/>
        <v>132.90000000000009</v>
      </c>
      <c r="H47" s="276" t="s">
        <v>94</v>
      </c>
      <c r="I47" s="7" t="s">
        <v>90</v>
      </c>
    </row>
    <row r="48" spans="1:9" ht="18" customHeight="1" x14ac:dyDescent="0.25">
      <c r="A48" s="14">
        <f t="shared" si="1"/>
        <v>38</v>
      </c>
      <c r="B48" s="8">
        <v>45013</v>
      </c>
      <c r="C48" s="15" t="s">
        <v>146</v>
      </c>
      <c r="D48" s="10" t="s">
        <v>19</v>
      </c>
      <c r="E48" s="117"/>
      <c r="F48" s="118">
        <v>4.3</v>
      </c>
      <c r="G48" s="114">
        <f t="shared" si="0"/>
        <v>128.60000000000008</v>
      </c>
      <c r="H48" s="276" t="s">
        <v>94</v>
      </c>
      <c r="I48" s="7" t="s">
        <v>90</v>
      </c>
    </row>
    <row r="49" spans="1:9" ht="18" customHeight="1" x14ac:dyDescent="0.25">
      <c r="A49" s="14">
        <f t="shared" si="1"/>
        <v>39</v>
      </c>
      <c r="B49" s="8">
        <v>45747</v>
      </c>
      <c r="C49" s="15" t="s">
        <v>146</v>
      </c>
      <c r="D49" s="10" t="s">
        <v>19</v>
      </c>
      <c r="E49" s="117"/>
      <c r="F49" s="119">
        <v>1.5</v>
      </c>
      <c r="G49" s="114">
        <f t="shared" si="0"/>
        <v>127.10000000000008</v>
      </c>
      <c r="H49" s="276" t="s">
        <v>94</v>
      </c>
      <c r="I49" s="7" t="s">
        <v>90</v>
      </c>
    </row>
    <row r="50" spans="1:9" ht="18" customHeight="1" x14ac:dyDescent="0.25">
      <c r="A50" s="14">
        <f t="shared" si="1"/>
        <v>40</v>
      </c>
      <c r="B50" s="8">
        <v>45748</v>
      </c>
      <c r="C50" s="15" t="s">
        <v>146</v>
      </c>
      <c r="D50" s="10" t="s">
        <v>19</v>
      </c>
      <c r="E50" s="117"/>
      <c r="F50" s="118">
        <v>1.4</v>
      </c>
      <c r="G50" s="114">
        <f t="shared" si="0"/>
        <v>125.70000000000007</v>
      </c>
      <c r="H50" s="276" t="s">
        <v>94</v>
      </c>
      <c r="I50" s="7" t="s">
        <v>90</v>
      </c>
    </row>
    <row r="51" spans="1:9" ht="18" customHeight="1" x14ac:dyDescent="0.25">
      <c r="A51" s="14">
        <f t="shared" si="1"/>
        <v>41</v>
      </c>
      <c r="B51" s="8">
        <v>45749</v>
      </c>
      <c r="C51" s="15" t="s">
        <v>146</v>
      </c>
      <c r="D51" s="10" t="s">
        <v>19</v>
      </c>
      <c r="E51" s="117"/>
      <c r="F51" s="118">
        <v>1.3</v>
      </c>
      <c r="G51" s="114">
        <f t="shared" si="0"/>
        <v>124.40000000000008</v>
      </c>
      <c r="H51" s="276" t="s">
        <v>94</v>
      </c>
      <c r="I51" s="7" t="s">
        <v>90</v>
      </c>
    </row>
    <row r="52" spans="1:9" ht="18" customHeight="1" x14ac:dyDescent="0.25">
      <c r="A52" s="14">
        <f t="shared" si="1"/>
        <v>42</v>
      </c>
      <c r="B52" s="8">
        <v>45750</v>
      </c>
      <c r="C52" s="15" t="s">
        <v>146</v>
      </c>
      <c r="D52" s="10" t="s">
        <v>19</v>
      </c>
      <c r="E52" s="117"/>
      <c r="F52" s="27">
        <v>1.1000000000000001</v>
      </c>
      <c r="G52" s="114">
        <f t="shared" si="0"/>
        <v>123.30000000000008</v>
      </c>
      <c r="H52" s="276" t="s">
        <v>94</v>
      </c>
      <c r="I52" s="7" t="s">
        <v>90</v>
      </c>
    </row>
    <row r="53" spans="1:9" ht="18" customHeight="1" x14ac:dyDescent="0.25">
      <c r="A53" s="14">
        <f t="shared" si="1"/>
        <v>43</v>
      </c>
      <c r="B53" s="8">
        <v>45752</v>
      </c>
      <c r="C53" s="15" t="s">
        <v>146</v>
      </c>
      <c r="D53" s="10" t="s">
        <v>19</v>
      </c>
      <c r="E53" s="117"/>
      <c r="F53" s="27">
        <v>2.6</v>
      </c>
      <c r="G53" s="114">
        <f t="shared" si="0"/>
        <v>120.70000000000009</v>
      </c>
      <c r="H53" s="276" t="s">
        <v>94</v>
      </c>
      <c r="I53" s="7" t="s">
        <v>90</v>
      </c>
    </row>
    <row r="54" spans="1:9" ht="18" customHeight="1" x14ac:dyDescent="0.25">
      <c r="A54" s="14">
        <f t="shared" si="1"/>
        <v>44</v>
      </c>
      <c r="B54" s="8">
        <v>45755</v>
      </c>
      <c r="C54" s="15" t="s">
        <v>146</v>
      </c>
      <c r="D54" s="10" t="s">
        <v>19</v>
      </c>
      <c r="E54" s="117"/>
      <c r="F54" s="118">
        <v>0.4</v>
      </c>
      <c r="G54" s="114">
        <f t="shared" si="0"/>
        <v>120.30000000000008</v>
      </c>
      <c r="H54" s="276" t="s">
        <v>94</v>
      </c>
      <c r="I54" s="7" t="s">
        <v>90</v>
      </c>
    </row>
    <row r="55" spans="1:9" ht="18" customHeight="1" x14ac:dyDescent="0.25">
      <c r="A55" s="14">
        <f t="shared" si="1"/>
        <v>45</v>
      </c>
      <c r="B55" s="8">
        <v>45761</v>
      </c>
      <c r="C55" s="15" t="s">
        <v>146</v>
      </c>
      <c r="D55" s="10" t="s">
        <v>19</v>
      </c>
      <c r="E55" s="117"/>
      <c r="F55" s="27">
        <v>0.8</v>
      </c>
      <c r="G55" s="114">
        <f t="shared" si="0"/>
        <v>119.50000000000009</v>
      </c>
      <c r="H55" s="276" t="s">
        <v>94</v>
      </c>
      <c r="I55" s="7" t="s">
        <v>90</v>
      </c>
    </row>
    <row r="56" spans="1:9" ht="18" customHeight="1" x14ac:dyDescent="0.25">
      <c r="A56" s="14">
        <f t="shared" si="1"/>
        <v>46</v>
      </c>
      <c r="B56" s="8">
        <v>45762</v>
      </c>
      <c r="C56" s="15" t="s">
        <v>146</v>
      </c>
      <c r="D56" s="10" t="s">
        <v>19</v>
      </c>
      <c r="E56" s="117"/>
      <c r="F56" s="119">
        <v>0.6</v>
      </c>
      <c r="G56" s="114">
        <f t="shared" si="0"/>
        <v>118.90000000000009</v>
      </c>
      <c r="H56" s="276" t="s">
        <v>94</v>
      </c>
      <c r="I56" s="7" t="s">
        <v>90</v>
      </c>
    </row>
    <row r="57" spans="1:9" ht="18" customHeight="1" x14ac:dyDescent="0.25">
      <c r="A57" s="14">
        <f t="shared" si="1"/>
        <v>47</v>
      </c>
      <c r="B57" s="8">
        <v>45763</v>
      </c>
      <c r="C57" s="15" t="s">
        <v>146</v>
      </c>
      <c r="D57" s="10" t="s">
        <v>19</v>
      </c>
      <c r="E57" s="117"/>
      <c r="F57" s="119">
        <v>0.4</v>
      </c>
      <c r="G57" s="114">
        <f t="shared" si="0"/>
        <v>118.50000000000009</v>
      </c>
      <c r="H57" s="276" t="s">
        <v>94</v>
      </c>
      <c r="I57" s="7" t="s">
        <v>90</v>
      </c>
    </row>
    <row r="58" spans="1:9" ht="18" customHeight="1" x14ac:dyDescent="0.25">
      <c r="A58" s="14">
        <f t="shared" si="1"/>
        <v>48</v>
      </c>
      <c r="B58" s="8">
        <v>45766</v>
      </c>
      <c r="C58" s="15" t="s">
        <v>146</v>
      </c>
      <c r="D58" s="10"/>
      <c r="E58" s="117"/>
      <c r="F58" s="119">
        <v>1.2</v>
      </c>
      <c r="G58" s="114">
        <f t="shared" si="0"/>
        <v>117.30000000000008</v>
      </c>
      <c r="H58" s="276"/>
      <c r="I58" s="7"/>
    </row>
    <row r="59" spans="1:9" ht="18" customHeight="1" x14ac:dyDescent="0.25">
      <c r="A59" s="14">
        <f t="shared" si="1"/>
        <v>49</v>
      </c>
      <c r="B59" s="8">
        <v>45768</v>
      </c>
      <c r="C59" s="15" t="s">
        <v>146</v>
      </c>
      <c r="D59" s="10" t="s">
        <v>19</v>
      </c>
      <c r="E59" s="117"/>
      <c r="F59" s="119">
        <v>1.8</v>
      </c>
      <c r="G59" s="114">
        <f t="shared" si="0"/>
        <v>115.50000000000009</v>
      </c>
      <c r="H59" s="276" t="s">
        <v>94</v>
      </c>
      <c r="I59" s="7" t="s">
        <v>90</v>
      </c>
    </row>
    <row r="60" spans="1:9" ht="18" customHeight="1" x14ac:dyDescent="0.25">
      <c r="A60" s="14">
        <f t="shared" si="1"/>
        <v>50</v>
      </c>
      <c r="B60" s="8">
        <v>45772</v>
      </c>
      <c r="C60" s="15" t="s">
        <v>146</v>
      </c>
      <c r="D60" s="10" t="s">
        <v>19</v>
      </c>
      <c r="E60" s="117"/>
      <c r="F60" s="119">
        <v>0.4</v>
      </c>
      <c r="G60" s="114">
        <f t="shared" si="0"/>
        <v>115.10000000000008</v>
      </c>
      <c r="H60" s="276" t="s">
        <v>94</v>
      </c>
      <c r="I60" s="7" t="s">
        <v>90</v>
      </c>
    </row>
    <row r="61" spans="1:9" ht="18" customHeight="1" x14ac:dyDescent="0.25">
      <c r="A61" s="14">
        <f t="shared" si="1"/>
        <v>51</v>
      </c>
      <c r="B61" s="8">
        <v>45773</v>
      </c>
      <c r="C61" s="15" t="s">
        <v>146</v>
      </c>
      <c r="D61" s="10" t="s">
        <v>19</v>
      </c>
      <c r="E61" s="117"/>
      <c r="F61" s="27">
        <v>1.5</v>
      </c>
      <c r="G61" s="114">
        <f t="shared" si="0"/>
        <v>113.60000000000008</v>
      </c>
      <c r="H61" s="276" t="s">
        <v>94</v>
      </c>
      <c r="I61" s="7" t="s">
        <v>90</v>
      </c>
    </row>
    <row r="62" spans="1:9" ht="18" customHeight="1" x14ac:dyDescent="0.25">
      <c r="A62" s="14">
        <f t="shared" si="1"/>
        <v>52</v>
      </c>
      <c r="B62" s="8">
        <v>45774</v>
      </c>
      <c r="C62" s="15" t="s">
        <v>146</v>
      </c>
      <c r="D62" s="10" t="s">
        <v>19</v>
      </c>
      <c r="E62" s="117"/>
      <c r="F62" s="27">
        <v>1</v>
      </c>
      <c r="G62" s="114">
        <f t="shared" si="0"/>
        <v>112.60000000000008</v>
      </c>
      <c r="H62" s="276" t="s">
        <v>94</v>
      </c>
      <c r="I62" s="7" t="s">
        <v>90</v>
      </c>
    </row>
    <row r="63" spans="1:9" ht="18" customHeight="1" x14ac:dyDescent="0.25">
      <c r="A63" s="14">
        <f t="shared" si="1"/>
        <v>53</v>
      </c>
      <c r="B63" s="8">
        <v>45776</v>
      </c>
      <c r="C63" s="15" t="s">
        <v>146</v>
      </c>
      <c r="D63" s="10" t="s">
        <v>19</v>
      </c>
      <c r="E63" s="117"/>
      <c r="F63" s="119">
        <v>1.3</v>
      </c>
      <c r="G63" s="114">
        <f t="shared" si="0"/>
        <v>111.30000000000008</v>
      </c>
      <c r="H63" s="276" t="s">
        <v>94</v>
      </c>
      <c r="I63" s="7" t="s">
        <v>90</v>
      </c>
    </row>
    <row r="64" spans="1:9" ht="18" customHeight="1" x14ac:dyDescent="0.25">
      <c r="A64" s="14">
        <f t="shared" si="1"/>
        <v>54</v>
      </c>
      <c r="B64" s="8">
        <v>45791</v>
      </c>
      <c r="C64" s="15" t="s">
        <v>146</v>
      </c>
      <c r="D64" s="10" t="s">
        <v>19</v>
      </c>
      <c r="E64" s="117"/>
      <c r="F64" s="119">
        <v>0.8</v>
      </c>
      <c r="G64" s="114">
        <f t="shared" si="0"/>
        <v>110.50000000000009</v>
      </c>
      <c r="H64" s="276" t="s">
        <v>94</v>
      </c>
      <c r="I64" s="7" t="s">
        <v>90</v>
      </c>
    </row>
    <row r="65" spans="1:9" ht="18" customHeight="1" x14ac:dyDescent="0.25">
      <c r="A65" s="14">
        <f t="shared" si="1"/>
        <v>55</v>
      </c>
      <c r="B65" s="8">
        <v>45792</v>
      </c>
      <c r="C65" s="15" t="s">
        <v>146</v>
      </c>
      <c r="D65" s="10" t="s">
        <v>19</v>
      </c>
      <c r="E65" s="117"/>
      <c r="F65" s="119">
        <v>2.2999999999999998</v>
      </c>
      <c r="G65" s="114">
        <f t="shared" si="0"/>
        <v>108.20000000000009</v>
      </c>
      <c r="H65" s="276" t="s">
        <v>94</v>
      </c>
      <c r="I65" s="7" t="s">
        <v>90</v>
      </c>
    </row>
    <row r="66" spans="1:9" ht="18" customHeight="1" x14ac:dyDescent="0.25">
      <c r="A66" s="14">
        <f t="shared" si="1"/>
        <v>56</v>
      </c>
      <c r="B66" s="8">
        <v>45793</v>
      </c>
      <c r="C66" s="15" t="s">
        <v>146</v>
      </c>
      <c r="D66" s="10" t="s">
        <v>19</v>
      </c>
      <c r="E66" s="117"/>
      <c r="F66" s="119">
        <v>2.2000000000000002</v>
      </c>
      <c r="G66" s="114">
        <f t="shared" si="0"/>
        <v>106.00000000000009</v>
      </c>
      <c r="H66" s="276" t="s">
        <v>94</v>
      </c>
      <c r="I66" s="7" t="s">
        <v>90</v>
      </c>
    </row>
    <row r="67" spans="1:9" ht="18" customHeight="1" x14ac:dyDescent="0.25">
      <c r="A67" s="14">
        <f t="shared" si="1"/>
        <v>57</v>
      </c>
      <c r="B67" s="8">
        <v>45794</v>
      </c>
      <c r="C67" s="15" t="s">
        <v>146</v>
      </c>
      <c r="D67" s="10" t="s">
        <v>19</v>
      </c>
      <c r="E67" s="117"/>
      <c r="F67" s="27">
        <v>1</v>
      </c>
      <c r="G67" s="114">
        <f t="shared" si="0"/>
        <v>105.00000000000009</v>
      </c>
      <c r="H67" s="276" t="s">
        <v>94</v>
      </c>
      <c r="I67" s="7" t="s">
        <v>90</v>
      </c>
    </row>
    <row r="68" spans="1:9" ht="18" customHeight="1" x14ac:dyDescent="0.25">
      <c r="A68" s="14">
        <f t="shared" si="1"/>
        <v>58</v>
      </c>
      <c r="B68" s="8">
        <v>45796</v>
      </c>
      <c r="C68" s="15" t="s">
        <v>146</v>
      </c>
      <c r="D68" s="10" t="s">
        <v>19</v>
      </c>
      <c r="E68" s="117"/>
      <c r="F68" s="27">
        <v>2.1</v>
      </c>
      <c r="G68" s="114">
        <f t="shared" si="0"/>
        <v>102.90000000000009</v>
      </c>
      <c r="H68" s="276" t="s">
        <v>94</v>
      </c>
      <c r="I68" s="7" t="s">
        <v>90</v>
      </c>
    </row>
    <row r="69" spans="1:9" ht="18" customHeight="1" x14ac:dyDescent="0.25">
      <c r="A69" s="14">
        <f t="shared" si="1"/>
        <v>59</v>
      </c>
      <c r="B69" s="8">
        <v>45797</v>
      </c>
      <c r="C69" s="15" t="s">
        <v>146</v>
      </c>
      <c r="D69" s="10" t="s">
        <v>19</v>
      </c>
      <c r="E69" s="117"/>
      <c r="F69" s="119">
        <v>2.4</v>
      </c>
      <c r="G69" s="114">
        <f t="shared" si="0"/>
        <v>100.50000000000009</v>
      </c>
      <c r="H69" s="276" t="s">
        <v>94</v>
      </c>
      <c r="I69" s="7" t="s">
        <v>90</v>
      </c>
    </row>
    <row r="70" spans="1:9" ht="18" customHeight="1" x14ac:dyDescent="0.25">
      <c r="A70" s="14">
        <f t="shared" si="1"/>
        <v>60</v>
      </c>
      <c r="B70" s="8">
        <v>45798</v>
      </c>
      <c r="C70" s="15" t="s">
        <v>146</v>
      </c>
      <c r="D70" s="10" t="s">
        <v>19</v>
      </c>
      <c r="E70" s="117"/>
      <c r="F70" s="27">
        <v>3.8</v>
      </c>
      <c r="G70" s="114">
        <f t="shared" si="0"/>
        <v>96.700000000000088</v>
      </c>
      <c r="H70" s="276" t="s">
        <v>94</v>
      </c>
      <c r="I70" s="7" t="s">
        <v>90</v>
      </c>
    </row>
    <row r="71" spans="1:9" ht="18" customHeight="1" x14ac:dyDescent="0.25">
      <c r="A71" s="14">
        <f t="shared" si="1"/>
        <v>61</v>
      </c>
      <c r="B71" s="8">
        <v>45800</v>
      </c>
      <c r="C71" s="15" t="s">
        <v>146</v>
      </c>
      <c r="D71" s="10" t="s">
        <v>19</v>
      </c>
      <c r="E71" s="117"/>
      <c r="F71" s="119">
        <v>2.9</v>
      </c>
      <c r="G71" s="114">
        <f t="shared" si="0"/>
        <v>93.800000000000082</v>
      </c>
      <c r="H71" s="276" t="s">
        <v>94</v>
      </c>
      <c r="I71" s="7" t="s">
        <v>90</v>
      </c>
    </row>
    <row r="72" spans="1:9" ht="18" customHeight="1" x14ac:dyDescent="0.25">
      <c r="A72" s="14">
        <f t="shared" si="1"/>
        <v>62</v>
      </c>
      <c r="B72" s="8">
        <v>45801</v>
      </c>
      <c r="C72" s="15" t="s">
        <v>146</v>
      </c>
      <c r="D72" s="10" t="s">
        <v>19</v>
      </c>
      <c r="E72" s="117"/>
      <c r="F72" s="119">
        <v>1.7</v>
      </c>
      <c r="G72" s="114">
        <f t="shared" si="0"/>
        <v>92.10000000000008</v>
      </c>
      <c r="H72" s="276" t="s">
        <v>94</v>
      </c>
      <c r="I72" s="7" t="s">
        <v>90</v>
      </c>
    </row>
    <row r="73" spans="1:9" ht="18" customHeight="1" x14ac:dyDescent="0.25">
      <c r="A73" s="14">
        <f t="shared" si="1"/>
        <v>63</v>
      </c>
      <c r="B73" s="8">
        <v>45809</v>
      </c>
      <c r="C73" s="15" t="s">
        <v>146</v>
      </c>
      <c r="D73" s="10" t="s">
        <v>19</v>
      </c>
      <c r="E73" s="117"/>
      <c r="F73" s="27">
        <v>1.3</v>
      </c>
      <c r="G73" s="114">
        <f t="shared" si="0"/>
        <v>90.800000000000082</v>
      </c>
      <c r="H73" s="276" t="s">
        <v>94</v>
      </c>
      <c r="I73" s="7" t="s">
        <v>90</v>
      </c>
    </row>
    <row r="74" spans="1:9" ht="18" customHeight="1" x14ac:dyDescent="0.25">
      <c r="A74" s="14">
        <f t="shared" si="1"/>
        <v>64</v>
      </c>
      <c r="B74" s="44">
        <v>45812</v>
      </c>
      <c r="C74" s="15" t="s">
        <v>146</v>
      </c>
      <c r="D74" s="10" t="s">
        <v>19</v>
      </c>
      <c r="E74" s="117"/>
      <c r="F74" s="119">
        <v>3.4</v>
      </c>
      <c r="G74" s="114">
        <f t="shared" si="0"/>
        <v>87.400000000000077</v>
      </c>
      <c r="H74" s="276" t="s">
        <v>94</v>
      </c>
      <c r="I74" s="7" t="s">
        <v>90</v>
      </c>
    </row>
    <row r="75" spans="1:9" ht="18" customHeight="1" x14ac:dyDescent="0.25">
      <c r="A75" s="14">
        <f t="shared" si="1"/>
        <v>65</v>
      </c>
      <c r="B75" s="44">
        <v>45813</v>
      </c>
      <c r="C75" s="15" t="s">
        <v>146</v>
      </c>
      <c r="D75" s="10"/>
      <c r="E75" s="117"/>
      <c r="F75" s="119">
        <v>3.2</v>
      </c>
      <c r="G75" s="114">
        <f t="shared" si="0"/>
        <v>84.200000000000074</v>
      </c>
      <c r="H75" s="276" t="s">
        <v>94</v>
      </c>
      <c r="I75" s="7" t="s">
        <v>90</v>
      </c>
    </row>
    <row r="76" spans="1:9" ht="18" customHeight="1" x14ac:dyDescent="0.25">
      <c r="A76" s="14">
        <f t="shared" ref="A76:A115" si="2">+A75+1</f>
        <v>66</v>
      </c>
      <c r="B76" s="44">
        <v>45814</v>
      </c>
      <c r="C76" s="15" t="s">
        <v>146</v>
      </c>
      <c r="D76" s="10" t="s">
        <v>19</v>
      </c>
      <c r="E76" s="117"/>
      <c r="F76" s="27">
        <v>7.5</v>
      </c>
      <c r="G76" s="114">
        <f t="shared" ref="G76:G139" si="3">+G75+E76-F76</f>
        <v>76.700000000000074</v>
      </c>
      <c r="H76" s="276" t="s">
        <v>94</v>
      </c>
      <c r="I76" s="7" t="s">
        <v>90</v>
      </c>
    </row>
    <row r="77" spans="1:9" ht="18" customHeight="1" x14ac:dyDescent="0.25">
      <c r="A77" s="14">
        <f t="shared" si="2"/>
        <v>67</v>
      </c>
      <c r="B77" s="44">
        <v>45815</v>
      </c>
      <c r="C77" s="15" t="s">
        <v>146</v>
      </c>
      <c r="D77" s="10" t="s">
        <v>19</v>
      </c>
      <c r="E77" s="117"/>
      <c r="F77" s="27">
        <v>3.7</v>
      </c>
      <c r="G77" s="114">
        <f t="shared" si="3"/>
        <v>73.000000000000071</v>
      </c>
      <c r="H77" s="276" t="s">
        <v>94</v>
      </c>
      <c r="I77" s="7" t="s">
        <v>90</v>
      </c>
    </row>
    <row r="78" spans="1:9" ht="18" customHeight="1" x14ac:dyDescent="0.25">
      <c r="A78" s="14">
        <f t="shared" si="2"/>
        <v>68</v>
      </c>
      <c r="B78" s="44">
        <v>45849</v>
      </c>
      <c r="C78" s="15" t="s">
        <v>146</v>
      </c>
      <c r="D78" s="10" t="s">
        <v>19</v>
      </c>
      <c r="E78" s="117"/>
      <c r="F78" s="119">
        <v>6.5</v>
      </c>
      <c r="G78" s="114">
        <f t="shared" si="3"/>
        <v>66.500000000000071</v>
      </c>
      <c r="H78" s="276" t="s">
        <v>94</v>
      </c>
      <c r="I78" s="7" t="s">
        <v>90</v>
      </c>
    </row>
    <row r="79" spans="1:9" ht="18" customHeight="1" x14ac:dyDescent="0.25">
      <c r="A79" s="14">
        <f t="shared" si="2"/>
        <v>69</v>
      </c>
      <c r="B79" s="44">
        <v>45850</v>
      </c>
      <c r="C79" s="15" t="s">
        <v>146</v>
      </c>
      <c r="D79" s="10" t="s">
        <v>19</v>
      </c>
      <c r="E79" s="117"/>
      <c r="F79" s="27">
        <v>7.3</v>
      </c>
      <c r="G79" s="114">
        <f t="shared" si="3"/>
        <v>59.200000000000074</v>
      </c>
      <c r="H79" s="276" t="s">
        <v>94</v>
      </c>
      <c r="I79" s="7" t="s">
        <v>90</v>
      </c>
    </row>
    <row r="80" spans="1:9" ht="18" customHeight="1" x14ac:dyDescent="0.25">
      <c r="A80" s="14">
        <f t="shared" si="2"/>
        <v>70</v>
      </c>
      <c r="B80" s="8">
        <v>45852</v>
      </c>
      <c r="C80" s="15" t="s">
        <v>146</v>
      </c>
      <c r="D80" s="10" t="s">
        <v>19</v>
      </c>
      <c r="E80" s="117"/>
      <c r="F80" s="27">
        <v>7.6</v>
      </c>
      <c r="G80" s="114">
        <f t="shared" si="3"/>
        <v>51.600000000000072</v>
      </c>
      <c r="H80" s="276" t="s">
        <v>94</v>
      </c>
      <c r="I80" s="7" t="s">
        <v>90</v>
      </c>
    </row>
    <row r="81" spans="1:9" ht="18" customHeight="1" x14ac:dyDescent="0.25">
      <c r="A81" s="14">
        <f t="shared" si="2"/>
        <v>71</v>
      </c>
      <c r="B81" s="8">
        <v>45853</v>
      </c>
      <c r="C81" s="15" t="s">
        <v>146</v>
      </c>
      <c r="D81" s="10" t="s">
        <v>19</v>
      </c>
      <c r="E81" s="117"/>
      <c r="F81" s="119">
        <v>11.6</v>
      </c>
      <c r="G81" s="114">
        <f t="shared" si="3"/>
        <v>40.000000000000071</v>
      </c>
      <c r="H81" s="276" t="s">
        <v>94</v>
      </c>
      <c r="I81" s="7" t="s">
        <v>90</v>
      </c>
    </row>
    <row r="82" spans="1:9" ht="18" customHeight="1" x14ac:dyDescent="0.25">
      <c r="A82" s="14">
        <f t="shared" si="2"/>
        <v>72</v>
      </c>
      <c r="B82" s="8">
        <v>45854</v>
      </c>
      <c r="C82" s="15" t="s">
        <v>146</v>
      </c>
      <c r="D82" s="10" t="s">
        <v>19</v>
      </c>
      <c r="E82" s="117"/>
      <c r="F82" s="27">
        <v>9</v>
      </c>
      <c r="G82" s="114">
        <f t="shared" si="3"/>
        <v>31.000000000000071</v>
      </c>
      <c r="H82" s="276" t="s">
        <v>94</v>
      </c>
      <c r="I82" s="7" t="s">
        <v>90</v>
      </c>
    </row>
    <row r="83" spans="1:9" ht="18" customHeight="1" x14ac:dyDescent="0.25">
      <c r="A83" s="14">
        <f t="shared" si="2"/>
        <v>73</v>
      </c>
      <c r="B83" s="8">
        <v>45825</v>
      </c>
      <c r="C83" s="15" t="s">
        <v>146</v>
      </c>
      <c r="D83" s="10" t="s">
        <v>19</v>
      </c>
      <c r="E83" s="117"/>
      <c r="F83" s="27">
        <v>12.1</v>
      </c>
      <c r="G83" s="114">
        <f t="shared" si="3"/>
        <v>18.90000000000007</v>
      </c>
      <c r="H83" s="276" t="s">
        <v>94</v>
      </c>
      <c r="I83" s="7" t="s">
        <v>90</v>
      </c>
    </row>
    <row r="84" spans="1:9" ht="18" customHeight="1" x14ac:dyDescent="0.25">
      <c r="A84" s="14">
        <f t="shared" si="2"/>
        <v>74</v>
      </c>
      <c r="B84" s="8">
        <v>45856</v>
      </c>
      <c r="C84" s="15" t="s">
        <v>146</v>
      </c>
      <c r="D84" s="10" t="s">
        <v>19</v>
      </c>
      <c r="E84" s="117"/>
      <c r="F84" s="27">
        <v>5.2</v>
      </c>
      <c r="G84" s="114">
        <f t="shared" si="3"/>
        <v>13.70000000000007</v>
      </c>
      <c r="H84" s="276" t="s">
        <v>94</v>
      </c>
      <c r="I84" s="7" t="s">
        <v>90</v>
      </c>
    </row>
    <row r="85" spans="1:9" ht="18" customHeight="1" x14ac:dyDescent="0.25">
      <c r="A85" s="14">
        <f t="shared" si="2"/>
        <v>75</v>
      </c>
      <c r="B85" s="8">
        <v>45868</v>
      </c>
      <c r="C85" s="15"/>
      <c r="D85" s="10" t="s">
        <v>19</v>
      </c>
      <c r="E85" s="117"/>
      <c r="F85" s="27">
        <v>4.8</v>
      </c>
      <c r="G85" s="114">
        <f t="shared" si="3"/>
        <v>8.9000000000000696</v>
      </c>
      <c r="H85" s="276"/>
      <c r="I85" s="7"/>
    </row>
    <row r="86" spans="1:9" ht="18" customHeight="1" x14ac:dyDescent="0.25">
      <c r="A86" s="14">
        <f t="shared" si="2"/>
        <v>76</v>
      </c>
      <c r="B86" s="8">
        <v>45869</v>
      </c>
      <c r="C86" s="15"/>
      <c r="D86" s="10" t="s">
        <v>19</v>
      </c>
      <c r="E86" s="117"/>
      <c r="F86" s="27">
        <v>4.7</v>
      </c>
      <c r="G86" s="114">
        <f t="shared" si="3"/>
        <v>4.2000000000000695</v>
      </c>
      <c r="H86" s="276"/>
      <c r="I86" s="7"/>
    </row>
    <row r="87" spans="1:9" ht="18" customHeight="1" x14ac:dyDescent="0.25">
      <c r="A87" s="14">
        <f t="shared" si="2"/>
        <v>77</v>
      </c>
      <c r="B87" s="8">
        <v>45870</v>
      </c>
      <c r="C87" s="15"/>
      <c r="D87" s="10" t="s">
        <v>19</v>
      </c>
      <c r="E87" s="117"/>
      <c r="F87" s="31">
        <v>5.2</v>
      </c>
      <c r="G87" s="114">
        <f t="shared" si="3"/>
        <v>-0.99999999999993072</v>
      </c>
      <c r="H87" s="276"/>
      <c r="I87" s="7"/>
    </row>
    <row r="88" spans="1:9" ht="18" customHeight="1" x14ac:dyDescent="0.25">
      <c r="A88" s="14">
        <f t="shared" si="2"/>
        <v>78</v>
      </c>
      <c r="B88" s="8">
        <v>45873</v>
      </c>
      <c r="C88" s="15"/>
      <c r="D88" s="10" t="s">
        <v>19</v>
      </c>
      <c r="E88" s="117"/>
      <c r="F88" s="27">
        <v>0.8</v>
      </c>
      <c r="G88" s="114">
        <f t="shared" si="3"/>
        <v>-1.7999999999999308</v>
      </c>
      <c r="H88" s="276"/>
      <c r="I88" s="7"/>
    </row>
    <row r="89" spans="1:9" ht="18" customHeight="1" x14ac:dyDescent="0.25">
      <c r="A89" s="14">
        <f t="shared" si="2"/>
        <v>79</v>
      </c>
      <c r="B89" s="8">
        <v>45874</v>
      </c>
      <c r="C89" s="15"/>
      <c r="D89" s="10"/>
      <c r="E89" s="117"/>
      <c r="F89" s="119">
        <v>1.5</v>
      </c>
      <c r="G89" s="114">
        <f t="shared" si="3"/>
        <v>-3.2999999999999305</v>
      </c>
      <c r="H89" s="276"/>
      <c r="I89" s="7"/>
    </row>
    <row r="90" spans="1:9" ht="18" customHeight="1" x14ac:dyDescent="0.25">
      <c r="A90" s="14">
        <f t="shared" si="2"/>
        <v>80</v>
      </c>
      <c r="B90" s="8">
        <v>45875</v>
      </c>
      <c r="C90" s="15"/>
      <c r="D90" s="10"/>
      <c r="E90" s="117"/>
      <c r="F90" s="27">
        <v>2.2999999999999998</v>
      </c>
      <c r="G90" s="114">
        <f t="shared" si="3"/>
        <v>-5.5999999999999304</v>
      </c>
      <c r="H90" s="276"/>
      <c r="I90" s="7"/>
    </row>
    <row r="91" spans="1:9" ht="18" customHeight="1" x14ac:dyDescent="0.25">
      <c r="A91" s="14">
        <f t="shared" si="2"/>
        <v>81</v>
      </c>
      <c r="B91" s="8">
        <v>45878</v>
      </c>
      <c r="C91" s="15"/>
      <c r="D91" s="10"/>
      <c r="E91" s="117"/>
      <c r="F91" s="27">
        <v>1.7</v>
      </c>
      <c r="G91" s="114">
        <f t="shared" si="3"/>
        <v>-7.2999999999999305</v>
      </c>
      <c r="H91" s="276"/>
      <c r="I91" s="7"/>
    </row>
    <row r="92" spans="1:9" ht="18" customHeight="1" x14ac:dyDescent="0.25">
      <c r="A92" s="14">
        <f t="shared" si="2"/>
        <v>82</v>
      </c>
      <c r="B92" s="8">
        <v>45888</v>
      </c>
      <c r="C92" s="15"/>
      <c r="D92" s="10"/>
      <c r="E92" s="117">
        <v>50</v>
      </c>
      <c r="F92" s="27"/>
      <c r="G92" s="114">
        <f t="shared" si="3"/>
        <v>42.700000000000067</v>
      </c>
      <c r="H92" s="276"/>
      <c r="I92" s="7"/>
    </row>
    <row r="93" spans="1:9" ht="18" customHeight="1" x14ac:dyDescent="0.25">
      <c r="A93" s="14">
        <f t="shared" si="2"/>
        <v>83</v>
      </c>
      <c r="B93" s="8">
        <v>45889</v>
      </c>
      <c r="C93" s="15"/>
      <c r="D93" s="10"/>
      <c r="E93" s="117"/>
      <c r="F93" s="119">
        <v>3.6</v>
      </c>
      <c r="G93" s="114">
        <f t="shared" si="3"/>
        <v>39.100000000000065</v>
      </c>
      <c r="H93" s="276"/>
      <c r="I93" s="7"/>
    </row>
    <row r="94" spans="1:9" ht="18" customHeight="1" x14ac:dyDescent="0.25">
      <c r="A94" s="14">
        <f t="shared" si="2"/>
        <v>84</v>
      </c>
      <c r="B94" s="8">
        <v>45890</v>
      </c>
      <c r="C94" s="15"/>
      <c r="D94" s="10"/>
      <c r="E94" s="117"/>
      <c r="F94" s="27">
        <v>2.6</v>
      </c>
      <c r="G94" s="114">
        <f t="shared" si="3"/>
        <v>36.500000000000064</v>
      </c>
      <c r="H94" s="276"/>
      <c r="I94" s="7"/>
    </row>
    <row r="95" spans="1:9" ht="18" customHeight="1" x14ac:dyDescent="0.25">
      <c r="A95" s="14">
        <f t="shared" si="2"/>
        <v>85</v>
      </c>
      <c r="B95" s="8">
        <v>45891</v>
      </c>
      <c r="C95" s="15"/>
      <c r="D95" s="10"/>
      <c r="E95" s="117"/>
      <c r="F95" s="27">
        <v>3.7</v>
      </c>
      <c r="G95" s="114">
        <f t="shared" si="3"/>
        <v>32.800000000000061</v>
      </c>
      <c r="H95" s="276"/>
      <c r="I95" s="7"/>
    </row>
    <row r="96" spans="1:9" ht="18" customHeight="1" x14ac:dyDescent="0.25">
      <c r="A96" s="14">
        <f t="shared" si="2"/>
        <v>86</v>
      </c>
      <c r="B96" s="8">
        <v>45892</v>
      </c>
      <c r="C96" s="15"/>
      <c r="D96" s="10"/>
      <c r="E96" s="117"/>
      <c r="F96" s="27">
        <v>4</v>
      </c>
      <c r="G96" s="114">
        <f t="shared" si="3"/>
        <v>28.800000000000061</v>
      </c>
      <c r="H96" s="276"/>
      <c r="I96" s="7"/>
    </row>
    <row r="97" spans="1:9" ht="18" customHeight="1" x14ac:dyDescent="0.25">
      <c r="A97" s="14">
        <f t="shared" si="2"/>
        <v>87</v>
      </c>
      <c r="B97" s="8">
        <v>45897</v>
      </c>
      <c r="C97" s="15"/>
      <c r="D97" s="10"/>
      <c r="E97" s="117">
        <v>187</v>
      </c>
      <c r="F97" s="27"/>
      <c r="G97" s="114">
        <f t="shared" si="3"/>
        <v>215.80000000000007</v>
      </c>
      <c r="H97" s="276"/>
      <c r="I97" s="7"/>
    </row>
    <row r="98" spans="1:9" ht="18" customHeight="1" x14ac:dyDescent="0.25">
      <c r="A98" s="14">
        <f t="shared" si="2"/>
        <v>88</v>
      </c>
      <c r="B98" s="8">
        <v>45909</v>
      </c>
      <c r="C98" s="15"/>
      <c r="D98" s="10"/>
      <c r="E98" s="117"/>
      <c r="F98" s="27">
        <v>2</v>
      </c>
      <c r="G98" s="114">
        <f t="shared" si="3"/>
        <v>213.80000000000007</v>
      </c>
      <c r="H98" s="276"/>
      <c r="I98" s="7"/>
    </row>
    <row r="99" spans="1:9" ht="18" customHeight="1" x14ac:dyDescent="0.25">
      <c r="A99" s="14">
        <f t="shared" si="2"/>
        <v>89</v>
      </c>
      <c r="B99" s="8">
        <v>45910</v>
      </c>
      <c r="C99" s="15"/>
      <c r="D99" s="10"/>
      <c r="E99" s="117"/>
      <c r="F99" s="27">
        <v>3</v>
      </c>
      <c r="G99" s="114">
        <f t="shared" si="3"/>
        <v>210.80000000000007</v>
      </c>
      <c r="H99" s="276"/>
      <c r="I99" s="7"/>
    </row>
    <row r="100" spans="1:9" ht="18" customHeight="1" x14ac:dyDescent="0.25">
      <c r="A100" s="14">
        <f t="shared" si="2"/>
        <v>90</v>
      </c>
      <c r="B100" s="8">
        <v>45912</v>
      </c>
      <c r="C100" s="15"/>
      <c r="D100" s="10"/>
      <c r="E100" s="117"/>
      <c r="F100" s="27">
        <v>3</v>
      </c>
      <c r="G100" s="114">
        <f t="shared" si="3"/>
        <v>207.80000000000007</v>
      </c>
      <c r="H100" s="276"/>
      <c r="I100" s="7"/>
    </row>
    <row r="101" spans="1:9" ht="18" customHeight="1" x14ac:dyDescent="0.25">
      <c r="A101" s="14">
        <f t="shared" si="2"/>
        <v>91</v>
      </c>
      <c r="B101" s="8">
        <v>45913</v>
      </c>
      <c r="C101" s="15"/>
      <c r="D101" s="10"/>
      <c r="E101" s="117"/>
      <c r="F101" s="27">
        <v>1.5</v>
      </c>
      <c r="G101" s="114">
        <f t="shared" si="3"/>
        <v>206.30000000000007</v>
      </c>
      <c r="H101" s="276"/>
      <c r="I101" s="7"/>
    </row>
    <row r="102" spans="1:9" ht="18" customHeight="1" x14ac:dyDescent="0.25">
      <c r="A102" s="14">
        <f t="shared" si="2"/>
        <v>92</v>
      </c>
      <c r="B102" s="8">
        <v>45927</v>
      </c>
      <c r="C102" s="15"/>
      <c r="D102" s="10"/>
      <c r="E102" s="117"/>
      <c r="F102" s="27">
        <v>0.5</v>
      </c>
      <c r="G102" s="114">
        <f t="shared" si="3"/>
        <v>205.80000000000007</v>
      </c>
      <c r="H102" s="276"/>
      <c r="I102" s="7"/>
    </row>
    <row r="103" spans="1:9" ht="18" customHeight="1" x14ac:dyDescent="0.25">
      <c r="A103" s="14">
        <f t="shared" si="2"/>
        <v>93</v>
      </c>
      <c r="B103" s="8">
        <v>45929</v>
      </c>
      <c r="C103" s="15"/>
      <c r="D103" s="10"/>
      <c r="E103" s="117"/>
      <c r="F103" s="27">
        <v>0.4</v>
      </c>
      <c r="G103" s="114">
        <f t="shared" si="3"/>
        <v>205.40000000000006</v>
      </c>
      <c r="H103" s="276"/>
      <c r="I103" s="7"/>
    </row>
    <row r="104" spans="1:9" ht="18" customHeight="1" x14ac:dyDescent="0.25">
      <c r="A104" s="14">
        <f t="shared" si="2"/>
        <v>94</v>
      </c>
      <c r="B104" s="8">
        <v>45930</v>
      </c>
      <c r="C104" s="15"/>
      <c r="D104" s="10"/>
      <c r="E104" s="117"/>
      <c r="F104" s="27">
        <v>3</v>
      </c>
      <c r="G104" s="114">
        <f t="shared" si="3"/>
        <v>202.40000000000006</v>
      </c>
      <c r="H104" s="276"/>
      <c r="I104" s="7"/>
    </row>
    <row r="105" spans="1:9" ht="18" customHeight="1" x14ac:dyDescent="0.25">
      <c r="A105" s="14">
        <f t="shared" si="2"/>
        <v>95</v>
      </c>
      <c r="B105" s="8">
        <v>45931</v>
      </c>
      <c r="C105" s="15"/>
      <c r="D105" s="10"/>
      <c r="E105" s="117"/>
      <c r="F105" s="27">
        <v>2.2999999999999998</v>
      </c>
      <c r="G105" s="114">
        <f t="shared" si="3"/>
        <v>200.10000000000005</v>
      </c>
      <c r="H105" s="276"/>
      <c r="I105" s="7"/>
    </row>
    <row r="106" spans="1:9" ht="18" customHeight="1" x14ac:dyDescent="0.25">
      <c r="A106" s="14">
        <f t="shared" si="2"/>
        <v>96</v>
      </c>
      <c r="B106" s="8">
        <v>45933</v>
      </c>
      <c r="C106" s="15"/>
      <c r="D106" s="10"/>
      <c r="E106" s="117"/>
      <c r="F106" s="27">
        <v>1.7</v>
      </c>
      <c r="G106" s="114">
        <f t="shared" si="3"/>
        <v>198.40000000000006</v>
      </c>
      <c r="H106" s="276"/>
      <c r="I106" s="7"/>
    </row>
    <row r="107" spans="1:9" ht="18" customHeight="1" x14ac:dyDescent="0.25">
      <c r="A107" s="14">
        <f t="shared" si="2"/>
        <v>97</v>
      </c>
      <c r="B107" s="8">
        <v>45936</v>
      </c>
      <c r="C107" s="15"/>
      <c r="D107" s="10"/>
      <c r="E107" s="117"/>
      <c r="F107" s="27">
        <v>1.3</v>
      </c>
      <c r="G107" s="114">
        <f t="shared" si="3"/>
        <v>197.10000000000005</v>
      </c>
      <c r="H107" s="276"/>
      <c r="I107" s="7"/>
    </row>
    <row r="108" spans="1:9" ht="18" customHeight="1" x14ac:dyDescent="0.25">
      <c r="A108" s="14">
        <f t="shared" si="2"/>
        <v>98</v>
      </c>
      <c r="B108" s="8">
        <v>45937</v>
      </c>
      <c r="C108" s="15"/>
      <c r="D108" s="10"/>
      <c r="E108" s="117"/>
      <c r="F108" s="27">
        <v>2.7</v>
      </c>
      <c r="G108" s="114">
        <f t="shared" si="3"/>
        <v>194.40000000000006</v>
      </c>
      <c r="H108" s="276"/>
      <c r="I108" s="7"/>
    </row>
    <row r="109" spans="1:9" ht="18" customHeight="1" x14ac:dyDescent="0.25">
      <c r="A109" s="14">
        <f t="shared" si="2"/>
        <v>99</v>
      </c>
      <c r="B109" s="8">
        <v>45938</v>
      </c>
      <c r="C109" s="15"/>
      <c r="D109" s="10"/>
      <c r="E109" s="117"/>
      <c r="F109" s="27">
        <v>3.7</v>
      </c>
      <c r="G109" s="114">
        <f t="shared" si="3"/>
        <v>190.70000000000007</v>
      </c>
      <c r="H109" s="276"/>
      <c r="I109" s="7"/>
    </row>
    <row r="110" spans="1:9" ht="18" customHeight="1" x14ac:dyDescent="0.25">
      <c r="A110" s="14">
        <f t="shared" si="2"/>
        <v>100</v>
      </c>
      <c r="B110" s="8">
        <v>45939</v>
      </c>
      <c r="C110" s="15"/>
      <c r="D110" s="10"/>
      <c r="E110" s="117"/>
      <c r="F110" s="27">
        <v>3.4</v>
      </c>
      <c r="G110" s="114">
        <f t="shared" si="3"/>
        <v>187.30000000000007</v>
      </c>
      <c r="H110" s="276"/>
      <c r="I110" s="7"/>
    </row>
    <row r="111" spans="1:9" ht="18" customHeight="1" x14ac:dyDescent="0.25">
      <c r="A111" s="14">
        <f t="shared" si="2"/>
        <v>101</v>
      </c>
      <c r="B111" s="8">
        <v>45940</v>
      </c>
      <c r="C111" s="15"/>
      <c r="D111" s="10"/>
      <c r="E111" s="117"/>
      <c r="F111" s="27">
        <v>1.7</v>
      </c>
      <c r="G111" s="114">
        <f t="shared" si="3"/>
        <v>185.60000000000008</v>
      </c>
      <c r="H111" s="276"/>
      <c r="I111" s="7"/>
    </row>
    <row r="112" spans="1:9" ht="18" customHeight="1" x14ac:dyDescent="0.25">
      <c r="A112" s="14">
        <f t="shared" si="2"/>
        <v>102</v>
      </c>
      <c r="B112" s="8"/>
      <c r="C112" s="15"/>
      <c r="D112" s="10"/>
      <c r="E112" s="117"/>
      <c r="F112" s="27"/>
      <c r="G112" s="114">
        <f t="shared" si="3"/>
        <v>185.60000000000008</v>
      </c>
      <c r="H112" s="276"/>
      <c r="I112" s="7"/>
    </row>
    <row r="113" spans="1:9" ht="18" customHeight="1" x14ac:dyDescent="0.25">
      <c r="A113" s="14">
        <f t="shared" si="2"/>
        <v>103</v>
      </c>
      <c r="B113" s="8"/>
      <c r="C113" s="15"/>
      <c r="D113" s="10"/>
      <c r="E113" s="117"/>
      <c r="F113" s="27"/>
      <c r="G113" s="114">
        <f t="shared" si="3"/>
        <v>185.60000000000008</v>
      </c>
      <c r="H113" s="276"/>
      <c r="I113" s="7"/>
    </row>
    <row r="114" spans="1:9" ht="18" customHeight="1" x14ac:dyDescent="0.25">
      <c r="A114" s="14">
        <f t="shared" si="2"/>
        <v>104</v>
      </c>
      <c r="B114" s="8"/>
      <c r="C114" s="15"/>
      <c r="D114" s="10"/>
      <c r="E114" s="117"/>
      <c r="F114" s="27"/>
      <c r="G114" s="114">
        <f t="shared" si="3"/>
        <v>185.60000000000008</v>
      </c>
      <c r="H114" s="276"/>
      <c r="I114" s="7"/>
    </row>
    <row r="115" spans="1:9" ht="18" customHeight="1" x14ac:dyDescent="0.25">
      <c r="A115" s="14">
        <f t="shared" si="2"/>
        <v>105</v>
      </c>
      <c r="B115" s="8"/>
      <c r="C115" s="15"/>
      <c r="D115" s="10"/>
      <c r="E115" s="117"/>
      <c r="F115" s="27"/>
      <c r="G115" s="114">
        <f t="shared" si="3"/>
        <v>185.60000000000008</v>
      </c>
      <c r="H115" s="276"/>
      <c r="I115" s="7"/>
    </row>
    <row r="116" spans="1:9" ht="18" customHeight="1" x14ac:dyDescent="0.25">
      <c r="A116" s="14"/>
      <c r="B116" s="8"/>
      <c r="C116" s="15"/>
      <c r="D116" s="10"/>
      <c r="E116" s="117"/>
      <c r="F116" s="27"/>
      <c r="G116" s="114">
        <f t="shared" si="3"/>
        <v>185.60000000000008</v>
      </c>
      <c r="H116" s="276"/>
      <c r="I116" s="7"/>
    </row>
    <row r="117" spans="1:9" ht="18" customHeight="1" x14ac:dyDescent="0.25">
      <c r="A117" s="14"/>
      <c r="B117" s="8"/>
      <c r="C117" s="15"/>
      <c r="D117" s="10"/>
      <c r="E117" s="117"/>
      <c r="F117" s="27"/>
      <c r="G117" s="114">
        <f t="shared" si="3"/>
        <v>185.60000000000008</v>
      </c>
      <c r="H117" s="276"/>
      <c r="I117" s="7"/>
    </row>
    <row r="118" spans="1:9" ht="18" customHeight="1" x14ac:dyDescent="0.25">
      <c r="A118" s="14"/>
      <c r="B118" s="8"/>
      <c r="C118" s="15"/>
      <c r="D118" s="10"/>
      <c r="E118" s="117"/>
      <c r="F118" s="27"/>
      <c r="G118" s="114">
        <f t="shared" si="3"/>
        <v>185.60000000000008</v>
      </c>
      <c r="H118" s="276"/>
      <c r="I118" s="7"/>
    </row>
    <row r="119" spans="1:9" ht="18" customHeight="1" x14ac:dyDescent="0.25">
      <c r="A119" s="14"/>
      <c r="B119" s="8"/>
      <c r="C119" s="15"/>
      <c r="D119" s="10"/>
      <c r="E119" s="117"/>
      <c r="F119" s="27"/>
      <c r="G119" s="114">
        <f t="shared" si="3"/>
        <v>185.60000000000008</v>
      </c>
      <c r="H119" s="276"/>
      <c r="I119" s="7"/>
    </row>
    <row r="120" spans="1:9" ht="18" customHeight="1" x14ac:dyDescent="0.25">
      <c r="A120" s="14"/>
      <c r="B120" s="8"/>
      <c r="C120" s="15"/>
      <c r="D120" s="10"/>
      <c r="E120" s="117"/>
      <c r="F120" s="27"/>
      <c r="G120" s="114">
        <f t="shared" si="3"/>
        <v>185.60000000000008</v>
      </c>
      <c r="H120" s="276"/>
      <c r="I120" s="7"/>
    </row>
    <row r="121" spans="1:9" ht="18" customHeight="1" x14ac:dyDescent="0.25">
      <c r="A121" s="14"/>
      <c r="B121" s="8"/>
      <c r="C121" s="15"/>
      <c r="D121" s="10"/>
      <c r="E121" s="117"/>
      <c r="F121" s="27"/>
      <c r="G121" s="114">
        <f t="shared" si="3"/>
        <v>185.60000000000008</v>
      </c>
      <c r="H121" s="276"/>
      <c r="I121" s="7"/>
    </row>
    <row r="122" spans="1:9" ht="18" customHeight="1" x14ac:dyDescent="0.25">
      <c r="A122" s="14"/>
      <c r="B122" s="8"/>
      <c r="C122" s="15"/>
      <c r="D122" s="10"/>
      <c r="E122" s="117"/>
      <c r="F122" s="27"/>
      <c r="G122" s="114">
        <f t="shared" si="3"/>
        <v>185.60000000000008</v>
      </c>
      <c r="H122" s="276"/>
      <c r="I122" s="7"/>
    </row>
    <row r="123" spans="1:9" ht="18" customHeight="1" x14ac:dyDescent="0.25">
      <c r="A123" s="14"/>
      <c r="B123" s="8"/>
      <c r="C123" s="15"/>
      <c r="D123" s="10"/>
      <c r="E123" s="117"/>
      <c r="F123" s="27"/>
      <c r="G123" s="114">
        <f t="shared" si="3"/>
        <v>185.60000000000008</v>
      </c>
      <c r="H123" s="276"/>
      <c r="I123" s="7"/>
    </row>
    <row r="124" spans="1:9" ht="18" customHeight="1" x14ac:dyDescent="0.25">
      <c r="A124" s="14"/>
      <c r="B124" s="8"/>
      <c r="C124" s="15"/>
      <c r="D124" s="10"/>
      <c r="E124" s="117"/>
      <c r="F124" s="27"/>
      <c r="G124" s="114">
        <f t="shared" si="3"/>
        <v>185.60000000000008</v>
      </c>
      <c r="H124" s="276"/>
      <c r="I124" s="7"/>
    </row>
    <row r="125" spans="1:9" ht="18" customHeight="1" x14ac:dyDescent="0.25">
      <c r="A125" s="14"/>
      <c r="B125" s="8"/>
      <c r="C125" s="15"/>
      <c r="D125" s="10"/>
      <c r="E125" s="117"/>
      <c r="F125" s="27"/>
      <c r="G125" s="114">
        <f t="shared" si="3"/>
        <v>185.60000000000008</v>
      </c>
      <c r="H125" s="276"/>
      <c r="I125" s="7"/>
    </row>
    <row r="126" spans="1:9" ht="18" customHeight="1" x14ac:dyDescent="0.25">
      <c r="A126" s="14"/>
      <c r="B126" s="8"/>
      <c r="C126" s="15"/>
      <c r="D126" s="10"/>
      <c r="E126" s="117"/>
      <c r="F126" s="27"/>
      <c r="G126" s="114">
        <f t="shared" si="3"/>
        <v>185.60000000000008</v>
      </c>
      <c r="H126" s="276"/>
      <c r="I126" s="7"/>
    </row>
    <row r="127" spans="1:9" ht="18" customHeight="1" x14ac:dyDescent="0.25">
      <c r="A127" s="14"/>
      <c r="B127" s="8"/>
      <c r="C127" s="15"/>
      <c r="D127" s="10"/>
      <c r="E127" s="117"/>
      <c r="F127" s="27"/>
      <c r="G127" s="114">
        <f t="shared" si="3"/>
        <v>185.60000000000008</v>
      </c>
      <c r="H127" s="276"/>
      <c r="I127" s="7"/>
    </row>
    <row r="128" spans="1:9" ht="18" customHeight="1" x14ac:dyDescent="0.25">
      <c r="A128" s="14"/>
      <c r="B128" s="8"/>
      <c r="C128" s="15"/>
      <c r="D128" s="10"/>
      <c r="E128" s="117"/>
      <c r="F128" s="27"/>
      <c r="G128" s="114">
        <f t="shared" si="3"/>
        <v>185.60000000000008</v>
      </c>
      <c r="H128" s="276"/>
      <c r="I128" s="7"/>
    </row>
    <row r="129" spans="1:9" ht="18" customHeight="1" x14ac:dyDescent="0.25">
      <c r="A129" s="14"/>
      <c r="B129" s="8"/>
      <c r="C129" s="15"/>
      <c r="D129" s="10"/>
      <c r="E129" s="117"/>
      <c r="F129" s="27"/>
      <c r="G129" s="114">
        <f t="shared" si="3"/>
        <v>185.60000000000008</v>
      </c>
      <c r="H129" s="276"/>
      <c r="I129" s="7"/>
    </row>
    <row r="130" spans="1:9" ht="18" customHeight="1" x14ac:dyDescent="0.25">
      <c r="A130" s="14"/>
      <c r="B130" s="8"/>
      <c r="C130" s="15"/>
      <c r="D130" s="10"/>
      <c r="E130" s="117"/>
      <c r="F130" s="27"/>
      <c r="G130" s="114">
        <f t="shared" si="3"/>
        <v>185.60000000000008</v>
      </c>
      <c r="H130" s="276"/>
      <c r="I130" s="7"/>
    </row>
    <row r="131" spans="1:9" ht="18" customHeight="1" x14ac:dyDescent="0.25">
      <c r="A131" s="14"/>
      <c r="B131" s="8"/>
      <c r="C131" s="15"/>
      <c r="D131" s="10"/>
      <c r="E131" s="117"/>
      <c r="F131" s="27"/>
      <c r="G131" s="114">
        <f t="shared" si="3"/>
        <v>185.60000000000008</v>
      </c>
      <c r="H131" s="276"/>
      <c r="I131" s="7"/>
    </row>
    <row r="132" spans="1:9" ht="18" customHeight="1" x14ac:dyDescent="0.25">
      <c r="A132" s="14"/>
      <c r="B132" s="8"/>
      <c r="C132" s="15"/>
      <c r="D132" s="10"/>
      <c r="E132" s="117"/>
      <c r="F132" s="27"/>
      <c r="G132" s="114">
        <f t="shared" si="3"/>
        <v>185.60000000000008</v>
      </c>
      <c r="H132" s="276"/>
      <c r="I132" s="7"/>
    </row>
    <row r="133" spans="1:9" ht="18" customHeight="1" x14ac:dyDescent="0.25">
      <c r="A133" s="14"/>
      <c r="B133" s="8"/>
      <c r="C133" s="15"/>
      <c r="D133" s="10"/>
      <c r="E133" s="117"/>
      <c r="F133" s="27"/>
      <c r="G133" s="114">
        <f t="shared" si="3"/>
        <v>185.60000000000008</v>
      </c>
      <c r="H133" s="276"/>
      <c r="I133" s="7"/>
    </row>
    <row r="134" spans="1:9" ht="18" customHeight="1" x14ac:dyDescent="0.25">
      <c r="A134" s="14"/>
      <c r="B134" s="8"/>
      <c r="C134" s="15"/>
      <c r="D134" s="10"/>
      <c r="E134" s="117"/>
      <c r="F134" s="27"/>
      <c r="G134" s="114">
        <f t="shared" si="3"/>
        <v>185.60000000000008</v>
      </c>
      <c r="H134" s="276"/>
      <c r="I134" s="7"/>
    </row>
    <row r="135" spans="1:9" ht="18" customHeight="1" x14ac:dyDescent="0.25">
      <c r="A135" s="14"/>
      <c r="B135" s="8"/>
      <c r="C135" s="15"/>
      <c r="D135" s="10"/>
      <c r="E135" s="117"/>
      <c r="F135" s="27"/>
      <c r="G135" s="114">
        <f t="shared" si="3"/>
        <v>185.60000000000008</v>
      </c>
      <c r="H135" s="276"/>
      <c r="I135" s="7"/>
    </row>
    <row r="136" spans="1:9" ht="18" customHeight="1" x14ac:dyDescent="0.25">
      <c r="A136" s="14"/>
      <c r="B136" s="8"/>
      <c r="C136" s="15"/>
      <c r="D136" s="10" t="s">
        <v>19</v>
      </c>
      <c r="E136" s="117"/>
      <c r="F136" s="27"/>
      <c r="G136" s="114">
        <f t="shared" si="3"/>
        <v>185.60000000000008</v>
      </c>
      <c r="H136" s="276"/>
      <c r="I136" s="7"/>
    </row>
    <row r="137" spans="1:9" ht="18" customHeight="1" x14ac:dyDescent="0.25">
      <c r="A137" s="14">
        <f>+A80+1</f>
        <v>71</v>
      </c>
      <c r="B137" s="8"/>
      <c r="C137" s="15"/>
      <c r="D137" s="10"/>
      <c r="E137" s="117"/>
      <c r="F137" s="27"/>
      <c r="G137" s="114">
        <f t="shared" si="3"/>
        <v>185.60000000000008</v>
      </c>
      <c r="H137" s="28"/>
      <c r="I137" s="29"/>
    </row>
    <row r="138" spans="1:9" ht="18" customHeight="1" x14ac:dyDescent="0.25">
      <c r="A138" s="14">
        <f t="shared" ref="A138:A139" si="4">+A137+1</f>
        <v>72</v>
      </c>
      <c r="B138" s="8"/>
      <c r="C138" s="15"/>
      <c r="D138" s="10"/>
      <c r="E138" s="117"/>
      <c r="F138" s="27"/>
      <c r="G138" s="114">
        <f t="shared" si="3"/>
        <v>185.60000000000008</v>
      </c>
      <c r="H138" s="28"/>
      <c r="I138" s="29"/>
    </row>
    <row r="139" spans="1:9" ht="18" customHeight="1" x14ac:dyDescent="0.25">
      <c r="A139" s="14">
        <f t="shared" si="4"/>
        <v>73</v>
      </c>
      <c r="B139" s="8"/>
      <c r="C139" s="15"/>
      <c r="D139" s="10"/>
      <c r="E139" s="117"/>
      <c r="F139" s="27"/>
      <c r="G139" s="114">
        <f t="shared" si="3"/>
        <v>185.60000000000008</v>
      </c>
      <c r="H139" s="28"/>
      <c r="I139" s="29"/>
    </row>
    <row r="140" spans="1:9" ht="15" customHeight="1" x14ac:dyDescent="0.25">
      <c r="A140" s="7"/>
      <c r="B140" s="33"/>
      <c r="C140" s="34" t="s">
        <v>13</v>
      </c>
      <c r="D140" s="7"/>
      <c r="E140" s="121">
        <f>SUM(E10:E139)</f>
        <v>237.8</v>
      </c>
      <c r="F140" s="122">
        <f>SUM(F10:F139)</f>
        <v>220.09999999999994</v>
      </c>
      <c r="G140" s="121">
        <f>+E140-F140+G9</f>
        <v>185.60000000000008</v>
      </c>
      <c r="H140" s="35"/>
      <c r="I140" s="36"/>
    </row>
    <row r="141" spans="1:9" ht="15" customHeight="1" x14ac:dyDescent="0.25">
      <c r="F141" s="26"/>
    </row>
    <row r="142" spans="1:9" ht="15" customHeight="1" x14ac:dyDescent="0.25"/>
    <row r="143" spans="1:9" ht="15" customHeight="1" x14ac:dyDescent="0.25"/>
    <row r="144" spans="1:9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</sheetData>
  <mergeCells count="1">
    <mergeCell ref="A4:I5"/>
  </mergeCells>
  <phoneticPr fontId="35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D030-6B7A-4A49-8271-7B34DB0BE252}">
  <sheetPr codeName="Sheet21"/>
  <dimension ref="A1:K181"/>
  <sheetViews>
    <sheetView topLeftCell="A21" workbookViewId="0">
      <selection activeCell="F40" sqref="F4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2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6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 t="s">
        <v>11</v>
      </c>
      <c r="D9" s="10"/>
      <c r="E9" s="11"/>
      <c r="F9" s="12"/>
      <c r="G9" s="344"/>
      <c r="H9" s="7"/>
      <c r="I9" s="7"/>
      <c r="J9">
        <f>497+10</f>
        <v>507</v>
      </c>
    </row>
    <row r="10" spans="1:10" ht="18" customHeight="1" x14ac:dyDescent="0.25">
      <c r="A10" s="14">
        <v>1</v>
      </c>
      <c r="B10" s="8">
        <v>45677</v>
      </c>
      <c r="C10" s="15" t="s">
        <v>356</v>
      </c>
      <c r="D10" s="10" t="s">
        <v>19</v>
      </c>
      <c r="E10" s="113">
        <v>19.5</v>
      </c>
      <c r="F10" s="27"/>
      <c r="G10" s="114">
        <f t="shared" ref="G10:G74" si="0">+G9+E10-F10</f>
        <v>19.5</v>
      </c>
      <c r="H10" s="276" t="s">
        <v>94</v>
      </c>
      <c r="I10" s="7"/>
    </row>
    <row r="11" spans="1:10" ht="18" customHeight="1" x14ac:dyDescent="0.25">
      <c r="A11" s="14">
        <f t="shared" ref="A11:A75" si="1">+A10+1</f>
        <v>2</v>
      </c>
      <c r="B11" s="8">
        <v>45679</v>
      </c>
      <c r="C11" s="15" t="s">
        <v>356</v>
      </c>
      <c r="D11" s="10" t="s">
        <v>19</v>
      </c>
      <c r="E11" s="113">
        <v>91</v>
      </c>
      <c r="F11" s="23"/>
      <c r="G11" s="114">
        <f t="shared" si="0"/>
        <v>110.5</v>
      </c>
      <c r="H11" s="276" t="s">
        <v>94</v>
      </c>
      <c r="I11" s="7" t="s">
        <v>90</v>
      </c>
    </row>
    <row r="12" spans="1:10" ht="18" customHeight="1" x14ac:dyDescent="0.25">
      <c r="A12" s="14">
        <f t="shared" si="1"/>
        <v>3</v>
      </c>
      <c r="B12" s="8">
        <v>45703</v>
      </c>
      <c r="C12" s="15" t="s">
        <v>356</v>
      </c>
      <c r="D12" s="10" t="s">
        <v>19</v>
      </c>
      <c r="E12" s="113"/>
      <c r="F12" s="346">
        <v>0.4</v>
      </c>
      <c r="G12" s="114">
        <f t="shared" si="0"/>
        <v>110.1</v>
      </c>
      <c r="H12" s="276" t="s">
        <v>94</v>
      </c>
      <c r="I12" s="7" t="s">
        <v>90</v>
      </c>
    </row>
    <row r="13" spans="1:10" ht="18" customHeight="1" x14ac:dyDescent="0.25">
      <c r="A13" s="14">
        <f t="shared" si="1"/>
        <v>4</v>
      </c>
      <c r="B13" s="8">
        <v>45705</v>
      </c>
      <c r="C13" s="15" t="s">
        <v>356</v>
      </c>
      <c r="D13" s="10" t="s">
        <v>19</v>
      </c>
      <c r="E13" s="113"/>
      <c r="F13" s="17">
        <v>2.8</v>
      </c>
      <c r="G13" s="114">
        <f t="shared" si="0"/>
        <v>107.3</v>
      </c>
      <c r="H13" s="276" t="s">
        <v>94</v>
      </c>
      <c r="I13" s="7" t="s">
        <v>90</v>
      </c>
    </row>
    <row r="14" spans="1:10" ht="18" customHeight="1" x14ac:dyDescent="0.25">
      <c r="A14" s="14">
        <f t="shared" si="1"/>
        <v>5</v>
      </c>
      <c r="B14" s="8">
        <v>45706</v>
      </c>
      <c r="C14" s="15" t="s">
        <v>356</v>
      </c>
      <c r="D14" s="10" t="s">
        <v>19</v>
      </c>
      <c r="E14" s="113"/>
      <c r="F14" s="17">
        <v>0.8</v>
      </c>
      <c r="G14" s="114">
        <f t="shared" si="0"/>
        <v>106.5</v>
      </c>
      <c r="H14" s="276" t="s">
        <v>94</v>
      </c>
      <c r="I14" s="7" t="s">
        <v>90</v>
      </c>
      <c r="J14" t="s">
        <v>21</v>
      </c>
    </row>
    <row r="15" spans="1:10" ht="18" customHeight="1" x14ac:dyDescent="0.25">
      <c r="A15" s="14">
        <f t="shared" si="1"/>
        <v>6</v>
      </c>
      <c r="B15" s="8">
        <v>45707</v>
      </c>
      <c r="C15" s="15" t="s">
        <v>356</v>
      </c>
      <c r="D15" s="10" t="s">
        <v>19</v>
      </c>
      <c r="E15" s="113"/>
      <c r="F15" s="115">
        <v>0.5</v>
      </c>
      <c r="G15" s="114">
        <f t="shared" si="0"/>
        <v>106</v>
      </c>
      <c r="H15" s="276" t="s">
        <v>94</v>
      </c>
      <c r="I15" s="7" t="s">
        <v>90</v>
      </c>
      <c r="J15" s="26">
        <f>+F15+F17</f>
        <v>2.5</v>
      </c>
    </row>
    <row r="16" spans="1:10" ht="18" customHeight="1" x14ac:dyDescent="0.25">
      <c r="A16" s="14"/>
      <c r="B16" s="8">
        <v>45714</v>
      </c>
      <c r="C16" s="15" t="s">
        <v>356</v>
      </c>
      <c r="D16" s="10" t="s">
        <v>19</v>
      </c>
      <c r="E16" s="113"/>
      <c r="F16" s="115">
        <v>1.1000000000000001</v>
      </c>
      <c r="G16" s="114">
        <f t="shared" si="0"/>
        <v>104.9</v>
      </c>
      <c r="H16" s="276" t="s">
        <v>94</v>
      </c>
      <c r="I16" s="7" t="s">
        <v>90</v>
      </c>
      <c r="J16" s="26"/>
    </row>
    <row r="17" spans="1:11" ht="18" customHeight="1" x14ac:dyDescent="0.25">
      <c r="A17" s="14">
        <f>+A15+1</f>
        <v>7</v>
      </c>
      <c r="B17" s="8">
        <v>45715</v>
      </c>
      <c r="C17" s="15" t="s">
        <v>356</v>
      </c>
      <c r="D17" s="10" t="s">
        <v>19</v>
      </c>
      <c r="E17" s="113"/>
      <c r="F17" s="152">
        <v>2</v>
      </c>
      <c r="G17" s="114">
        <f t="shared" si="0"/>
        <v>102.9</v>
      </c>
      <c r="H17" s="276" t="s">
        <v>129</v>
      </c>
      <c r="I17" s="7" t="s">
        <v>90</v>
      </c>
      <c r="J17" s="26"/>
    </row>
    <row r="18" spans="1:11" ht="18" customHeight="1" x14ac:dyDescent="0.25">
      <c r="A18" s="14">
        <f t="shared" si="1"/>
        <v>8</v>
      </c>
      <c r="B18" s="8">
        <v>45716</v>
      </c>
      <c r="C18" s="15" t="s">
        <v>356</v>
      </c>
      <c r="D18" s="10" t="s">
        <v>19</v>
      </c>
      <c r="E18" s="113"/>
      <c r="F18" s="152">
        <v>0.7</v>
      </c>
      <c r="G18" s="114">
        <f t="shared" si="0"/>
        <v>102.2</v>
      </c>
      <c r="H18" s="276" t="s">
        <v>129</v>
      </c>
      <c r="I18" s="7" t="s">
        <v>90</v>
      </c>
    </row>
    <row r="19" spans="1:11" ht="18" customHeight="1" x14ac:dyDescent="0.25">
      <c r="A19" s="14">
        <f t="shared" si="1"/>
        <v>9</v>
      </c>
      <c r="B19" s="8">
        <v>45717</v>
      </c>
      <c r="C19" s="15" t="s">
        <v>356</v>
      </c>
      <c r="D19" s="10" t="s">
        <v>19</v>
      </c>
      <c r="E19" s="113"/>
      <c r="F19" s="152">
        <v>3.1</v>
      </c>
      <c r="G19" s="114">
        <f t="shared" si="0"/>
        <v>99.100000000000009</v>
      </c>
      <c r="H19" s="276" t="s">
        <v>129</v>
      </c>
      <c r="I19" s="7" t="s">
        <v>90</v>
      </c>
    </row>
    <row r="20" spans="1:11" ht="18" customHeight="1" x14ac:dyDescent="0.25">
      <c r="A20" s="14">
        <f t="shared" si="1"/>
        <v>10</v>
      </c>
      <c r="B20" s="8">
        <v>45720</v>
      </c>
      <c r="C20" s="15" t="s">
        <v>356</v>
      </c>
      <c r="D20" s="10" t="s">
        <v>19</v>
      </c>
      <c r="E20" s="113"/>
      <c r="F20" s="152">
        <v>0.1</v>
      </c>
      <c r="G20" s="114">
        <f t="shared" si="0"/>
        <v>99.000000000000014</v>
      </c>
      <c r="H20" s="276" t="s">
        <v>129</v>
      </c>
      <c r="I20" s="7" t="s">
        <v>90</v>
      </c>
    </row>
    <row r="21" spans="1:11" ht="18" customHeight="1" x14ac:dyDescent="0.25">
      <c r="A21" s="14">
        <f t="shared" si="1"/>
        <v>11</v>
      </c>
      <c r="B21" s="8">
        <v>45751</v>
      </c>
      <c r="C21" s="15" t="s">
        <v>356</v>
      </c>
      <c r="D21" s="10" t="s">
        <v>19</v>
      </c>
      <c r="E21" s="11"/>
      <c r="F21" s="27">
        <v>2.2000000000000002</v>
      </c>
      <c r="G21" s="114">
        <f t="shared" si="0"/>
        <v>96.800000000000011</v>
      </c>
      <c r="H21" s="276" t="s">
        <v>129</v>
      </c>
      <c r="I21" s="7" t="s">
        <v>90</v>
      </c>
    </row>
    <row r="22" spans="1:11" ht="18" customHeight="1" x14ac:dyDescent="0.25">
      <c r="A22" s="14">
        <f t="shared" si="1"/>
        <v>12</v>
      </c>
      <c r="B22" s="8">
        <v>45782</v>
      </c>
      <c r="C22" s="15"/>
      <c r="D22" s="10"/>
      <c r="E22" s="11"/>
      <c r="F22" s="27">
        <v>0.8</v>
      </c>
      <c r="G22" s="114">
        <f t="shared" si="0"/>
        <v>96.000000000000014</v>
      </c>
      <c r="H22" s="276"/>
      <c r="I22" s="7"/>
    </row>
    <row r="23" spans="1:11" ht="18" customHeight="1" x14ac:dyDescent="0.25">
      <c r="A23" s="14">
        <f t="shared" si="1"/>
        <v>13</v>
      </c>
      <c r="B23" s="8">
        <v>45783</v>
      </c>
      <c r="C23" s="15" t="s">
        <v>356</v>
      </c>
      <c r="D23" s="10" t="s">
        <v>19</v>
      </c>
      <c r="E23" s="113"/>
      <c r="F23" s="116">
        <v>1.6</v>
      </c>
      <c r="G23" s="114">
        <f t="shared" si="0"/>
        <v>94.40000000000002</v>
      </c>
      <c r="H23" s="276" t="s">
        <v>129</v>
      </c>
      <c r="I23" s="7" t="s">
        <v>90</v>
      </c>
    </row>
    <row r="24" spans="1:11" ht="18" customHeight="1" x14ac:dyDescent="0.25">
      <c r="A24" s="14">
        <f t="shared" si="1"/>
        <v>14</v>
      </c>
      <c r="B24" s="8">
        <v>45784</v>
      </c>
      <c r="C24" s="15" t="s">
        <v>356</v>
      </c>
      <c r="D24" s="10" t="s">
        <v>19</v>
      </c>
      <c r="E24" s="113"/>
      <c r="F24" s="119">
        <v>1.5</v>
      </c>
      <c r="G24" s="114">
        <f t="shared" si="0"/>
        <v>92.90000000000002</v>
      </c>
      <c r="H24" s="276" t="s">
        <v>129</v>
      </c>
      <c r="I24" s="7" t="s">
        <v>90</v>
      </c>
      <c r="J24" s="115"/>
      <c r="K24" s="26"/>
    </row>
    <row r="25" spans="1:11" ht="18" customHeight="1" x14ac:dyDescent="0.25">
      <c r="A25" s="14">
        <f t="shared" si="1"/>
        <v>15</v>
      </c>
      <c r="B25" s="8">
        <v>45817</v>
      </c>
      <c r="C25" s="15" t="s">
        <v>356</v>
      </c>
      <c r="D25" s="10" t="s">
        <v>19</v>
      </c>
      <c r="E25" s="113"/>
      <c r="F25" s="27">
        <v>0.9</v>
      </c>
      <c r="G25" s="114">
        <f t="shared" si="0"/>
        <v>92.000000000000014</v>
      </c>
      <c r="H25" s="276" t="s">
        <v>129</v>
      </c>
      <c r="I25" s="7" t="s">
        <v>90</v>
      </c>
      <c r="J25" s="17"/>
      <c r="K25" s="26"/>
    </row>
    <row r="26" spans="1:11" ht="18" customHeight="1" x14ac:dyDescent="0.25">
      <c r="A26" s="14">
        <f t="shared" si="1"/>
        <v>16</v>
      </c>
      <c r="B26" s="8">
        <v>45818</v>
      </c>
      <c r="C26" s="15" t="s">
        <v>356</v>
      </c>
      <c r="D26" s="10" t="s">
        <v>19</v>
      </c>
      <c r="E26" s="117"/>
      <c r="F26" s="118">
        <v>1.4</v>
      </c>
      <c r="G26" s="114">
        <f t="shared" si="0"/>
        <v>90.600000000000009</v>
      </c>
      <c r="H26" s="276" t="s">
        <v>129</v>
      </c>
      <c r="I26" s="7" t="s">
        <v>90</v>
      </c>
      <c r="J26" s="17"/>
      <c r="K26" s="26"/>
    </row>
    <row r="27" spans="1:11" ht="18" customHeight="1" x14ac:dyDescent="0.25">
      <c r="A27" s="14">
        <f t="shared" si="1"/>
        <v>17</v>
      </c>
      <c r="B27" s="8">
        <v>45820</v>
      </c>
      <c r="C27" s="15" t="s">
        <v>356</v>
      </c>
      <c r="D27" s="10" t="s">
        <v>19</v>
      </c>
      <c r="E27" s="117"/>
      <c r="F27" s="118">
        <v>1.3</v>
      </c>
      <c r="G27" s="114">
        <f t="shared" si="0"/>
        <v>89.300000000000011</v>
      </c>
      <c r="H27" s="276" t="s">
        <v>129</v>
      </c>
      <c r="I27" s="7" t="s">
        <v>90</v>
      </c>
      <c r="J27" s="17"/>
      <c r="K27" s="26"/>
    </row>
    <row r="28" spans="1:11" ht="18" customHeight="1" x14ac:dyDescent="0.25">
      <c r="A28" s="14">
        <f t="shared" si="1"/>
        <v>18</v>
      </c>
      <c r="B28" s="8">
        <v>45821</v>
      </c>
      <c r="C28" s="15" t="s">
        <v>356</v>
      </c>
      <c r="D28" s="10" t="s">
        <v>19</v>
      </c>
      <c r="E28" s="117"/>
      <c r="F28" s="119">
        <v>0.7</v>
      </c>
      <c r="G28" s="114">
        <f t="shared" si="0"/>
        <v>88.600000000000009</v>
      </c>
      <c r="H28" s="276" t="s">
        <v>129</v>
      </c>
      <c r="I28" s="7" t="s">
        <v>90</v>
      </c>
      <c r="J28" s="17"/>
    </row>
    <row r="29" spans="1:11" ht="18" customHeight="1" x14ac:dyDescent="0.25">
      <c r="A29" s="14">
        <f t="shared" si="1"/>
        <v>19</v>
      </c>
      <c r="B29" s="8">
        <v>45829</v>
      </c>
      <c r="C29" s="15" t="s">
        <v>356</v>
      </c>
      <c r="D29" s="10" t="s">
        <v>19</v>
      </c>
      <c r="E29" s="117"/>
      <c r="F29" s="119">
        <v>1.4</v>
      </c>
      <c r="G29" s="114">
        <f t="shared" si="0"/>
        <v>87.2</v>
      </c>
      <c r="H29" s="276" t="s">
        <v>129</v>
      </c>
      <c r="I29" s="7" t="s">
        <v>90</v>
      </c>
      <c r="J29" s="27"/>
      <c r="K29" s="26"/>
    </row>
    <row r="30" spans="1:11" ht="18" customHeight="1" x14ac:dyDescent="0.25">
      <c r="A30" s="14">
        <f t="shared" si="1"/>
        <v>20</v>
      </c>
      <c r="B30" s="8">
        <v>45836</v>
      </c>
      <c r="C30" s="15" t="s">
        <v>356</v>
      </c>
      <c r="D30" s="10" t="s">
        <v>19</v>
      </c>
      <c r="E30" s="117"/>
      <c r="F30" s="119">
        <v>0.3</v>
      </c>
      <c r="G30" s="114">
        <f t="shared" si="0"/>
        <v>86.9</v>
      </c>
      <c r="H30" s="276" t="s">
        <v>129</v>
      </c>
      <c r="I30" s="7" t="s">
        <v>90</v>
      </c>
      <c r="J30" s="31"/>
    </row>
    <row r="31" spans="1:11" ht="18" customHeight="1" x14ac:dyDescent="0.25">
      <c r="A31" s="14">
        <f t="shared" si="1"/>
        <v>21</v>
      </c>
      <c r="B31" s="8">
        <v>45842</v>
      </c>
      <c r="C31" s="15" t="s">
        <v>356</v>
      </c>
      <c r="D31" s="10" t="s">
        <v>19</v>
      </c>
      <c r="E31" s="117"/>
      <c r="F31" s="119">
        <v>1.8</v>
      </c>
      <c r="G31" s="114">
        <f t="shared" si="0"/>
        <v>85.100000000000009</v>
      </c>
      <c r="H31" s="276" t="s">
        <v>129</v>
      </c>
      <c r="I31" s="7" t="s">
        <v>90</v>
      </c>
      <c r="J31" s="120"/>
    </row>
    <row r="32" spans="1:11" ht="18" customHeight="1" x14ac:dyDescent="0.25">
      <c r="A32" s="14">
        <f t="shared" si="1"/>
        <v>22</v>
      </c>
      <c r="B32" s="8">
        <v>45843</v>
      </c>
      <c r="C32" s="15" t="s">
        <v>356</v>
      </c>
      <c r="D32" s="10" t="s">
        <v>19</v>
      </c>
      <c r="E32" s="117"/>
      <c r="F32" s="119">
        <v>0.2</v>
      </c>
      <c r="G32" s="114">
        <f t="shared" si="0"/>
        <v>84.9</v>
      </c>
      <c r="H32" s="276" t="s">
        <v>129</v>
      </c>
      <c r="I32" s="7" t="s">
        <v>90</v>
      </c>
    </row>
    <row r="33" spans="1:9" ht="18" customHeight="1" x14ac:dyDescent="0.25">
      <c r="A33" s="14">
        <f t="shared" si="1"/>
        <v>23</v>
      </c>
      <c r="B33" s="8">
        <v>45898</v>
      </c>
      <c r="C33" s="15" t="s">
        <v>356</v>
      </c>
      <c r="D33" s="10" t="s">
        <v>19</v>
      </c>
      <c r="E33" s="117"/>
      <c r="F33" s="27">
        <v>2.2999999999999998</v>
      </c>
      <c r="G33" s="114">
        <f t="shared" si="0"/>
        <v>82.600000000000009</v>
      </c>
      <c r="H33" s="276" t="s">
        <v>129</v>
      </c>
      <c r="I33" s="7" t="s">
        <v>90</v>
      </c>
    </row>
    <row r="34" spans="1:9" ht="18" customHeight="1" x14ac:dyDescent="0.25">
      <c r="A34" s="14">
        <f t="shared" si="1"/>
        <v>24</v>
      </c>
      <c r="B34" s="8">
        <v>45899</v>
      </c>
      <c r="C34" s="15" t="s">
        <v>356</v>
      </c>
      <c r="D34" s="10" t="s">
        <v>19</v>
      </c>
      <c r="E34" s="117"/>
      <c r="F34" s="27">
        <v>1</v>
      </c>
      <c r="G34" s="114">
        <f t="shared" si="0"/>
        <v>81.600000000000009</v>
      </c>
      <c r="H34" s="276" t="s">
        <v>129</v>
      </c>
      <c r="I34" s="7" t="s">
        <v>90</v>
      </c>
    </row>
    <row r="35" spans="1:9" ht="18" customHeight="1" x14ac:dyDescent="0.25">
      <c r="A35" s="14">
        <f t="shared" si="1"/>
        <v>25</v>
      </c>
      <c r="B35" s="8">
        <v>45924</v>
      </c>
      <c r="C35" s="15" t="s">
        <v>356</v>
      </c>
      <c r="D35" s="10" t="s">
        <v>19</v>
      </c>
      <c r="E35" s="117"/>
      <c r="F35" s="119">
        <v>1</v>
      </c>
      <c r="G35" s="114">
        <f t="shared" si="0"/>
        <v>80.600000000000009</v>
      </c>
      <c r="H35" s="276" t="s">
        <v>129</v>
      </c>
      <c r="I35" s="7" t="s">
        <v>90</v>
      </c>
    </row>
    <row r="36" spans="1:9" ht="18" customHeight="1" x14ac:dyDescent="0.25">
      <c r="A36" s="14">
        <f t="shared" si="1"/>
        <v>26</v>
      </c>
      <c r="B36" s="8">
        <v>45925</v>
      </c>
      <c r="C36" s="15" t="s">
        <v>356</v>
      </c>
      <c r="D36" s="10" t="s">
        <v>19</v>
      </c>
      <c r="E36" s="117"/>
      <c r="F36" s="119">
        <v>2.2000000000000002</v>
      </c>
      <c r="G36" s="114">
        <f t="shared" si="0"/>
        <v>78.400000000000006</v>
      </c>
      <c r="H36" s="276" t="s">
        <v>129</v>
      </c>
      <c r="I36" s="7"/>
    </row>
    <row r="37" spans="1:9" ht="18" customHeight="1" x14ac:dyDescent="0.25">
      <c r="A37" s="14">
        <f t="shared" si="1"/>
        <v>27</v>
      </c>
      <c r="B37" s="8">
        <v>45926</v>
      </c>
      <c r="C37" s="15" t="s">
        <v>356</v>
      </c>
      <c r="D37" s="10" t="s">
        <v>19</v>
      </c>
      <c r="E37" s="117"/>
      <c r="F37" s="27">
        <v>1.5</v>
      </c>
      <c r="G37" s="114">
        <f t="shared" si="0"/>
        <v>76.900000000000006</v>
      </c>
      <c r="H37" s="276" t="s">
        <v>141</v>
      </c>
      <c r="I37" s="7" t="s">
        <v>90</v>
      </c>
    </row>
    <row r="38" spans="1:9" ht="18" customHeight="1" x14ac:dyDescent="0.25">
      <c r="A38" s="14">
        <f t="shared" si="1"/>
        <v>28</v>
      </c>
      <c r="B38" s="8">
        <v>45929</v>
      </c>
      <c r="C38" s="15" t="s">
        <v>356</v>
      </c>
      <c r="D38" s="10" t="s">
        <v>19</v>
      </c>
      <c r="E38" s="117"/>
      <c r="F38" s="27">
        <v>1.5</v>
      </c>
      <c r="G38" s="114">
        <f t="shared" si="0"/>
        <v>75.400000000000006</v>
      </c>
      <c r="H38" s="276" t="s">
        <v>141</v>
      </c>
      <c r="I38" s="7" t="s">
        <v>90</v>
      </c>
    </row>
    <row r="39" spans="1:9" ht="18" customHeight="1" x14ac:dyDescent="0.25">
      <c r="A39" s="14">
        <f t="shared" si="1"/>
        <v>29</v>
      </c>
      <c r="B39" s="8">
        <v>45930</v>
      </c>
      <c r="C39" s="15" t="s">
        <v>356</v>
      </c>
      <c r="D39" s="10" t="s">
        <v>19</v>
      </c>
      <c r="E39" s="117"/>
      <c r="F39" s="27">
        <v>1.4</v>
      </c>
      <c r="G39" s="114">
        <f t="shared" si="0"/>
        <v>74</v>
      </c>
      <c r="H39" s="276" t="s">
        <v>141</v>
      </c>
      <c r="I39" s="7" t="s">
        <v>90</v>
      </c>
    </row>
    <row r="40" spans="1:9" ht="18" customHeight="1" x14ac:dyDescent="0.25">
      <c r="A40" s="14">
        <f t="shared" si="1"/>
        <v>30</v>
      </c>
      <c r="B40" s="8">
        <v>45931</v>
      </c>
      <c r="C40" s="15" t="s">
        <v>356</v>
      </c>
      <c r="D40" s="10" t="s">
        <v>19</v>
      </c>
      <c r="E40" s="117"/>
      <c r="F40" s="119">
        <v>0.6</v>
      </c>
      <c r="G40" s="114">
        <f t="shared" si="0"/>
        <v>73.400000000000006</v>
      </c>
      <c r="H40" s="276" t="s">
        <v>141</v>
      </c>
      <c r="I40" s="7" t="s">
        <v>90</v>
      </c>
    </row>
    <row r="41" spans="1:9" ht="18" customHeight="1" x14ac:dyDescent="0.25">
      <c r="A41" s="14">
        <f t="shared" si="1"/>
        <v>31</v>
      </c>
      <c r="B41" s="8"/>
      <c r="C41" s="15" t="s">
        <v>356</v>
      </c>
      <c r="D41" s="10" t="s">
        <v>19</v>
      </c>
      <c r="E41" s="117"/>
      <c r="F41" s="119"/>
      <c r="G41" s="114">
        <f t="shared" si="0"/>
        <v>73.400000000000006</v>
      </c>
      <c r="H41" s="276" t="s">
        <v>94</v>
      </c>
      <c r="I41" s="7" t="s">
        <v>90</v>
      </c>
    </row>
    <row r="42" spans="1:9" ht="18" customHeight="1" x14ac:dyDescent="0.25">
      <c r="A42" s="14">
        <f t="shared" si="1"/>
        <v>32</v>
      </c>
      <c r="B42" s="8"/>
      <c r="C42" s="15" t="s">
        <v>356</v>
      </c>
      <c r="D42" s="10" t="s">
        <v>19</v>
      </c>
      <c r="E42" s="117"/>
      <c r="F42" s="27"/>
      <c r="G42" s="114">
        <f t="shared" si="0"/>
        <v>73.400000000000006</v>
      </c>
      <c r="H42" s="276" t="s">
        <v>94</v>
      </c>
      <c r="I42" s="7" t="s">
        <v>90</v>
      </c>
    </row>
    <row r="43" spans="1:9" ht="18" customHeight="1" x14ac:dyDescent="0.25">
      <c r="A43" s="14">
        <f t="shared" si="1"/>
        <v>33</v>
      </c>
      <c r="B43" s="8"/>
      <c r="C43" s="15" t="s">
        <v>356</v>
      </c>
      <c r="D43" s="10" t="s">
        <v>19</v>
      </c>
      <c r="E43" s="117"/>
      <c r="F43" s="27"/>
      <c r="G43" s="114">
        <f t="shared" si="0"/>
        <v>73.400000000000006</v>
      </c>
      <c r="H43" s="276" t="s">
        <v>94</v>
      </c>
      <c r="I43" s="7" t="s">
        <v>90</v>
      </c>
    </row>
    <row r="44" spans="1:9" ht="18" customHeight="1" x14ac:dyDescent="0.25">
      <c r="A44" s="14">
        <f t="shared" si="1"/>
        <v>34</v>
      </c>
      <c r="B44" s="8"/>
      <c r="C44" s="15" t="s">
        <v>356</v>
      </c>
      <c r="D44" s="10" t="s">
        <v>19</v>
      </c>
      <c r="E44" s="117"/>
      <c r="F44" s="119"/>
      <c r="G44" s="114">
        <f t="shared" si="0"/>
        <v>73.400000000000006</v>
      </c>
      <c r="H44" s="276" t="s">
        <v>94</v>
      </c>
      <c r="I44" s="7" t="s">
        <v>90</v>
      </c>
    </row>
    <row r="45" spans="1:9" ht="18" customHeight="1" x14ac:dyDescent="0.25">
      <c r="A45" s="14">
        <f t="shared" si="1"/>
        <v>35</v>
      </c>
      <c r="B45" s="8"/>
      <c r="C45" s="15" t="s">
        <v>356</v>
      </c>
      <c r="D45" s="10" t="s">
        <v>19</v>
      </c>
      <c r="F45" s="27"/>
      <c r="G45" s="114">
        <f t="shared" si="0"/>
        <v>73.400000000000006</v>
      </c>
      <c r="H45" s="276" t="s">
        <v>94</v>
      </c>
      <c r="I45" s="7" t="s">
        <v>90</v>
      </c>
    </row>
    <row r="46" spans="1:9" ht="18" customHeight="1" x14ac:dyDescent="0.25">
      <c r="A46" s="14">
        <f t="shared" si="1"/>
        <v>36</v>
      </c>
      <c r="B46" s="8"/>
      <c r="C46" s="15" t="s">
        <v>356</v>
      </c>
      <c r="D46" s="10" t="s">
        <v>19</v>
      </c>
      <c r="E46" s="117"/>
      <c r="F46" s="118"/>
      <c r="G46" s="114">
        <f t="shared" si="0"/>
        <v>73.400000000000006</v>
      </c>
      <c r="H46" s="276" t="s">
        <v>94</v>
      </c>
      <c r="I46" s="7" t="s">
        <v>90</v>
      </c>
    </row>
    <row r="47" spans="1:9" ht="18" customHeight="1" x14ac:dyDescent="0.25">
      <c r="A47" s="14">
        <f t="shared" si="1"/>
        <v>37</v>
      </c>
      <c r="B47" s="8"/>
      <c r="C47" s="15" t="s">
        <v>356</v>
      </c>
      <c r="D47" s="10" t="s">
        <v>19</v>
      </c>
      <c r="E47" s="117"/>
      <c r="F47" s="118"/>
      <c r="G47" s="114">
        <f t="shared" si="0"/>
        <v>73.400000000000006</v>
      </c>
      <c r="H47" s="276" t="s">
        <v>94</v>
      </c>
      <c r="I47" s="7" t="s">
        <v>90</v>
      </c>
    </row>
    <row r="48" spans="1:9" ht="18" customHeight="1" x14ac:dyDescent="0.25">
      <c r="A48" s="14">
        <f t="shared" si="1"/>
        <v>38</v>
      </c>
      <c r="B48" s="8"/>
      <c r="C48" s="15" t="s">
        <v>356</v>
      </c>
      <c r="D48" s="10" t="s">
        <v>19</v>
      </c>
      <c r="E48" s="117"/>
      <c r="F48" s="118"/>
      <c r="G48" s="114">
        <f t="shared" si="0"/>
        <v>73.400000000000006</v>
      </c>
      <c r="H48" s="276" t="s">
        <v>94</v>
      </c>
      <c r="I48" s="7" t="s">
        <v>90</v>
      </c>
    </row>
    <row r="49" spans="1:9" ht="18" customHeight="1" x14ac:dyDescent="0.25">
      <c r="A49" s="14">
        <f t="shared" si="1"/>
        <v>39</v>
      </c>
      <c r="B49" s="8"/>
      <c r="C49" s="15" t="s">
        <v>356</v>
      </c>
      <c r="D49" s="10" t="s">
        <v>19</v>
      </c>
      <c r="E49" s="117"/>
      <c r="F49" s="118"/>
      <c r="G49" s="114">
        <f t="shared" si="0"/>
        <v>73.400000000000006</v>
      </c>
      <c r="H49" s="276" t="s">
        <v>94</v>
      </c>
      <c r="I49" s="7" t="s">
        <v>90</v>
      </c>
    </row>
    <row r="50" spans="1:9" ht="18" customHeight="1" x14ac:dyDescent="0.25">
      <c r="A50" s="14">
        <f t="shared" si="1"/>
        <v>40</v>
      </c>
      <c r="B50" s="8"/>
      <c r="C50" s="15" t="s">
        <v>356</v>
      </c>
      <c r="D50" s="10" t="s">
        <v>19</v>
      </c>
      <c r="E50" s="117"/>
      <c r="F50" s="119"/>
      <c r="G50" s="114">
        <f t="shared" si="0"/>
        <v>73.400000000000006</v>
      </c>
      <c r="H50" s="276" t="s">
        <v>94</v>
      </c>
      <c r="I50" s="7" t="s">
        <v>90</v>
      </c>
    </row>
    <row r="51" spans="1:9" ht="18" customHeight="1" x14ac:dyDescent="0.25">
      <c r="A51" s="14">
        <f t="shared" si="1"/>
        <v>41</v>
      </c>
      <c r="B51" s="8"/>
      <c r="C51" s="15" t="s">
        <v>356</v>
      </c>
      <c r="D51" s="10" t="s">
        <v>19</v>
      </c>
      <c r="E51" s="117"/>
      <c r="F51" s="118"/>
      <c r="G51" s="114">
        <f t="shared" si="0"/>
        <v>73.400000000000006</v>
      </c>
      <c r="H51" s="276" t="s">
        <v>94</v>
      </c>
      <c r="I51" s="7" t="s">
        <v>90</v>
      </c>
    </row>
    <row r="52" spans="1:9" ht="18" customHeight="1" x14ac:dyDescent="0.25">
      <c r="A52" s="14">
        <f t="shared" si="1"/>
        <v>42</v>
      </c>
      <c r="B52" s="8"/>
      <c r="C52" s="15" t="s">
        <v>356</v>
      </c>
      <c r="D52" s="10" t="s">
        <v>19</v>
      </c>
      <c r="E52" s="117"/>
      <c r="F52" s="118"/>
      <c r="G52" s="114">
        <f t="shared" si="0"/>
        <v>73.400000000000006</v>
      </c>
      <c r="H52" s="276" t="s">
        <v>94</v>
      </c>
      <c r="I52" s="7" t="s">
        <v>90</v>
      </c>
    </row>
    <row r="53" spans="1:9" ht="18" customHeight="1" x14ac:dyDescent="0.25">
      <c r="A53" s="14">
        <f t="shared" si="1"/>
        <v>43</v>
      </c>
      <c r="B53" s="8"/>
      <c r="C53" s="15" t="s">
        <v>356</v>
      </c>
      <c r="D53" s="10" t="s">
        <v>19</v>
      </c>
      <c r="E53" s="117"/>
      <c r="F53" s="27"/>
      <c r="G53" s="114">
        <f t="shared" si="0"/>
        <v>73.400000000000006</v>
      </c>
      <c r="H53" s="276" t="s">
        <v>94</v>
      </c>
      <c r="I53" s="7" t="s">
        <v>90</v>
      </c>
    </row>
    <row r="54" spans="1:9" ht="18" customHeight="1" x14ac:dyDescent="0.25">
      <c r="A54" s="14">
        <f t="shared" si="1"/>
        <v>44</v>
      </c>
      <c r="B54" s="8"/>
      <c r="C54" s="15" t="s">
        <v>356</v>
      </c>
      <c r="D54" s="10" t="s">
        <v>19</v>
      </c>
      <c r="E54" s="117"/>
      <c r="F54" s="27"/>
      <c r="G54" s="114">
        <f t="shared" si="0"/>
        <v>73.400000000000006</v>
      </c>
      <c r="H54" s="276" t="s">
        <v>94</v>
      </c>
      <c r="I54" s="7" t="s">
        <v>90</v>
      </c>
    </row>
    <row r="55" spans="1:9" ht="18" customHeight="1" x14ac:dyDescent="0.25">
      <c r="A55" s="14">
        <f t="shared" si="1"/>
        <v>45</v>
      </c>
      <c r="B55" s="8"/>
      <c r="C55" s="15" t="s">
        <v>356</v>
      </c>
      <c r="D55" s="10" t="s">
        <v>19</v>
      </c>
      <c r="E55" s="117"/>
      <c r="F55" s="27"/>
      <c r="G55" s="114">
        <f t="shared" si="0"/>
        <v>73.400000000000006</v>
      </c>
      <c r="H55" s="276" t="s">
        <v>94</v>
      </c>
      <c r="I55" s="7" t="s">
        <v>90</v>
      </c>
    </row>
    <row r="56" spans="1:9" ht="18" customHeight="1" x14ac:dyDescent="0.25">
      <c r="A56" s="14">
        <f t="shared" si="1"/>
        <v>46</v>
      </c>
      <c r="B56" s="8"/>
      <c r="C56" s="15" t="s">
        <v>356</v>
      </c>
      <c r="D56" s="10" t="s">
        <v>19</v>
      </c>
      <c r="E56" s="117"/>
      <c r="F56" s="27"/>
      <c r="G56" s="114">
        <f t="shared" si="0"/>
        <v>73.400000000000006</v>
      </c>
      <c r="H56" s="276" t="s">
        <v>94</v>
      </c>
      <c r="I56" s="7" t="s">
        <v>90</v>
      </c>
    </row>
    <row r="57" spans="1:9" ht="18" customHeight="1" x14ac:dyDescent="0.25">
      <c r="A57" s="14">
        <f t="shared" si="1"/>
        <v>47</v>
      </c>
      <c r="B57" s="8"/>
      <c r="C57" s="15" t="s">
        <v>356</v>
      </c>
      <c r="D57" s="10" t="s">
        <v>19</v>
      </c>
      <c r="E57" s="117"/>
      <c r="F57" s="27"/>
      <c r="G57" s="114">
        <f t="shared" si="0"/>
        <v>73.400000000000006</v>
      </c>
      <c r="H57" s="276" t="s">
        <v>94</v>
      </c>
      <c r="I57" s="7" t="s">
        <v>90</v>
      </c>
    </row>
    <row r="58" spans="1:9" ht="18" customHeight="1" x14ac:dyDescent="0.25">
      <c r="A58" s="14">
        <f t="shared" si="1"/>
        <v>48</v>
      </c>
      <c r="B58" s="8"/>
      <c r="C58" s="15" t="s">
        <v>356</v>
      </c>
      <c r="D58" s="10" t="s">
        <v>19</v>
      </c>
      <c r="E58" s="117"/>
      <c r="F58" s="119"/>
      <c r="G58" s="114">
        <f t="shared" si="0"/>
        <v>73.400000000000006</v>
      </c>
      <c r="H58" s="276" t="s">
        <v>94</v>
      </c>
      <c r="I58" s="7" t="s">
        <v>90</v>
      </c>
    </row>
    <row r="59" spans="1:9" ht="18" customHeight="1" x14ac:dyDescent="0.25">
      <c r="A59" s="14">
        <f t="shared" si="1"/>
        <v>49</v>
      </c>
      <c r="B59" s="8"/>
      <c r="C59" s="15" t="s">
        <v>356</v>
      </c>
      <c r="D59" s="10" t="s">
        <v>19</v>
      </c>
      <c r="E59" s="117"/>
      <c r="F59" s="119"/>
      <c r="G59" s="114">
        <f t="shared" si="0"/>
        <v>73.400000000000006</v>
      </c>
      <c r="H59" s="276" t="s">
        <v>94</v>
      </c>
      <c r="I59" s="7" t="s">
        <v>90</v>
      </c>
    </row>
    <row r="60" spans="1:9" ht="18" customHeight="1" x14ac:dyDescent="0.25">
      <c r="A60" s="14">
        <f t="shared" si="1"/>
        <v>50</v>
      </c>
      <c r="B60" s="8"/>
      <c r="C60" s="15" t="s">
        <v>356</v>
      </c>
      <c r="D60" s="10" t="s">
        <v>19</v>
      </c>
      <c r="E60" s="117"/>
      <c r="F60" s="119"/>
      <c r="G60" s="114">
        <f t="shared" si="0"/>
        <v>73.400000000000006</v>
      </c>
      <c r="H60" s="276" t="s">
        <v>94</v>
      </c>
      <c r="I60" s="7" t="s">
        <v>90</v>
      </c>
    </row>
    <row r="61" spans="1:9" ht="18" customHeight="1" x14ac:dyDescent="0.25">
      <c r="A61" s="14">
        <f t="shared" si="1"/>
        <v>51</v>
      </c>
      <c r="B61" s="8"/>
      <c r="C61" s="15" t="s">
        <v>356</v>
      </c>
      <c r="D61" s="10" t="s">
        <v>19</v>
      </c>
      <c r="E61" s="117"/>
      <c r="F61" s="27"/>
      <c r="G61" s="114">
        <f t="shared" si="0"/>
        <v>73.400000000000006</v>
      </c>
      <c r="H61" s="276" t="s">
        <v>94</v>
      </c>
      <c r="I61" s="7" t="s">
        <v>90</v>
      </c>
    </row>
    <row r="62" spans="1:9" ht="18" customHeight="1" x14ac:dyDescent="0.25">
      <c r="A62" s="14">
        <f t="shared" si="1"/>
        <v>52</v>
      </c>
      <c r="B62" s="8"/>
      <c r="C62" s="15" t="s">
        <v>356</v>
      </c>
      <c r="D62" s="10" t="s">
        <v>19</v>
      </c>
      <c r="E62" s="117"/>
      <c r="F62" s="27"/>
      <c r="G62" s="114">
        <f t="shared" si="0"/>
        <v>73.400000000000006</v>
      </c>
      <c r="H62" s="276" t="s">
        <v>94</v>
      </c>
      <c r="I62" s="7" t="s">
        <v>90</v>
      </c>
    </row>
    <row r="63" spans="1:9" ht="18" customHeight="1" x14ac:dyDescent="0.25">
      <c r="A63" s="14">
        <f t="shared" si="1"/>
        <v>53</v>
      </c>
      <c r="B63" s="8"/>
      <c r="C63" s="15" t="s">
        <v>356</v>
      </c>
      <c r="D63" s="10" t="s">
        <v>19</v>
      </c>
      <c r="E63" s="117"/>
      <c r="F63" s="119"/>
      <c r="G63" s="114">
        <f t="shared" si="0"/>
        <v>73.400000000000006</v>
      </c>
      <c r="H63" s="276" t="s">
        <v>94</v>
      </c>
      <c r="I63" s="7" t="s">
        <v>90</v>
      </c>
    </row>
    <row r="64" spans="1:9" ht="18" customHeight="1" x14ac:dyDescent="0.25">
      <c r="A64" s="14">
        <f t="shared" si="1"/>
        <v>54</v>
      </c>
      <c r="B64" s="8"/>
      <c r="C64" s="15" t="s">
        <v>356</v>
      </c>
      <c r="D64" s="10" t="s">
        <v>19</v>
      </c>
      <c r="E64" s="117"/>
      <c r="F64" s="119"/>
      <c r="G64" s="114">
        <f t="shared" si="0"/>
        <v>73.400000000000006</v>
      </c>
      <c r="H64" s="276" t="s">
        <v>94</v>
      </c>
      <c r="I64" s="7" t="s">
        <v>90</v>
      </c>
    </row>
    <row r="65" spans="1:9" ht="18" customHeight="1" x14ac:dyDescent="0.25">
      <c r="A65" s="14">
        <f t="shared" si="1"/>
        <v>55</v>
      </c>
      <c r="B65" s="8"/>
      <c r="C65" s="15" t="s">
        <v>356</v>
      </c>
      <c r="D65" s="10" t="s">
        <v>19</v>
      </c>
      <c r="E65" s="117"/>
      <c r="F65" s="27"/>
      <c r="G65" s="114">
        <f t="shared" si="0"/>
        <v>73.400000000000006</v>
      </c>
      <c r="H65" s="276" t="s">
        <v>94</v>
      </c>
      <c r="I65" s="7" t="s">
        <v>90</v>
      </c>
    </row>
    <row r="66" spans="1:9" ht="18" customHeight="1" x14ac:dyDescent="0.25">
      <c r="A66" s="14">
        <f t="shared" si="1"/>
        <v>56</v>
      </c>
      <c r="B66" s="8"/>
      <c r="C66" s="15" t="s">
        <v>356</v>
      </c>
      <c r="D66" s="10" t="s">
        <v>19</v>
      </c>
      <c r="E66" s="117"/>
      <c r="F66" s="27"/>
      <c r="G66" s="114">
        <f t="shared" si="0"/>
        <v>73.400000000000006</v>
      </c>
      <c r="H66" s="276" t="s">
        <v>94</v>
      </c>
      <c r="I66" s="7" t="s">
        <v>90</v>
      </c>
    </row>
    <row r="67" spans="1:9" ht="18" customHeight="1" x14ac:dyDescent="0.25">
      <c r="A67" s="14">
        <f t="shared" si="1"/>
        <v>57</v>
      </c>
      <c r="B67" s="8"/>
      <c r="C67" s="15" t="s">
        <v>356</v>
      </c>
      <c r="D67" s="10" t="s">
        <v>19</v>
      </c>
      <c r="E67" s="117"/>
      <c r="F67" s="27"/>
      <c r="G67" s="114">
        <f t="shared" si="0"/>
        <v>73.400000000000006</v>
      </c>
      <c r="H67" s="276" t="s">
        <v>94</v>
      </c>
      <c r="I67" s="7" t="s">
        <v>90</v>
      </c>
    </row>
    <row r="68" spans="1:9" ht="18" customHeight="1" x14ac:dyDescent="0.25">
      <c r="A68" s="14">
        <f t="shared" si="1"/>
        <v>58</v>
      </c>
      <c r="B68" s="8"/>
      <c r="C68" s="15" t="s">
        <v>356</v>
      </c>
      <c r="D68" s="10" t="s">
        <v>19</v>
      </c>
      <c r="E68" s="117"/>
      <c r="F68" s="27"/>
      <c r="G68" s="114">
        <f t="shared" si="0"/>
        <v>73.400000000000006</v>
      </c>
      <c r="H68" s="276" t="s">
        <v>94</v>
      </c>
      <c r="I68" s="7" t="s">
        <v>90</v>
      </c>
    </row>
    <row r="69" spans="1:9" ht="18" customHeight="1" x14ac:dyDescent="0.25">
      <c r="A69" s="14">
        <f t="shared" si="1"/>
        <v>59</v>
      </c>
      <c r="B69" s="8"/>
      <c r="C69" s="15" t="s">
        <v>356</v>
      </c>
      <c r="D69" s="10" t="s">
        <v>19</v>
      </c>
      <c r="E69" s="117"/>
      <c r="F69" s="119"/>
      <c r="G69" s="114">
        <f t="shared" si="0"/>
        <v>73.400000000000006</v>
      </c>
      <c r="H69" s="276" t="s">
        <v>94</v>
      </c>
      <c r="I69" s="7" t="s">
        <v>90</v>
      </c>
    </row>
    <row r="70" spans="1:9" ht="18" customHeight="1" x14ac:dyDescent="0.25">
      <c r="A70" s="14">
        <f t="shared" si="1"/>
        <v>60</v>
      </c>
      <c r="B70" s="8"/>
      <c r="C70" s="15" t="s">
        <v>356</v>
      </c>
      <c r="D70" s="10" t="s">
        <v>19</v>
      </c>
      <c r="E70" s="117"/>
      <c r="F70" s="27"/>
      <c r="G70" s="114">
        <f t="shared" si="0"/>
        <v>73.400000000000006</v>
      </c>
      <c r="H70" s="276" t="s">
        <v>94</v>
      </c>
      <c r="I70" s="7" t="s">
        <v>90</v>
      </c>
    </row>
    <row r="71" spans="1:9" ht="18" customHeight="1" x14ac:dyDescent="0.25">
      <c r="A71" s="14">
        <f t="shared" si="1"/>
        <v>61</v>
      </c>
      <c r="B71" s="8"/>
      <c r="C71" s="15" t="s">
        <v>356</v>
      </c>
      <c r="D71" s="10" t="s">
        <v>19</v>
      </c>
      <c r="E71" s="117"/>
      <c r="F71" s="119"/>
      <c r="G71" s="114">
        <f t="shared" si="0"/>
        <v>73.400000000000006</v>
      </c>
      <c r="H71" s="276" t="s">
        <v>94</v>
      </c>
      <c r="I71" s="7" t="s">
        <v>90</v>
      </c>
    </row>
    <row r="72" spans="1:9" ht="18" customHeight="1" x14ac:dyDescent="0.25">
      <c r="A72" s="14">
        <f t="shared" si="1"/>
        <v>62</v>
      </c>
      <c r="B72" s="8"/>
      <c r="C72" s="15" t="s">
        <v>356</v>
      </c>
      <c r="D72" s="10" t="s">
        <v>19</v>
      </c>
      <c r="E72" s="117"/>
      <c r="F72" s="119"/>
      <c r="G72" s="114">
        <f t="shared" si="0"/>
        <v>73.400000000000006</v>
      </c>
      <c r="H72" s="276" t="s">
        <v>94</v>
      </c>
      <c r="I72" s="7" t="s">
        <v>90</v>
      </c>
    </row>
    <row r="73" spans="1:9" ht="18" customHeight="1" x14ac:dyDescent="0.25">
      <c r="A73" s="14">
        <f t="shared" si="1"/>
        <v>63</v>
      </c>
      <c r="B73" s="8"/>
      <c r="C73" s="15" t="s">
        <v>356</v>
      </c>
      <c r="D73" s="10" t="s">
        <v>19</v>
      </c>
      <c r="E73" s="117"/>
      <c r="F73" s="27"/>
      <c r="G73" s="114">
        <f t="shared" si="0"/>
        <v>73.400000000000006</v>
      </c>
      <c r="H73" s="276" t="s">
        <v>94</v>
      </c>
      <c r="I73" s="7" t="s">
        <v>90</v>
      </c>
    </row>
    <row r="74" spans="1:9" ht="18" customHeight="1" x14ac:dyDescent="0.25">
      <c r="A74" s="14">
        <f t="shared" si="1"/>
        <v>64</v>
      </c>
      <c r="B74" s="44"/>
      <c r="C74" s="15" t="s">
        <v>356</v>
      </c>
      <c r="D74" s="10" t="s">
        <v>19</v>
      </c>
      <c r="E74" s="117"/>
      <c r="F74" s="119"/>
      <c r="G74" s="114">
        <f t="shared" si="0"/>
        <v>73.400000000000006</v>
      </c>
      <c r="H74" s="276" t="s">
        <v>94</v>
      </c>
      <c r="I74" s="7" t="s">
        <v>90</v>
      </c>
    </row>
    <row r="75" spans="1:9" ht="18" customHeight="1" x14ac:dyDescent="0.25">
      <c r="A75" s="14">
        <f t="shared" si="1"/>
        <v>65</v>
      </c>
      <c r="B75" s="44"/>
      <c r="C75" s="15" t="s">
        <v>356</v>
      </c>
      <c r="D75" s="10"/>
      <c r="E75" s="117"/>
      <c r="F75" s="119"/>
      <c r="G75" s="114">
        <f t="shared" ref="G75:G138" si="2">+G74+E75-F75</f>
        <v>73.400000000000006</v>
      </c>
      <c r="H75" s="276" t="s">
        <v>94</v>
      </c>
      <c r="I75" s="7" t="s">
        <v>90</v>
      </c>
    </row>
    <row r="76" spans="1:9" ht="18" customHeight="1" x14ac:dyDescent="0.25">
      <c r="A76" s="14">
        <f t="shared" ref="A76:A139" si="3">+A75+1</f>
        <v>66</v>
      </c>
      <c r="B76" s="44"/>
      <c r="C76" s="15" t="s">
        <v>356</v>
      </c>
      <c r="D76" s="10" t="s">
        <v>19</v>
      </c>
      <c r="E76" s="117"/>
      <c r="F76" s="27"/>
      <c r="G76" s="114">
        <f t="shared" si="2"/>
        <v>73.400000000000006</v>
      </c>
      <c r="H76" s="276" t="s">
        <v>94</v>
      </c>
      <c r="I76" s="7" t="s">
        <v>90</v>
      </c>
    </row>
    <row r="77" spans="1:9" ht="18" customHeight="1" x14ac:dyDescent="0.25">
      <c r="A77" s="14">
        <f t="shared" si="3"/>
        <v>67</v>
      </c>
      <c r="B77" s="44"/>
      <c r="C77" s="15" t="s">
        <v>356</v>
      </c>
      <c r="D77" s="10" t="s">
        <v>19</v>
      </c>
      <c r="E77" s="117"/>
      <c r="F77" s="27"/>
      <c r="G77" s="114">
        <f t="shared" si="2"/>
        <v>73.400000000000006</v>
      </c>
      <c r="H77" s="276" t="s">
        <v>94</v>
      </c>
      <c r="I77" s="7" t="s">
        <v>90</v>
      </c>
    </row>
    <row r="78" spans="1:9" ht="18" customHeight="1" x14ac:dyDescent="0.25">
      <c r="A78" s="14">
        <f t="shared" si="3"/>
        <v>68</v>
      </c>
      <c r="B78" s="44"/>
      <c r="C78" s="15" t="s">
        <v>356</v>
      </c>
      <c r="D78" s="10" t="s">
        <v>19</v>
      </c>
      <c r="E78" s="117"/>
      <c r="F78" s="27"/>
      <c r="G78" s="114">
        <f t="shared" si="2"/>
        <v>73.400000000000006</v>
      </c>
      <c r="H78" s="276" t="s">
        <v>94</v>
      </c>
      <c r="I78" s="7" t="s">
        <v>90</v>
      </c>
    </row>
    <row r="79" spans="1:9" ht="18" customHeight="1" x14ac:dyDescent="0.25">
      <c r="A79" s="14">
        <f t="shared" si="3"/>
        <v>69</v>
      </c>
      <c r="B79" s="44"/>
      <c r="C79" s="15" t="s">
        <v>356</v>
      </c>
      <c r="D79" s="10" t="s">
        <v>19</v>
      </c>
      <c r="E79" s="117"/>
      <c r="F79" s="27"/>
      <c r="G79" s="114">
        <f t="shared" si="2"/>
        <v>73.400000000000006</v>
      </c>
      <c r="H79" s="276" t="s">
        <v>94</v>
      </c>
      <c r="I79" s="7" t="s">
        <v>90</v>
      </c>
    </row>
    <row r="80" spans="1:9" ht="18" customHeight="1" x14ac:dyDescent="0.25">
      <c r="A80" s="14">
        <f t="shared" si="3"/>
        <v>70</v>
      </c>
      <c r="B80" s="8"/>
      <c r="C80" s="15" t="s">
        <v>356</v>
      </c>
      <c r="D80" s="10" t="s">
        <v>19</v>
      </c>
      <c r="E80" s="117"/>
      <c r="F80" s="27"/>
      <c r="G80" s="114">
        <f t="shared" si="2"/>
        <v>73.400000000000006</v>
      </c>
      <c r="H80" s="276" t="s">
        <v>94</v>
      </c>
      <c r="I80" s="7" t="s">
        <v>90</v>
      </c>
    </row>
    <row r="81" spans="1:9" ht="18" customHeight="1" x14ac:dyDescent="0.25">
      <c r="A81" s="14">
        <f t="shared" si="3"/>
        <v>71</v>
      </c>
      <c r="B81" s="8"/>
      <c r="C81" s="15" t="s">
        <v>356</v>
      </c>
      <c r="D81" s="10" t="s">
        <v>19</v>
      </c>
      <c r="E81" s="117"/>
      <c r="F81" s="119"/>
      <c r="G81" s="114">
        <f t="shared" si="2"/>
        <v>73.400000000000006</v>
      </c>
      <c r="H81" s="276" t="s">
        <v>94</v>
      </c>
      <c r="I81" s="7" t="s">
        <v>90</v>
      </c>
    </row>
    <row r="82" spans="1:9" ht="18" customHeight="1" x14ac:dyDescent="0.25">
      <c r="A82" s="14">
        <f t="shared" si="3"/>
        <v>72</v>
      </c>
      <c r="B82" s="8"/>
      <c r="C82" s="15" t="s">
        <v>356</v>
      </c>
      <c r="D82" s="10" t="s">
        <v>19</v>
      </c>
      <c r="E82" s="117"/>
      <c r="F82" s="27"/>
      <c r="G82" s="114">
        <f t="shared" si="2"/>
        <v>73.400000000000006</v>
      </c>
      <c r="H82" s="276" t="s">
        <v>94</v>
      </c>
      <c r="I82" s="7" t="s">
        <v>90</v>
      </c>
    </row>
    <row r="83" spans="1:9" ht="18" customHeight="1" x14ac:dyDescent="0.25">
      <c r="A83" s="14">
        <f t="shared" si="3"/>
        <v>73</v>
      </c>
      <c r="B83" s="8"/>
      <c r="C83" s="15" t="s">
        <v>356</v>
      </c>
      <c r="D83" s="10" t="s">
        <v>19</v>
      </c>
      <c r="E83" s="117"/>
      <c r="F83" s="27"/>
      <c r="G83" s="114">
        <f t="shared" si="2"/>
        <v>73.400000000000006</v>
      </c>
      <c r="H83" s="276" t="s">
        <v>94</v>
      </c>
      <c r="I83" s="7" t="s">
        <v>90</v>
      </c>
    </row>
    <row r="84" spans="1:9" ht="18" customHeight="1" x14ac:dyDescent="0.25">
      <c r="A84" s="14">
        <f t="shared" si="3"/>
        <v>74</v>
      </c>
      <c r="B84" s="8"/>
      <c r="C84" s="15" t="s">
        <v>356</v>
      </c>
      <c r="D84" s="10" t="s">
        <v>19</v>
      </c>
      <c r="E84" s="117"/>
      <c r="F84" s="27"/>
      <c r="G84" s="114">
        <f t="shared" si="2"/>
        <v>73.400000000000006</v>
      </c>
      <c r="H84" s="276" t="s">
        <v>94</v>
      </c>
      <c r="I84" s="7" t="s">
        <v>90</v>
      </c>
    </row>
    <row r="85" spans="1:9" ht="18" customHeight="1" x14ac:dyDescent="0.25">
      <c r="A85" s="14">
        <f t="shared" si="3"/>
        <v>75</v>
      </c>
      <c r="B85" s="8"/>
      <c r="C85" s="15"/>
      <c r="D85" s="10" t="s">
        <v>19</v>
      </c>
      <c r="E85" s="117"/>
      <c r="F85" s="27"/>
      <c r="G85" s="114">
        <f t="shared" si="2"/>
        <v>73.400000000000006</v>
      </c>
      <c r="H85" s="276"/>
      <c r="I85" s="7"/>
    </row>
    <row r="86" spans="1:9" ht="18" customHeight="1" x14ac:dyDescent="0.25">
      <c r="A86" s="14">
        <f t="shared" si="3"/>
        <v>76</v>
      </c>
      <c r="B86" s="8"/>
      <c r="C86" s="15"/>
      <c r="D86" s="10" t="s">
        <v>19</v>
      </c>
      <c r="E86" s="117"/>
      <c r="F86" s="27"/>
      <c r="G86" s="114">
        <f t="shared" si="2"/>
        <v>73.400000000000006</v>
      </c>
      <c r="H86" s="276"/>
      <c r="I86" s="7"/>
    </row>
    <row r="87" spans="1:9" ht="18" customHeight="1" x14ac:dyDescent="0.25">
      <c r="A87" s="14">
        <f t="shared" si="3"/>
        <v>77</v>
      </c>
      <c r="B87" s="8"/>
      <c r="C87" s="15"/>
      <c r="D87" s="10" t="s">
        <v>19</v>
      </c>
      <c r="E87" s="117"/>
      <c r="F87" s="27"/>
      <c r="G87" s="114">
        <f t="shared" si="2"/>
        <v>73.400000000000006</v>
      </c>
      <c r="H87" s="276"/>
      <c r="I87" s="7"/>
    </row>
    <row r="88" spans="1:9" ht="18" customHeight="1" x14ac:dyDescent="0.25">
      <c r="A88" s="14">
        <f t="shared" si="3"/>
        <v>78</v>
      </c>
      <c r="B88" s="8"/>
      <c r="C88" s="15"/>
      <c r="D88" s="10" t="s">
        <v>19</v>
      </c>
      <c r="E88" s="117"/>
      <c r="F88" s="27"/>
      <c r="G88" s="114">
        <f t="shared" si="2"/>
        <v>73.400000000000006</v>
      </c>
      <c r="H88" s="276"/>
      <c r="I88" s="7"/>
    </row>
    <row r="89" spans="1:9" ht="18" customHeight="1" x14ac:dyDescent="0.25">
      <c r="A89" s="14">
        <f t="shared" si="3"/>
        <v>79</v>
      </c>
      <c r="B89" s="8"/>
      <c r="C89" s="15"/>
      <c r="D89" s="10"/>
      <c r="E89" s="117"/>
      <c r="F89" s="119"/>
      <c r="G89" s="114">
        <f t="shared" si="2"/>
        <v>73.400000000000006</v>
      </c>
      <c r="H89" s="276"/>
      <c r="I89" s="7"/>
    </row>
    <row r="90" spans="1:9" ht="18" customHeight="1" x14ac:dyDescent="0.25">
      <c r="A90" s="14">
        <f t="shared" si="3"/>
        <v>80</v>
      </c>
      <c r="B90" s="8"/>
      <c r="C90" s="15"/>
      <c r="D90" s="10"/>
      <c r="E90" s="117"/>
      <c r="F90" s="27"/>
      <c r="G90" s="114">
        <f t="shared" si="2"/>
        <v>73.400000000000006</v>
      </c>
      <c r="H90" s="276"/>
      <c r="I90" s="7"/>
    </row>
    <row r="91" spans="1:9" ht="18" customHeight="1" x14ac:dyDescent="0.25">
      <c r="A91" s="14">
        <f t="shared" si="3"/>
        <v>81</v>
      </c>
      <c r="B91" s="8"/>
      <c r="C91" s="15"/>
      <c r="D91" s="10"/>
      <c r="E91" s="117"/>
      <c r="F91" s="27"/>
      <c r="G91" s="114">
        <f t="shared" si="2"/>
        <v>73.400000000000006</v>
      </c>
      <c r="H91" s="276"/>
      <c r="I91" s="7"/>
    </row>
    <row r="92" spans="1:9" ht="18" customHeight="1" x14ac:dyDescent="0.25">
      <c r="A92" s="14">
        <f t="shared" si="3"/>
        <v>82</v>
      </c>
      <c r="B92" s="8"/>
      <c r="C92" s="15"/>
      <c r="D92" s="10"/>
      <c r="E92" s="117"/>
      <c r="F92" s="27"/>
      <c r="G92" s="114">
        <f t="shared" si="2"/>
        <v>73.400000000000006</v>
      </c>
      <c r="H92" s="276"/>
      <c r="I92" s="7"/>
    </row>
    <row r="93" spans="1:9" ht="18" customHeight="1" x14ac:dyDescent="0.25">
      <c r="A93" s="14">
        <f t="shared" si="3"/>
        <v>83</v>
      </c>
      <c r="B93" s="8"/>
      <c r="C93" s="15"/>
      <c r="D93" s="10"/>
      <c r="E93" s="117"/>
      <c r="F93" s="27"/>
      <c r="G93" s="114">
        <f t="shared" si="2"/>
        <v>73.400000000000006</v>
      </c>
      <c r="H93" s="276"/>
      <c r="I93" s="7"/>
    </row>
    <row r="94" spans="1:9" ht="18" customHeight="1" x14ac:dyDescent="0.25">
      <c r="A94" s="14">
        <f t="shared" si="3"/>
        <v>84</v>
      </c>
      <c r="B94" s="8"/>
      <c r="C94" s="15"/>
      <c r="D94" s="10"/>
      <c r="E94" s="117"/>
      <c r="F94" s="27"/>
      <c r="G94" s="114">
        <f t="shared" si="2"/>
        <v>73.400000000000006</v>
      </c>
      <c r="H94" s="276"/>
      <c r="I94" s="7"/>
    </row>
    <row r="95" spans="1:9" ht="18" customHeight="1" x14ac:dyDescent="0.25">
      <c r="A95" s="14">
        <f t="shared" si="3"/>
        <v>85</v>
      </c>
      <c r="B95" s="8"/>
      <c r="C95" s="15"/>
      <c r="D95" s="10"/>
      <c r="E95" s="117"/>
      <c r="F95" s="27"/>
      <c r="G95" s="114">
        <f t="shared" si="2"/>
        <v>73.400000000000006</v>
      </c>
      <c r="H95" s="276"/>
      <c r="I95" s="7"/>
    </row>
    <row r="96" spans="1:9" ht="18" customHeight="1" x14ac:dyDescent="0.25">
      <c r="A96" s="14">
        <f t="shared" si="3"/>
        <v>86</v>
      </c>
      <c r="B96" s="8"/>
      <c r="C96" s="15"/>
      <c r="D96" s="10"/>
      <c r="E96" s="117"/>
      <c r="F96" s="27"/>
      <c r="G96" s="114">
        <f t="shared" si="2"/>
        <v>73.400000000000006</v>
      </c>
      <c r="H96" s="276"/>
      <c r="I96" s="7"/>
    </row>
    <row r="97" spans="1:9" ht="18" customHeight="1" x14ac:dyDescent="0.25">
      <c r="A97" s="14">
        <f t="shared" si="3"/>
        <v>87</v>
      </c>
      <c r="B97" s="8"/>
      <c r="C97" s="15"/>
      <c r="D97" s="10"/>
      <c r="E97" s="117"/>
      <c r="F97" s="27"/>
      <c r="G97" s="114">
        <f t="shared" si="2"/>
        <v>73.400000000000006</v>
      </c>
      <c r="H97" s="276"/>
      <c r="I97" s="7"/>
    </row>
    <row r="98" spans="1:9" ht="18" customHeight="1" x14ac:dyDescent="0.25">
      <c r="A98" s="14">
        <f t="shared" si="3"/>
        <v>88</v>
      </c>
      <c r="B98" s="8"/>
      <c r="C98" s="15"/>
      <c r="D98" s="10"/>
      <c r="E98" s="117"/>
      <c r="F98" s="27"/>
      <c r="G98" s="114">
        <f t="shared" si="2"/>
        <v>73.400000000000006</v>
      </c>
      <c r="H98" s="276"/>
      <c r="I98" s="7"/>
    </row>
    <row r="99" spans="1:9" ht="18" customHeight="1" x14ac:dyDescent="0.25">
      <c r="A99" s="14">
        <f t="shared" si="3"/>
        <v>89</v>
      </c>
      <c r="B99" s="8"/>
      <c r="C99" s="15"/>
      <c r="D99" s="10"/>
      <c r="E99" s="117"/>
      <c r="F99" s="27"/>
      <c r="G99" s="114">
        <f t="shared" si="2"/>
        <v>73.400000000000006</v>
      </c>
      <c r="H99" s="276"/>
      <c r="I99" s="7"/>
    </row>
    <row r="100" spans="1:9" ht="18" customHeight="1" x14ac:dyDescent="0.25">
      <c r="A100" s="14">
        <f t="shared" si="3"/>
        <v>90</v>
      </c>
      <c r="B100" s="8"/>
      <c r="C100" s="15"/>
      <c r="D100" s="10"/>
      <c r="E100" s="117"/>
      <c r="F100" s="27"/>
      <c r="G100" s="114">
        <f t="shared" si="2"/>
        <v>73.400000000000006</v>
      </c>
      <c r="H100" s="276"/>
      <c r="I100" s="7"/>
    </row>
    <row r="101" spans="1:9" ht="18" customHeight="1" x14ac:dyDescent="0.25">
      <c r="A101" s="14">
        <f t="shared" si="3"/>
        <v>91</v>
      </c>
      <c r="B101" s="8"/>
      <c r="C101" s="15"/>
      <c r="D101" s="10"/>
      <c r="E101" s="117"/>
      <c r="F101" s="27"/>
      <c r="G101" s="114">
        <f t="shared" si="2"/>
        <v>73.400000000000006</v>
      </c>
      <c r="H101" s="276"/>
      <c r="I101" s="7"/>
    </row>
    <row r="102" spans="1:9" ht="18" customHeight="1" x14ac:dyDescent="0.25">
      <c r="A102" s="14">
        <f t="shared" si="3"/>
        <v>92</v>
      </c>
      <c r="B102" s="8"/>
      <c r="C102" s="15"/>
      <c r="D102" s="10"/>
      <c r="E102" s="117"/>
      <c r="F102" s="27"/>
      <c r="G102" s="114">
        <f t="shared" si="2"/>
        <v>73.400000000000006</v>
      </c>
      <c r="H102" s="276"/>
      <c r="I102" s="7"/>
    </row>
    <row r="103" spans="1:9" ht="18" customHeight="1" x14ac:dyDescent="0.25">
      <c r="A103" s="14">
        <f t="shared" si="3"/>
        <v>93</v>
      </c>
      <c r="B103" s="8"/>
      <c r="C103" s="15"/>
      <c r="D103" s="10"/>
      <c r="E103" s="117"/>
      <c r="F103" s="27"/>
      <c r="G103" s="114">
        <f t="shared" si="2"/>
        <v>73.400000000000006</v>
      </c>
      <c r="H103" s="276"/>
      <c r="I103" s="7"/>
    </row>
    <row r="104" spans="1:9" ht="18" customHeight="1" x14ac:dyDescent="0.25">
      <c r="A104" s="14">
        <f t="shared" si="3"/>
        <v>94</v>
      </c>
      <c r="B104" s="8"/>
      <c r="C104" s="15"/>
      <c r="D104" s="10"/>
      <c r="E104" s="117"/>
      <c r="F104" s="27"/>
      <c r="G104" s="114">
        <f t="shared" si="2"/>
        <v>73.400000000000006</v>
      </c>
      <c r="H104" s="276"/>
      <c r="I104" s="7"/>
    </row>
    <row r="105" spans="1:9" ht="18" customHeight="1" x14ac:dyDescent="0.25">
      <c r="A105" s="14">
        <f t="shared" si="3"/>
        <v>95</v>
      </c>
      <c r="B105" s="8"/>
      <c r="C105" s="15"/>
      <c r="D105" s="10"/>
      <c r="E105" s="117"/>
      <c r="F105" s="27"/>
      <c r="G105" s="114">
        <f t="shared" si="2"/>
        <v>73.400000000000006</v>
      </c>
      <c r="H105" s="276"/>
      <c r="I105" s="7"/>
    </row>
    <row r="106" spans="1:9" ht="18" customHeight="1" x14ac:dyDescent="0.25">
      <c r="A106" s="14">
        <f t="shared" si="3"/>
        <v>96</v>
      </c>
      <c r="B106" s="8"/>
      <c r="C106" s="15"/>
      <c r="D106" s="10"/>
      <c r="E106" s="117"/>
      <c r="F106" s="27"/>
      <c r="G106" s="114">
        <f t="shared" si="2"/>
        <v>73.400000000000006</v>
      </c>
      <c r="H106" s="276"/>
      <c r="I106" s="7"/>
    </row>
    <row r="107" spans="1:9" ht="18" customHeight="1" x14ac:dyDescent="0.25">
      <c r="A107" s="14">
        <f t="shared" si="3"/>
        <v>97</v>
      </c>
      <c r="B107" s="8"/>
      <c r="C107" s="15"/>
      <c r="D107" s="10"/>
      <c r="E107" s="117"/>
      <c r="F107" s="27"/>
      <c r="G107" s="114">
        <f t="shared" si="2"/>
        <v>73.400000000000006</v>
      </c>
      <c r="H107" s="276"/>
      <c r="I107" s="7"/>
    </row>
    <row r="108" spans="1:9" ht="18" customHeight="1" x14ac:dyDescent="0.25">
      <c r="A108" s="14">
        <f t="shared" si="3"/>
        <v>98</v>
      </c>
      <c r="B108" s="8"/>
      <c r="C108" s="15"/>
      <c r="D108" s="10"/>
      <c r="E108" s="117"/>
      <c r="F108" s="27"/>
      <c r="G108" s="114">
        <f t="shared" si="2"/>
        <v>73.400000000000006</v>
      </c>
      <c r="H108" s="276"/>
      <c r="I108" s="7"/>
    </row>
    <row r="109" spans="1:9" ht="18" customHeight="1" x14ac:dyDescent="0.25">
      <c r="A109" s="14">
        <f t="shared" si="3"/>
        <v>99</v>
      </c>
      <c r="B109" s="8"/>
      <c r="C109" s="15"/>
      <c r="D109" s="10"/>
      <c r="E109" s="117"/>
      <c r="F109" s="27"/>
      <c r="G109" s="114">
        <f t="shared" si="2"/>
        <v>73.400000000000006</v>
      </c>
      <c r="H109" s="276"/>
      <c r="I109" s="7"/>
    </row>
    <row r="110" spans="1:9" ht="18" customHeight="1" x14ac:dyDescent="0.25">
      <c r="A110" s="14">
        <f t="shared" si="3"/>
        <v>100</v>
      </c>
      <c r="B110" s="8"/>
      <c r="C110" s="15"/>
      <c r="D110" s="10"/>
      <c r="E110" s="117"/>
      <c r="F110" s="27"/>
      <c r="G110" s="114">
        <f t="shared" si="2"/>
        <v>73.400000000000006</v>
      </c>
      <c r="H110" s="276"/>
      <c r="I110" s="7"/>
    </row>
    <row r="111" spans="1:9" ht="18" customHeight="1" x14ac:dyDescent="0.25">
      <c r="A111" s="14">
        <f t="shared" si="3"/>
        <v>101</v>
      </c>
      <c r="B111" s="8"/>
      <c r="C111" s="15"/>
      <c r="D111" s="10"/>
      <c r="E111" s="117"/>
      <c r="F111" s="27"/>
      <c r="G111" s="114">
        <f t="shared" si="2"/>
        <v>73.400000000000006</v>
      </c>
      <c r="H111" s="276"/>
      <c r="I111" s="7"/>
    </row>
    <row r="112" spans="1:9" ht="18" customHeight="1" x14ac:dyDescent="0.25">
      <c r="A112" s="14">
        <f t="shared" si="3"/>
        <v>102</v>
      </c>
      <c r="B112" s="8"/>
      <c r="C112" s="15"/>
      <c r="D112" s="10"/>
      <c r="E112" s="117"/>
      <c r="F112" s="27"/>
      <c r="G112" s="114">
        <f t="shared" si="2"/>
        <v>73.400000000000006</v>
      </c>
      <c r="H112" s="276"/>
      <c r="I112" s="7"/>
    </row>
    <row r="113" spans="1:9" ht="18" customHeight="1" x14ac:dyDescent="0.25">
      <c r="A113" s="14">
        <f t="shared" si="3"/>
        <v>103</v>
      </c>
      <c r="B113" s="8"/>
      <c r="C113" s="15"/>
      <c r="D113" s="10"/>
      <c r="E113" s="117"/>
      <c r="F113" s="27"/>
      <c r="G113" s="114">
        <f t="shared" si="2"/>
        <v>73.400000000000006</v>
      </c>
      <c r="H113" s="276"/>
      <c r="I113" s="7"/>
    </row>
    <row r="114" spans="1:9" ht="18" customHeight="1" x14ac:dyDescent="0.25">
      <c r="A114" s="14">
        <f t="shared" si="3"/>
        <v>104</v>
      </c>
      <c r="B114" s="8"/>
      <c r="C114" s="15"/>
      <c r="D114" s="10"/>
      <c r="E114" s="117"/>
      <c r="F114" s="27"/>
      <c r="G114" s="114">
        <f t="shared" si="2"/>
        <v>73.400000000000006</v>
      </c>
      <c r="H114" s="276"/>
      <c r="I114" s="7"/>
    </row>
    <row r="115" spans="1:9" ht="18" customHeight="1" x14ac:dyDescent="0.25">
      <c r="A115" s="14">
        <f t="shared" si="3"/>
        <v>105</v>
      </c>
      <c r="B115" s="8"/>
      <c r="C115" s="15"/>
      <c r="D115" s="10"/>
      <c r="E115" s="117"/>
      <c r="F115" s="27"/>
      <c r="G115" s="114">
        <f t="shared" si="2"/>
        <v>73.400000000000006</v>
      </c>
      <c r="H115" s="276"/>
      <c r="I115" s="7"/>
    </row>
    <row r="116" spans="1:9" ht="18" customHeight="1" x14ac:dyDescent="0.25">
      <c r="A116" s="14">
        <f t="shared" si="3"/>
        <v>106</v>
      </c>
      <c r="B116" s="8"/>
      <c r="C116" s="15"/>
      <c r="D116" s="10"/>
      <c r="E116" s="117"/>
      <c r="F116" s="27"/>
      <c r="G116" s="114">
        <f t="shared" si="2"/>
        <v>73.400000000000006</v>
      </c>
      <c r="H116" s="276"/>
      <c r="I116" s="7"/>
    </row>
    <row r="117" spans="1:9" ht="18" customHeight="1" x14ac:dyDescent="0.25">
      <c r="A117" s="14">
        <f t="shared" si="3"/>
        <v>107</v>
      </c>
      <c r="B117" s="8"/>
      <c r="C117" s="15"/>
      <c r="D117" s="10"/>
      <c r="E117" s="117"/>
      <c r="F117" s="27"/>
      <c r="G117" s="114">
        <f t="shared" si="2"/>
        <v>73.400000000000006</v>
      </c>
      <c r="H117" s="276"/>
      <c r="I117" s="7"/>
    </row>
    <row r="118" spans="1:9" ht="18" customHeight="1" x14ac:dyDescent="0.25">
      <c r="A118" s="14">
        <f t="shared" si="3"/>
        <v>108</v>
      </c>
      <c r="B118" s="8"/>
      <c r="C118" s="15"/>
      <c r="D118" s="10"/>
      <c r="E118" s="117"/>
      <c r="F118" s="27"/>
      <c r="G118" s="114">
        <f t="shared" si="2"/>
        <v>73.400000000000006</v>
      </c>
      <c r="H118" s="276"/>
      <c r="I118" s="7"/>
    </row>
    <row r="119" spans="1:9" ht="18" customHeight="1" x14ac:dyDescent="0.25">
      <c r="A119" s="14">
        <f t="shared" si="3"/>
        <v>109</v>
      </c>
      <c r="B119" s="8"/>
      <c r="C119" s="15"/>
      <c r="D119" s="10"/>
      <c r="E119" s="117"/>
      <c r="F119" s="27"/>
      <c r="G119" s="114">
        <f t="shared" si="2"/>
        <v>73.400000000000006</v>
      </c>
      <c r="H119" s="276"/>
      <c r="I119" s="7"/>
    </row>
    <row r="120" spans="1:9" ht="18" customHeight="1" x14ac:dyDescent="0.25">
      <c r="A120" s="14">
        <f t="shared" si="3"/>
        <v>110</v>
      </c>
      <c r="B120" s="8"/>
      <c r="C120" s="15"/>
      <c r="D120" s="10"/>
      <c r="E120" s="117"/>
      <c r="F120" s="27"/>
      <c r="G120" s="114">
        <f t="shared" si="2"/>
        <v>73.400000000000006</v>
      </c>
      <c r="H120" s="276"/>
      <c r="I120" s="7"/>
    </row>
    <row r="121" spans="1:9" ht="18" customHeight="1" x14ac:dyDescent="0.25">
      <c r="A121" s="14">
        <f t="shared" si="3"/>
        <v>111</v>
      </c>
      <c r="B121" s="8"/>
      <c r="C121" s="15"/>
      <c r="D121" s="10"/>
      <c r="E121" s="117"/>
      <c r="F121" s="27"/>
      <c r="G121" s="114">
        <f t="shared" si="2"/>
        <v>73.400000000000006</v>
      </c>
      <c r="H121" s="276"/>
      <c r="I121" s="7"/>
    </row>
    <row r="122" spans="1:9" ht="18" customHeight="1" x14ac:dyDescent="0.25">
      <c r="A122" s="14">
        <f t="shared" si="3"/>
        <v>112</v>
      </c>
      <c r="B122" s="8"/>
      <c r="C122" s="15"/>
      <c r="D122" s="10"/>
      <c r="E122" s="117"/>
      <c r="F122" s="27"/>
      <c r="G122" s="114">
        <f t="shared" si="2"/>
        <v>73.400000000000006</v>
      </c>
      <c r="H122" s="276"/>
      <c r="I122" s="7"/>
    </row>
    <row r="123" spans="1:9" ht="18" customHeight="1" x14ac:dyDescent="0.25">
      <c r="A123" s="14">
        <f t="shared" si="3"/>
        <v>113</v>
      </c>
      <c r="B123" s="8"/>
      <c r="C123" s="15"/>
      <c r="D123" s="10"/>
      <c r="E123" s="117"/>
      <c r="F123" s="27"/>
      <c r="G123" s="114">
        <f t="shared" si="2"/>
        <v>73.400000000000006</v>
      </c>
      <c r="H123" s="276"/>
      <c r="I123" s="7"/>
    </row>
    <row r="124" spans="1:9" ht="18" customHeight="1" x14ac:dyDescent="0.25">
      <c r="A124" s="14">
        <f t="shared" si="3"/>
        <v>114</v>
      </c>
      <c r="B124" s="8"/>
      <c r="C124" s="15"/>
      <c r="D124" s="10"/>
      <c r="E124" s="117"/>
      <c r="F124" s="27"/>
      <c r="G124" s="114">
        <f t="shared" si="2"/>
        <v>73.400000000000006</v>
      </c>
      <c r="H124" s="276"/>
      <c r="I124" s="7"/>
    </row>
    <row r="125" spans="1:9" ht="18" customHeight="1" x14ac:dyDescent="0.25">
      <c r="A125" s="14">
        <f t="shared" si="3"/>
        <v>115</v>
      </c>
      <c r="B125" s="8"/>
      <c r="C125" s="15"/>
      <c r="D125" s="10"/>
      <c r="E125" s="117"/>
      <c r="F125" s="27"/>
      <c r="G125" s="114">
        <f t="shared" si="2"/>
        <v>73.400000000000006</v>
      </c>
      <c r="H125" s="276"/>
      <c r="I125" s="7"/>
    </row>
    <row r="126" spans="1:9" ht="18" customHeight="1" x14ac:dyDescent="0.25">
      <c r="A126" s="14">
        <f t="shared" si="3"/>
        <v>116</v>
      </c>
      <c r="B126" s="8"/>
      <c r="C126" s="15"/>
      <c r="D126" s="10"/>
      <c r="E126" s="117"/>
      <c r="F126" s="27"/>
      <c r="G126" s="114">
        <f t="shared" si="2"/>
        <v>73.400000000000006</v>
      </c>
      <c r="H126" s="276"/>
      <c r="I126" s="7"/>
    </row>
    <row r="127" spans="1:9" ht="18" customHeight="1" x14ac:dyDescent="0.25">
      <c r="A127" s="14">
        <f t="shared" si="3"/>
        <v>117</v>
      </c>
      <c r="B127" s="8"/>
      <c r="C127" s="15"/>
      <c r="D127" s="10"/>
      <c r="E127" s="117"/>
      <c r="F127" s="27"/>
      <c r="G127" s="114">
        <f t="shared" si="2"/>
        <v>73.400000000000006</v>
      </c>
      <c r="H127" s="276"/>
      <c r="I127" s="7"/>
    </row>
    <row r="128" spans="1:9" ht="18" customHeight="1" x14ac:dyDescent="0.25">
      <c r="A128" s="14">
        <f t="shared" si="3"/>
        <v>118</v>
      </c>
      <c r="B128" s="8"/>
      <c r="C128" s="15"/>
      <c r="D128" s="10"/>
      <c r="E128" s="117"/>
      <c r="F128" s="27"/>
      <c r="G128" s="114">
        <f t="shared" si="2"/>
        <v>73.400000000000006</v>
      </c>
      <c r="H128" s="276"/>
      <c r="I128" s="7"/>
    </row>
    <row r="129" spans="1:9" ht="18" customHeight="1" x14ac:dyDescent="0.25">
      <c r="A129" s="14">
        <f t="shared" si="3"/>
        <v>119</v>
      </c>
      <c r="B129" s="8"/>
      <c r="C129" s="15"/>
      <c r="D129" s="10"/>
      <c r="E129" s="117"/>
      <c r="F129" s="27"/>
      <c r="G129" s="114">
        <f t="shared" si="2"/>
        <v>73.400000000000006</v>
      </c>
      <c r="H129" s="276"/>
      <c r="I129" s="7"/>
    </row>
    <row r="130" spans="1:9" ht="18" customHeight="1" x14ac:dyDescent="0.25">
      <c r="A130" s="14">
        <f t="shared" si="3"/>
        <v>120</v>
      </c>
      <c r="B130" s="8"/>
      <c r="C130" s="15"/>
      <c r="D130" s="10"/>
      <c r="E130" s="117"/>
      <c r="F130" s="27"/>
      <c r="G130" s="114">
        <f t="shared" si="2"/>
        <v>73.400000000000006</v>
      </c>
      <c r="H130" s="276"/>
      <c r="I130" s="7"/>
    </row>
    <row r="131" spans="1:9" ht="18" customHeight="1" x14ac:dyDescent="0.25">
      <c r="A131" s="14">
        <f t="shared" si="3"/>
        <v>121</v>
      </c>
      <c r="B131" s="8"/>
      <c r="C131" s="15"/>
      <c r="D131" s="10"/>
      <c r="E131" s="117"/>
      <c r="F131" s="27"/>
      <c r="G131" s="114">
        <f t="shared" si="2"/>
        <v>73.400000000000006</v>
      </c>
      <c r="H131" s="276"/>
      <c r="I131" s="7"/>
    </row>
    <row r="132" spans="1:9" ht="18" customHeight="1" x14ac:dyDescent="0.25">
      <c r="A132" s="14">
        <f t="shared" si="3"/>
        <v>122</v>
      </c>
      <c r="B132" s="8"/>
      <c r="C132" s="15"/>
      <c r="D132" s="10"/>
      <c r="E132" s="117"/>
      <c r="F132" s="27"/>
      <c r="G132" s="114">
        <f t="shared" si="2"/>
        <v>73.400000000000006</v>
      </c>
      <c r="H132" s="276"/>
      <c r="I132" s="7"/>
    </row>
    <row r="133" spans="1:9" ht="18" customHeight="1" x14ac:dyDescent="0.25">
      <c r="A133" s="14">
        <f t="shared" si="3"/>
        <v>123</v>
      </c>
      <c r="B133" s="8"/>
      <c r="C133" s="15"/>
      <c r="D133" s="10"/>
      <c r="E133" s="117"/>
      <c r="F133" s="27"/>
      <c r="G133" s="114">
        <f t="shared" si="2"/>
        <v>73.400000000000006</v>
      </c>
      <c r="H133" s="276"/>
      <c r="I133" s="7"/>
    </row>
    <row r="134" spans="1:9" ht="18" customHeight="1" x14ac:dyDescent="0.25">
      <c r="A134" s="14">
        <f t="shared" si="3"/>
        <v>124</v>
      </c>
      <c r="B134" s="8"/>
      <c r="C134" s="15"/>
      <c r="D134" s="10"/>
      <c r="E134" s="117"/>
      <c r="F134" s="27"/>
      <c r="G134" s="114">
        <f t="shared" si="2"/>
        <v>73.400000000000006</v>
      </c>
      <c r="H134" s="276"/>
      <c r="I134" s="7"/>
    </row>
    <row r="135" spans="1:9" ht="18" customHeight="1" x14ac:dyDescent="0.25">
      <c r="A135" s="14">
        <f t="shared" si="3"/>
        <v>125</v>
      </c>
      <c r="B135" s="8"/>
      <c r="C135" s="15"/>
      <c r="D135" s="10"/>
      <c r="E135" s="117"/>
      <c r="F135" s="27"/>
      <c r="G135" s="114">
        <f t="shared" si="2"/>
        <v>73.400000000000006</v>
      </c>
      <c r="H135" s="276"/>
      <c r="I135" s="7"/>
    </row>
    <row r="136" spans="1:9" ht="18" customHeight="1" x14ac:dyDescent="0.25">
      <c r="A136" s="14">
        <f t="shared" si="3"/>
        <v>126</v>
      </c>
      <c r="B136" s="8"/>
      <c r="C136" s="15"/>
      <c r="D136" s="10" t="s">
        <v>19</v>
      </c>
      <c r="E136" s="117"/>
      <c r="F136" s="27"/>
      <c r="G136" s="114">
        <f t="shared" si="2"/>
        <v>73.400000000000006</v>
      </c>
      <c r="H136" s="276"/>
      <c r="I136" s="7"/>
    </row>
    <row r="137" spans="1:9" ht="18" customHeight="1" x14ac:dyDescent="0.25">
      <c r="A137" s="14">
        <f t="shared" si="3"/>
        <v>127</v>
      </c>
      <c r="B137" s="8"/>
      <c r="C137" s="15"/>
      <c r="D137" s="10"/>
      <c r="E137" s="117"/>
      <c r="F137" s="27"/>
      <c r="G137" s="114">
        <f t="shared" si="2"/>
        <v>73.400000000000006</v>
      </c>
      <c r="H137" s="28"/>
      <c r="I137" s="29"/>
    </row>
    <row r="138" spans="1:9" ht="18" customHeight="1" x14ac:dyDescent="0.25">
      <c r="A138" s="14">
        <f t="shared" si="3"/>
        <v>128</v>
      </c>
      <c r="B138" s="8"/>
      <c r="C138" s="15"/>
      <c r="D138" s="10"/>
      <c r="E138" s="117"/>
      <c r="F138" s="27"/>
      <c r="G138" s="114">
        <f t="shared" si="2"/>
        <v>73.400000000000006</v>
      </c>
      <c r="H138" s="28"/>
      <c r="I138" s="29"/>
    </row>
    <row r="139" spans="1:9" ht="18" customHeight="1" x14ac:dyDescent="0.25">
      <c r="A139" s="14">
        <f t="shared" si="3"/>
        <v>129</v>
      </c>
      <c r="B139" s="8"/>
      <c r="C139" s="15"/>
      <c r="D139" s="10"/>
      <c r="E139" s="117"/>
      <c r="F139" s="27"/>
      <c r="G139" s="114">
        <f t="shared" ref="G139" si="4">+G138+E139-F139</f>
        <v>73.400000000000006</v>
      </c>
      <c r="H139" s="28"/>
      <c r="I139" s="29"/>
    </row>
    <row r="140" spans="1:9" ht="15" customHeight="1" x14ac:dyDescent="0.25">
      <c r="A140" s="7"/>
      <c r="B140" s="33"/>
      <c r="C140" s="34" t="s">
        <v>13</v>
      </c>
      <c r="D140" s="7"/>
      <c r="E140" s="121">
        <f>SUM(E10:E139)</f>
        <v>110.5</v>
      </c>
      <c r="F140" s="122">
        <f>SUM(F10:F139)</f>
        <v>37.1</v>
      </c>
      <c r="G140" s="121">
        <f>+E140-F140+G9</f>
        <v>73.400000000000006</v>
      </c>
      <c r="H140" s="35"/>
      <c r="I140" s="36"/>
    </row>
    <row r="141" spans="1:9" ht="15" customHeight="1" x14ac:dyDescent="0.25">
      <c r="F141" s="26"/>
    </row>
    <row r="142" spans="1:9" ht="15" customHeight="1" x14ac:dyDescent="0.25"/>
    <row r="143" spans="1:9" ht="15" customHeight="1" x14ac:dyDescent="0.25"/>
    <row r="144" spans="1:9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D07B-EC69-4ADE-A402-E5D8C6143A16}">
  <sheetPr codeName="Sheet22"/>
  <dimension ref="A1:K132"/>
  <sheetViews>
    <sheetView workbookViewId="0">
      <selection activeCell="F26" sqref="F26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2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6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/>
      <c r="D9" s="10"/>
      <c r="E9" s="11"/>
      <c r="F9" s="12"/>
      <c r="G9" s="344">
        <v>39.9</v>
      </c>
      <c r="H9" s="7"/>
      <c r="I9" s="7"/>
      <c r="J9">
        <f>497+10</f>
        <v>507</v>
      </c>
    </row>
    <row r="10" spans="1:10" ht="18" customHeight="1" x14ac:dyDescent="0.25">
      <c r="A10" s="14">
        <v>1</v>
      </c>
      <c r="B10" s="8">
        <v>45677</v>
      </c>
      <c r="C10" s="15" t="s">
        <v>230</v>
      </c>
      <c r="D10" s="10" t="s">
        <v>19</v>
      </c>
      <c r="E10" s="113"/>
      <c r="F10" s="27">
        <v>5.9</v>
      </c>
      <c r="G10" s="114">
        <f t="shared" ref="G10:G73" si="0">+G9+E10-F10</f>
        <v>34</v>
      </c>
      <c r="H10" s="276" t="s">
        <v>129</v>
      </c>
      <c r="I10" s="7"/>
    </row>
    <row r="11" spans="1:10" ht="18" customHeight="1" x14ac:dyDescent="0.25">
      <c r="A11" s="14">
        <f t="shared" ref="A11:A74" si="1">+A10+1</f>
        <v>2</v>
      </c>
      <c r="B11" s="8">
        <v>45678</v>
      </c>
      <c r="C11" s="15" t="s">
        <v>230</v>
      </c>
      <c r="D11" s="10" t="s">
        <v>19</v>
      </c>
      <c r="E11" s="113"/>
      <c r="F11" s="23">
        <v>3.2</v>
      </c>
      <c r="G11" s="114">
        <f t="shared" si="0"/>
        <v>30.8</v>
      </c>
      <c r="H11" s="276" t="s">
        <v>129</v>
      </c>
      <c r="I11" s="7" t="s">
        <v>90</v>
      </c>
    </row>
    <row r="12" spans="1:10" ht="18" customHeight="1" x14ac:dyDescent="0.25">
      <c r="A12" s="14">
        <f t="shared" si="1"/>
        <v>3</v>
      </c>
      <c r="B12" s="8">
        <v>45724</v>
      </c>
      <c r="C12" s="15" t="s">
        <v>230</v>
      </c>
      <c r="D12" s="10" t="s">
        <v>19</v>
      </c>
      <c r="E12" s="113">
        <v>99</v>
      </c>
      <c r="F12" s="346"/>
      <c r="G12" s="114">
        <f t="shared" si="0"/>
        <v>129.80000000000001</v>
      </c>
      <c r="H12" s="276" t="s">
        <v>129</v>
      </c>
      <c r="I12" s="7" t="s">
        <v>90</v>
      </c>
    </row>
    <row r="13" spans="1:10" ht="18" customHeight="1" x14ac:dyDescent="0.25">
      <c r="A13" s="14">
        <f t="shared" si="1"/>
        <v>4</v>
      </c>
      <c r="B13" s="8">
        <v>45747</v>
      </c>
      <c r="C13" s="15" t="s">
        <v>230</v>
      </c>
      <c r="D13" s="10" t="s">
        <v>19</v>
      </c>
      <c r="E13" s="113"/>
      <c r="F13" s="17">
        <v>3.5</v>
      </c>
      <c r="G13" s="114">
        <f t="shared" si="0"/>
        <v>126.30000000000001</v>
      </c>
      <c r="H13" s="276" t="s">
        <v>129</v>
      </c>
      <c r="I13" s="7" t="s">
        <v>90</v>
      </c>
    </row>
    <row r="14" spans="1:10" ht="18" customHeight="1" x14ac:dyDescent="0.25">
      <c r="A14" s="14">
        <f t="shared" si="1"/>
        <v>5</v>
      </c>
      <c r="B14" s="8">
        <v>45748</v>
      </c>
      <c r="C14" s="15" t="s">
        <v>230</v>
      </c>
      <c r="D14" s="10" t="s">
        <v>19</v>
      </c>
      <c r="E14" s="113"/>
      <c r="F14" s="17">
        <v>5.2</v>
      </c>
      <c r="G14" s="114">
        <f t="shared" si="0"/>
        <v>121.10000000000001</v>
      </c>
      <c r="H14" s="276" t="s">
        <v>129</v>
      </c>
      <c r="I14" s="7" t="s">
        <v>252</v>
      </c>
      <c r="J14" t="s">
        <v>21</v>
      </c>
    </row>
    <row r="15" spans="1:10" ht="18" customHeight="1" x14ac:dyDescent="0.25">
      <c r="A15" s="14">
        <f t="shared" si="1"/>
        <v>6</v>
      </c>
      <c r="B15" s="8">
        <v>45749</v>
      </c>
      <c r="C15" s="15" t="s">
        <v>230</v>
      </c>
      <c r="D15" s="10" t="s">
        <v>19</v>
      </c>
      <c r="E15" s="113"/>
      <c r="F15" s="115">
        <v>0.5</v>
      </c>
      <c r="G15" s="114">
        <f t="shared" si="0"/>
        <v>120.60000000000001</v>
      </c>
      <c r="H15" s="276" t="s">
        <v>129</v>
      </c>
      <c r="I15" s="7" t="s">
        <v>90</v>
      </c>
      <c r="J15" s="26">
        <f>+F15+F17</f>
        <v>2.4</v>
      </c>
    </row>
    <row r="16" spans="1:10" ht="18" customHeight="1" x14ac:dyDescent="0.25">
      <c r="A16" s="14"/>
      <c r="B16" s="8">
        <v>45787</v>
      </c>
      <c r="C16" s="15"/>
      <c r="D16" s="10" t="s">
        <v>19</v>
      </c>
      <c r="E16" s="113"/>
      <c r="F16" s="115">
        <v>1.7</v>
      </c>
      <c r="G16" s="114">
        <f t="shared" si="0"/>
        <v>118.9</v>
      </c>
      <c r="H16" s="276" t="s">
        <v>129</v>
      </c>
      <c r="I16" s="7" t="s">
        <v>90</v>
      </c>
      <c r="J16" s="26"/>
    </row>
    <row r="17" spans="1:11" ht="18" customHeight="1" x14ac:dyDescent="0.25">
      <c r="A17" s="14">
        <f>+A15+1</f>
        <v>7</v>
      </c>
      <c r="B17" s="8">
        <v>45791</v>
      </c>
      <c r="C17" s="15"/>
      <c r="D17" s="10" t="s">
        <v>19</v>
      </c>
      <c r="E17" s="113"/>
      <c r="F17" s="152">
        <v>1.9</v>
      </c>
      <c r="G17" s="114">
        <f t="shared" si="0"/>
        <v>117</v>
      </c>
      <c r="H17" s="276" t="s">
        <v>129</v>
      </c>
      <c r="I17" s="7" t="s">
        <v>90</v>
      </c>
      <c r="J17" s="26"/>
    </row>
    <row r="18" spans="1:11" ht="18" customHeight="1" x14ac:dyDescent="0.25">
      <c r="A18" s="14">
        <f t="shared" si="1"/>
        <v>8</v>
      </c>
      <c r="B18" s="8">
        <v>45846</v>
      </c>
      <c r="C18" s="15"/>
      <c r="D18" s="10" t="s">
        <v>19</v>
      </c>
      <c r="E18" s="113"/>
      <c r="F18" s="152">
        <v>4.0999999999999996</v>
      </c>
      <c r="G18" s="114">
        <f t="shared" si="0"/>
        <v>112.9</v>
      </c>
      <c r="H18" s="276" t="s">
        <v>129</v>
      </c>
      <c r="I18" s="7" t="s">
        <v>90</v>
      </c>
    </row>
    <row r="19" spans="1:11" ht="18" customHeight="1" x14ac:dyDescent="0.25">
      <c r="A19" s="14">
        <f t="shared" si="1"/>
        <v>9</v>
      </c>
      <c r="B19" s="8">
        <v>45847</v>
      </c>
      <c r="C19" s="15"/>
      <c r="D19" s="10" t="s">
        <v>19</v>
      </c>
      <c r="E19" s="113"/>
      <c r="F19" s="152">
        <v>3.4</v>
      </c>
      <c r="G19" s="114">
        <f t="shared" si="0"/>
        <v>109.5</v>
      </c>
      <c r="H19" s="276" t="s">
        <v>129</v>
      </c>
      <c r="I19" s="7" t="s">
        <v>90</v>
      </c>
    </row>
    <row r="20" spans="1:11" ht="18" customHeight="1" x14ac:dyDescent="0.25">
      <c r="A20" s="14">
        <f t="shared" si="1"/>
        <v>10</v>
      </c>
      <c r="B20" s="8">
        <v>45848</v>
      </c>
      <c r="C20" s="15"/>
      <c r="D20" s="10" t="s">
        <v>19</v>
      </c>
      <c r="E20" s="113"/>
      <c r="F20" s="152">
        <v>3.8</v>
      </c>
      <c r="G20" s="114">
        <f t="shared" si="0"/>
        <v>105.7</v>
      </c>
      <c r="H20" s="276" t="s">
        <v>129</v>
      </c>
      <c r="I20" s="7" t="s">
        <v>90</v>
      </c>
    </row>
    <row r="21" spans="1:11" ht="18" customHeight="1" x14ac:dyDescent="0.25">
      <c r="A21" s="14">
        <f t="shared" si="1"/>
        <v>11</v>
      </c>
      <c r="B21" s="8">
        <v>45888</v>
      </c>
      <c r="C21" s="15"/>
      <c r="D21" s="10" t="s">
        <v>19</v>
      </c>
      <c r="E21" s="11"/>
      <c r="F21" s="118">
        <v>4.9000000000000004</v>
      </c>
      <c r="G21" s="114">
        <f t="shared" si="0"/>
        <v>100.8</v>
      </c>
      <c r="H21" s="276" t="s">
        <v>129</v>
      </c>
      <c r="I21" s="7" t="s">
        <v>90</v>
      </c>
    </row>
    <row r="22" spans="1:11" ht="18" customHeight="1" x14ac:dyDescent="0.25">
      <c r="A22" s="14">
        <f t="shared" si="1"/>
        <v>12</v>
      </c>
      <c r="B22" s="8">
        <v>45891</v>
      </c>
      <c r="C22" s="15"/>
      <c r="D22" s="10" t="s">
        <v>19</v>
      </c>
      <c r="E22" s="113"/>
      <c r="F22" s="116">
        <v>8.9</v>
      </c>
      <c r="G22" s="114">
        <f t="shared" si="0"/>
        <v>91.899999999999991</v>
      </c>
      <c r="H22" s="276" t="s">
        <v>129</v>
      </c>
      <c r="I22" s="7" t="s">
        <v>90</v>
      </c>
    </row>
    <row r="23" spans="1:11" ht="18" customHeight="1" x14ac:dyDescent="0.25">
      <c r="A23" s="14">
        <f t="shared" si="1"/>
        <v>13</v>
      </c>
      <c r="B23" s="8">
        <v>45892</v>
      </c>
      <c r="C23" s="15"/>
      <c r="D23" s="10" t="s">
        <v>19</v>
      </c>
      <c r="E23" s="113"/>
      <c r="F23" s="118">
        <v>5</v>
      </c>
      <c r="G23" s="114">
        <f t="shared" si="0"/>
        <v>86.899999999999991</v>
      </c>
      <c r="H23" s="276" t="s">
        <v>129</v>
      </c>
      <c r="I23" s="7" t="s">
        <v>90</v>
      </c>
      <c r="J23" s="115"/>
      <c r="K23" s="26"/>
    </row>
    <row r="24" spans="1:11" ht="18" customHeight="1" x14ac:dyDescent="0.25">
      <c r="A24" s="14">
        <f t="shared" si="1"/>
        <v>14</v>
      </c>
      <c r="B24" s="8">
        <v>45894</v>
      </c>
      <c r="C24" s="15"/>
      <c r="D24" s="10" t="s">
        <v>19</v>
      </c>
      <c r="E24" s="113"/>
      <c r="F24" s="118">
        <v>5.6</v>
      </c>
      <c r="G24" s="114">
        <f t="shared" si="0"/>
        <v>81.3</v>
      </c>
      <c r="H24" s="276" t="s">
        <v>129</v>
      </c>
      <c r="I24" s="7" t="s">
        <v>90</v>
      </c>
      <c r="J24" s="17"/>
      <c r="K24" s="428" t="s">
        <v>442</v>
      </c>
    </row>
    <row r="25" spans="1:11" ht="18" customHeight="1" x14ac:dyDescent="0.25">
      <c r="A25" s="14">
        <f t="shared" si="1"/>
        <v>15</v>
      </c>
      <c r="B25" s="8">
        <v>45895</v>
      </c>
      <c r="C25" s="15"/>
      <c r="D25" s="10" t="s">
        <v>19</v>
      </c>
      <c r="E25" s="117"/>
      <c r="F25" s="118">
        <v>2.4</v>
      </c>
      <c r="G25" s="114">
        <f t="shared" si="0"/>
        <v>78.899999999999991</v>
      </c>
      <c r="H25" s="276" t="s">
        <v>129</v>
      </c>
      <c r="I25" s="7" t="s">
        <v>90</v>
      </c>
      <c r="J25" s="17"/>
      <c r="K25" s="26"/>
    </row>
    <row r="26" spans="1:11" ht="18" customHeight="1" x14ac:dyDescent="0.25">
      <c r="A26" s="14">
        <f t="shared" si="1"/>
        <v>16</v>
      </c>
      <c r="B26" s="8"/>
      <c r="C26" s="15"/>
      <c r="D26" s="10" t="s">
        <v>19</v>
      </c>
      <c r="E26" s="117"/>
      <c r="F26" s="118"/>
      <c r="G26" s="114">
        <f t="shared" si="0"/>
        <v>78.899999999999991</v>
      </c>
      <c r="H26" s="276" t="s">
        <v>129</v>
      </c>
      <c r="I26" s="7" t="s">
        <v>90</v>
      </c>
      <c r="J26" s="17"/>
      <c r="K26" s="26"/>
    </row>
    <row r="27" spans="1:11" ht="18" customHeight="1" x14ac:dyDescent="0.25">
      <c r="A27" s="14">
        <f t="shared" si="1"/>
        <v>17</v>
      </c>
      <c r="B27" s="8"/>
      <c r="C27" s="15"/>
      <c r="D27" s="10" t="s">
        <v>19</v>
      </c>
      <c r="E27" s="117"/>
      <c r="F27" s="119"/>
      <c r="G27" s="114">
        <f t="shared" si="0"/>
        <v>78.899999999999991</v>
      </c>
      <c r="H27" s="276" t="s">
        <v>129</v>
      </c>
      <c r="I27" s="7" t="s">
        <v>90</v>
      </c>
      <c r="J27" s="17"/>
    </row>
    <row r="28" spans="1:11" ht="18" customHeight="1" x14ac:dyDescent="0.25">
      <c r="A28" s="14">
        <f t="shared" si="1"/>
        <v>18</v>
      </c>
      <c r="B28" s="8"/>
      <c r="C28" s="15"/>
      <c r="D28" s="10" t="s">
        <v>19</v>
      </c>
      <c r="E28" s="117"/>
      <c r="F28" s="119"/>
      <c r="G28" s="114">
        <f t="shared" si="0"/>
        <v>78.899999999999991</v>
      </c>
      <c r="H28" s="276" t="s">
        <v>129</v>
      </c>
      <c r="I28" s="7" t="s">
        <v>90</v>
      </c>
      <c r="J28" s="27"/>
      <c r="K28" s="26"/>
    </row>
    <row r="29" spans="1:11" ht="18" customHeight="1" x14ac:dyDescent="0.25">
      <c r="A29" s="14">
        <f t="shared" si="1"/>
        <v>19</v>
      </c>
      <c r="B29" s="8"/>
      <c r="C29" s="15"/>
      <c r="D29" s="10" t="s">
        <v>19</v>
      </c>
      <c r="E29" s="117"/>
      <c r="F29" s="119"/>
      <c r="G29" s="114">
        <f t="shared" si="0"/>
        <v>78.899999999999991</v>
      </c>
      <c r="H29" s="276" t="s">
        <v>129</v>
      </c>
      <c r="I29" s="7" t="s">
        <v>90</v>
      </c>
      <c r="J29" s="31"/>
    </row>
    <row r="30" spans="1:11" ht="18" customHeight="1" x14ac:dyDescent="0.25">
      <c r="A30" s="14">
        <f t="shared" si="1"/>
        <v>20</v>
      </c>
      <c r="B30" s="8"/>
      <c r="C30" s="15"/>
      <c r="D30" s="10" t="s">
        <v>19</v>
      </c>
      <c r="E30" s="117"/>
      <c r="F30" s="119"/>
      <c r="G30" s="114">
        <f t="shared" si="0"/>
        <v>78.899999999999991</v>
      </c>
      <c r="H30" s="276" t="s">
        <v>129</v>
      </c>
      <c r="I30" s="7" t="s">
        <v>90</v>
      </c>
      <c r="J30" s="120"/>
    </row>
    <row r="31" spans="1:11" ht="18" customHeight="1" x14ac:dyDescent="0.25">
      <c r="A31" s="14">
        <f t="shared" si="1"/>
        <v>21</v>
      </c>
      <c r="B31" s="8"/>
      <c r="C31" s="15"/>
      <c r="D31" s="10" t="s">
        <v>19</v>
      </c>
      <c r="E31" s="117"/>
      <c r="F31" s="27"/>
      <c r="G31" s="114">
        <f t="shared" si="0"/>
        <v>78.899999999999991</v>
      </c>
      <c r="H31" s="276" t="s">
        <v>129</v>
      </c>
      <c r="I31" s="7" t="s">
        <v>90</v>
      </c>
    </row>
    <row r="32" spans="1:11" ht="18" customHeight="1" x14ac:dyDescent="0.25">
      <c r="A32" s="14">
        <f t="shared" si="1"/>
        <v>22</v>
      </c>
      <c r="B32" s="8"/>
      <c r="C32" s="15"/>
      <c r="D32" s="10" t="s">
        <v>19</v>
      </c>
      <c r="E32" s="117"/>
      <c r="F32" s="27"/>
      <c r="G32" s="114">
        <f t="shared" si="0"/>
        <v>78.899999999999991</v>
      </c>
      <c r="H32" s="276" t="s">
        <v>129</v>
      </c>
      <c r="I32" s="7" t="s">
        <v>90</v>
      </c>
    </row>
    <row r="33" spans="1:9" ht="18" customHeight="1" x14ac:dyDescent="0.25">
      <c r="A33" s="14">
        <f t="shared" si="1"/>
        <v>23</v>
      </c>
      <c r="B33" s="8"/>
      <c r="C33" s="15"/>
      <c r="D33" s="10" t="s">
        <v>19</v>
      </c>
      <c r="E33" s="117"/>
      <c r="F33" s="27"/>
      <c r="G33" s="114">
        <f t="shared" si="0"/>
        <v>78.899999999999991</v>
      </c>
      <c r="H33" s="276" t="s">
        <v>129</v>
      </c>
      <c r="I33" s="7" t="s">
        <v>90</v>
      </c>
    </row>
    <row r="34" spans="1:9" ht="18" customHeight="1" x14ac:dyDescent="0.25">
      <c r="A34" s="14">
        <f t="shared" si="1"/>
        <v>24</v>
      </c>
      <c r="B34" s="8"/>
      <c r="C34" s="15"/>
      <c r="D34" s="10" t="s">
        <v>19</v>
      </c>
      <c r="E34" s="117"/>
      <c r="F34" s="119"/>
      <c r="G34" s="114">
        <f t="shared" si="0"/>
        <v>78.899999999999991</v>
      </c>
      <c r="H34" s="276" t="s">
        <v>129</v>
      </c>
      <c r="I34" s="7" t="s">
        <v>90</v>
      </c>
    </row>
    <row r="35" spans="1:9" ht="18" customHeight="1" x14ac:dyDescent="0.25">
      <c r="A35" s="14">
        <f t="shared" si="1"/>
        <v>25</v>
      </c>
      <c r="B35" s="8"/>
      <c r="C35" s="15"/>
      <c r="D35" s="10" t="s">
        <v>19</v>
      </c>
      <c r="E35" s="117"/>
      <c r="F35" s="27"/>
      <c r="G35" s="114">
        <f t="shared" si="0"/>
        <v>78.899999999999991</v>
      </c>
      <c r="H35" s="276" t="s">
        <v>129</v>
      </c>
      <c r="I35" s="7"/>
    </row>
    <row r="36" spans="1:9" ht="18" customHeight="1" x14ac:dyDescent="0.25">
      <c r="A36" s="14">
        <f t="shared" si="1"/>
        <v>26</v>
      </c>
      <c r="B36" s="8"/>
      <c r="C36" s="15"/>
      <c r="D36" s="10" t="s">
        <v>19</v>
      </c>
      <c r="E36" s="117"/>
      <c r="F36" s="27"/>
      <c r="G36" s="114">
        <f t="shared" si="0"/>
        <v>78.899999999999991</v>
      </c>
      <c r="H36" s="276" t="s">
        <v>129</v>
      </c>
      <c r="I36" s="7" t="s">
        <v>90</v>
      </c>
    </row>
    <row r="37" spans="1:9" ht="18" customHeight="1" x14ac:dyDescent="0.25">
      <c r="A37" s="14">
        <f t="shared" si="1"/>
        <v>27</v>
      </c>
      <c r="B37" s="8"/>
      <c r="C37" s="15"/>
      <c r="D37" s="10" t="s">
        <v>19</v>
      </c>
      <c r="E37" s="117"/>
      <c r="F37" s="27"/>
      <c r="G37" s="114">
        <f t="shared" si="0"/>
        <v>78.899999999999991</v>
      </c>
      <c r="H37" s="276" t="s">
        <v>129</v>
      </c>
      <c r="I37" s="7" t="s">
        <v>90</v>
      </c>
    </row>
    <row r="38" spans="1:9" ht="18" customHeight="1" x14ac:dyDescent="0.25">
      <c r="A38" s="14">
        <f t="shared" si="1"/>
        <v>28</v>
      </c>
      <c r="B38" s="8"/>
      <c r="C38" s="15"/>
      <c r="D38" s="10" t="s">
        <v>19</v>
      </c>
      <c r="E38" s="117"/>
      <c r="F38" s="27"/>
      <c r="G38" s="114">
        <f t="shared" si="0"/>
        <v>78.899999999999991</v>
      </c>
      <c r="H38" s="276" t="s">
        <v>129</v>
      </c>
      <c r="I38" s="7" t="s">
        <v>90</v>
      </c>
    </row>
    <row r="39" spans="1:9" ht="18" customHeight="1" x14ac:dyDescent="0.25">
      <c r="A39" s="14">
        <f t="shared" si="1"/>
        <v>29</v>
      </c>
      <c r="B39" s="8"/>
      <c r="C39" s="15"/>
      <c r="D39" s="10" t="s">
        <v>19</v>
      </c>
      <c r="E39" s="117"/>
      <c r="F39" s="119"/>
      <c r="G39" s="114">
        <f t="shared" si="0"/>
        <v>78.899999999999991</v>
      </c>
      <c r="H39" s="276" t="s">
        <v>129</v>
      </c>
      <c r="I39" s="7" t="s">
        <v>90</v>
      </c>
    </row>
    <row r="40" spans="1:9" ht="18" customHeight="1" x14ac:dyDescent="0.25">
      <c r="A40" s="14">
        <f t="shared" si="1"/>
        <v>30</v>
      </c>
      <c r="B40" s="8"/>
      <c r="C40" s="15"/>
      <c r="D40" s="10" t="s">
        <v>19</v>
      </c>
      <c r="E40" s="117"/>
      <c r="F40" s="119"/>
      <c r="G40" s="114">
        <f t="shared" si="0"/>
        <v>78.899999999999991</v>
      </c>
      <c r="H40" s="276" t="s">
        <v>129</v>
      </c>
      <c r="I40" s="7" t="s">
        <v>90</v>
      </c>
    </row>
    <row r="41" spans="1:9" ht="18" customHeight="1" x14ac:dyDescent="0.25">
      <c r="A41" s="14">
        <f t="shared" si="1"/>
        <v>31</v>
      </c>
      <c r="B41" s="8"/>
      <c r="C41" s="15"/>
      <c r="D41" s="10" t="s">
        <v>19</v>
      </c>
      <c r="E41" s="117"/>
      <c r="F41" s="27"/>
      <c r="G41" s="114">
        <f t="shared" si="0"/>
        <v>78.899999999999991</v>
      </c>
      <c r="H41" s="276" t="s">
        <v>129</v>
      </c>
      <c r="I41" s="7" t="s">
        <v>90</v>
      </c>
    </row>
    <row r="42" spans="1:9" ht="18" customHeight="1" x14ac:dyDescent="0.25">
      <c r="A42" s="14">
        <f t="shared" si="1"/>
        <v>32</v>
      </c>
      <c r="B42" s="8"/>
      <c r="C42" s="15"/>
      <c r="D42" s="10" t="s">
        <v>19</v>
      </c>
      <c r="E42" s="117"/>
      <c r="F42" s="27"/>
      <c r="G42" s="114">
        <f t="shared" si="0"/>
        <v>78.899999999999991</v>
      </c>
      <c r="H42" s="276" t="s">
        <v>129</v>
      </c>
      <c r="I42" s="7" t="s">
        <v>90</v>
      </c>
    </row>
    <row r="43" spans="1:9" ht="18" customHeight="1" x14ac:dyDescent="0.25">
      <c r="A43" s="14">
        <f t="shared" si="1"/>
        <v>33</v>
      </c>
      <c r="B43" s="8"/>
      <c r="C43" s="15"/>
      <c r="D43" s="10" t="s">
        <v>19</v>
      </c>
      <c r="E43" s="117"/>
      <c r="F43" s="119"/>
      <c r="G43" s="114">
        <f t="shared" si="0"/>
        <v>78.899999999999991</v>
      </c>
      <c r="H43" s="276" t="s">
        <v>129</v>
      </c>
      <c r="I43" s="7" t="s">
        <v>90</v>
      </c>
    </row>
    <row r="44" spans="1:9" ht="18" customHeight="1" x14ac:dyDescent="0.25">
      <c r="A44" s="14">
        <f t="shared" si="1"/>
        <v>34</v>
      </c>
      <c r="B44" s="8"/>
      <c r="C44" s="15"/>
      <c r="D44" s="10" t="s">
        <v>19</v>
      </c>
      <c r="F44" s="27"/>
      <c r="G44" s="114">
        <f t="shared" si="0"/>
        <v>78.899999999999991</v>
      </c>
      <c r="H44" s="276" t="s">
        <v>129</v>
      </c>
      <c r="I44" s="7" t="s">
        <v>90</v>
      </c>
    </row>
    <row r="45" spans="1:9" ht="18" customHeight="1" x14ac:dyDescent="0.25">
      <c r="A45" s="14">
        <f t="shared" si="1"/>
        <v>35</v>
      </c>
      <c r="B45" s="8"/>
      <c r="C45" s="15"/>
      <c r="D45" s="10" t="s">
        <v>19</v>
      </c>
      <c r="E45" s="117"/>
      <c r="F45" s="118"/>
      <c r="G45" s="114">
        <f t="shared" si="0"/>
        <v>78.899999999999991</v>
      </c>
      <c r="H45" s="276" t="s">
        <v>129</v>
      </c>
      <c r="I45" s="7" t="s">
        <v>90</v>
      </c>
    </row>
    <row r="46" spans="1:9" ht="18" customHeight="1" x14ac:dyDescent="0.25">
      <c r="A46" s="14">
        <f t="shared" si="1"/>
        <v>36</v>
      </c>
      <c r="B46" s="8"/>
      <c r="C46" s="15"/>
      <c r="D46" s="10" t="s">
        <v>19</v>
      </c>
      <c r="E46" s="117"/>
      <c r="F46" s="118"/>
      <c r="G46" s="114">
        <f t="shared" si="0"/>
        <v>78.899999999999991</v>
      </c>
      <c r="H46" s="276" t="s">
        <v>129</v>
      </c>
      <c r="I46" s="7" t="s">
        <v>90</v>
      </c>
    </row>
    <row r="47" spans="1:9" ht="18" customHeight="1" x14ac:dyDescent="0.25">
      <c r="A47" s="14">
        <f t="shared" si="1"/>
        <v>37</v>
      </c>
      <c r="B47" s="8"/>
      <c r="C47" s="15"/>
      <c r="D47" s="10" t="s">
        <v>19</v>
      </c>
      <c r="E47" s="117"/>
      <c r="F47" s="118"/>
      <c r="G47" s="114">
        <f t="shared" si="0"/>
        <v>78.899999999999991</v>
      </c>
      <c r="H47" s="276" t="s">
        <v>129</v>
      </c>
      <c r="I47" s="7" t="s">
        <v>90</v>
      </c>
    </row>
    <row r="48" spans="1:9" ht="18" customHeight="1" x14ac:dyDescent="0.25">
      <c r="A48" s="14">
        <f t="shared" si="1"/>
        <v>38</v>
      </c>
      <c r="B48" s="8"/>
      <c r="C48" s="15"/>
      <c r="D48" s="10" t="s">
        <v>19</v>
      </c>
      <c r="E48" s="117"/>
      <c r="F48" s="118"/>
      <c r="G48" s="114">
        <f t="shared" si="0"/>
        <v>78.899999999999991</v>
      </c>
      <c r="H48" s="276" t="s">
        <v>129</v>
      </c>
      <c r="I48" s="7" t="s">
        <v>90</v>
      </c>
    </row>
    <row r="49" spans="1:9" ht="18" customHeight="1" x14ac:dyDescent="0.25">
      <c r="A49" s="14">
        <f t="shared" si="1"/>
        <v>39</v>
      </c>
      <c r="B49" s="8"/>
      <c r="C49" s="15"/>
      <c r="D49" s="10" t="s">
        <v>19</v>
      </c>
      <c r="E49" s="117"/>
      <c r="F49" s="119"/>
      <c r="G49" s="114">
        <f t="shared" si="0"/>
        <v>78.899999999999991</v>
      </c>
      <c r="H49" s="276" t="s">
        <v>129</v>
      </c>
      <c r="I49" s="7" t="s">
        <v>90</v>
      </c>
    </row>
    <row r="50" spans="1:9" ht="18" customHeight="1" x14ac:dyDescent="0.25">
      <c r="A50" s="14">
        <f t="shared" si="1"/>
        <v>40</v>
      </c>
      <c r="B50" s="8"/>
      <c r="C50" s="15"/>
      <c r="D50" s="10" t="s">
        <v>19</v>
      </c>
      <c r="E50" s="117"/>
      <c r="F50" s="118"/>
      <c r="G50" s="114">
        <f t="shared" si="0"/>
        <v>78.899999999999991</v>
      </c>
      <c r="H50" s="276" t="s">
        <v>129</v>
      </c>
      <c r="I50" s="7" t="s">
        <v>90</v>
      </c>
    </row>
    <row r="51" spans="1:9" ht="18" customHeight="1" x14ac:dyDescent="0.25">
      <c r="A51" s="14">
        <f t="shared" si="1"/>
        <v>41</v>
      </c>
      <c r="B51" s="8"/>
      <c r="C51" s="15"/>
      <c r="D51" s="10" t="s">
        <v>19</v>
      </c>
      <c r="E51" s="117"/>
      <c r="F51" s="118"/>
      <c r="G51" s="114">
        <f t="shared" si="0"/>
        <v>78.899999999999991</v>
      </c>
      <c r="H51" s="276" t="s">
        <v>129</v>
      </c>
      <c r="I51" s="7" t="s">
        <v>90</v>
      </c>
    </row>
    <row r="52" spans="1:9" ht="18" customHeight="1" x14ac:dyDescent="0.25">
      <c r="A52" s="14">
        <f t="shared" si="1"/>
        <v>42</v>
      </c>
      <c r="B52" s="8"/>
      <c r="C52" s="15"/>
      <c r="D52" s="10" t="s">
        <v>19</v>
      </c>
      <c r="E52" s="117"/>
      <c r="F52" s="27"/>
      <c r="G52" s="114">
        <f t="shared" si="0"/>
        <v>78.899999999999991</v>
      </c>
      <c r="H52" s="276" t="s">
        <v>129</v>
      </c>
      <c r="I52" s="7" t="s">
        <v>90</v>
      </c>
    </row>
    <row r="53" spans="1:9" ht="18" customHeight="1" x14ac:dyDescent="0.25">
      <c r="A53" s="14">
        <f t="shared" si="1"/>
        <v>43</v>
      </c>
      <c r="B53" s="8"/>
      <c r="C53" s="15"/>
      <c r="D53" s="10" t="s">
        <v>19</v>
      </c>
      <c r="E53" s="117"/>
      <c r="F53" s="27"/>
      <c r="G53" s="114">
        <f t="shared" si="0"/>
        <v>78.899999999999991</v>
      </c>
      <c r="H53" s="276" t="s">
        <v>129</v>
      </c>
      <c r="I53" s="7" t="s">
        <v>90</v>
      </c>
    </row>
    <row r="54" spans="1:9" ht="18" customHeight="1" x14ac:dyDescent="0.25">
      <c r="A54" s="14">
        <f t="shared" si="1"/>
        <v>44</v>
      </c>
      <c r="B54" s="8"/>
      <c r="C54" s="15"/>
      <c r="D54" s="10" t="s">
        <v>19</v>
      </c>
      <c r="E54" s="117"/>
      <c r="F54" s="27"/>
      <c r="G54" s="114">
        <f t="shared" si="0"/>
        <v>78.899999999999991</v>
      </c>
      <c r="H54" s="276" t="s">
        <v>129</v>
      </c>
      <c r="I54" s="7" t="s">
        <v>90</v>
      </c>
    </row>
    <row r="55" spans="1:9" ht="18" customHeight="1" x14ac:dyDescent="0.25">
      <c r="A55" s="14">
        <f t="shared" si="1"/>
        <v>45</v>
      </c>
      <c r="B55" s="8"/>
      <c r="C55" s="15"/>
      <c r="D55" s="10" t="s">
        <v>19</v>
      </c>
      <c r="E55" s="117"/>
      <c r="F55" s="27"/>
      <c r="G55" s="114">
        <f t="shared" si="0"/>
        <v>78.899999999999991</v>
      </c>
      <c r="H55" s="276" t="s">
        <v>129</v>
      </c>
      <c r="I55" s="7" t="s">
        <v>90</v>
      </c>
    </row>
    <row r="56" spans="1:9" ht="18" customHeight="1" x14ac:dyDescent="0.25">
      <c r="A56" s="14">
        <f t="shared" si="1"/>
        <v>46</v>
      </c>
      <c r="B56" s="8"/>
      <c r="C56" s="15"/>
      <c r="D56" s="10" t="s">
        <v>19</v>
      </c>
      <c r="E56" s="117"/>
      <c r="F56" s="27"/>
      <c r="G56" s="114">
        <f t="shared" si="0"/>
        <v>78.899999999999991</v>
      </c>
      <c r="H56" s="276" t="s">
        <v>129</v>
      </c>
      <c r="I56" s="7" t="s">
        <v>90</v>
      </c>
    </row>
    <row r="57" spans="1:9" ht="18" customHeight="1" x14ac:dyDescent="0.25">
      <c r="A57" s="14">
        <f t="shared" si="1"/>
        <v>47</v>
      </c>
      <c r="B57" s="8"/>
      <c r="C57" s="15"/>
      <c r="D57" s="10" t="s">
        <v>19</v>
      </c>
      <c r="E57" s="117"/>
      <c r="F57" s="119"/>
      <c r="G57" s="114">
        <f t="shared" si="0"/>
        <v>78.899999999999991</v>
      </c>
      <c r="H57" s="276" t="s">
        <v>129</v>
      </c>
      <c r="I57" s="7" t="s">
        <v>90</v>
      </c>
    </row>
    <row r="58" spans="1:9" ht="18" customHeight="1" x14ac:dyDescent="0.25">
      <c r="A58" s="14">
        <f t="shared" si="1"/>
        <v>48</v>
      </c>
      <c r="B58" s="8"/>
      <c r="C58" s="15"/>
      <c r="D58" s="10" t="s">
        <v>19</v>
      </c>
      <c r="E58" s="117"/>
      <c r="F58" s="119"/>
      <c r="G58" s="114">
        <f t="shared" si="0"/>
        <v>78.899999999999991</v>
      </c>
      <c r="H58" s="276" t="s">
        <v>129</v>
      </c>
      <c r="I58" s="7" t="s">
        <v>90</v>
      </c>
    </row>
    <row r="59" spans="1:9" ht="18" customHeight="1" x14ac:dyDescent="0.25">
      <c r="A59" s="14">
        <f t="shared" si="1"/>
        <v>49</v>
      </c>
      <c r="B59" s="8"/>
      <c r="C59" s="15"/>
      <c r="D59" s="10" t="s">
        <v>19</v>
      </c>
      <c r="E59" s="117"/>
      <c r="F59" s="119"/>
      <c r="G59" s="114">
        <f t="shared" si="0"/>
        <v>78.899999999999991</v>
      </c>
      <c r="H59" s="276" t="s">
        <v>129</v>
      </c>
      <c r="I59" s="7" t="s">
        <v>90</v>
      </c>
    </row>
    <row r="60" spans="1:9" ht="18" customHeight="1" x14ac:dyDescent="0.25">
      <c r="A60" s="14">
        <f t="shared" si="1"/>
        <v>50</v>
      </c>
      <c r="B60" s="8"/>
      <c r="C60" s="15"/>
      <c r="D60" s="10" t="s">
        <v>19</v>
      </c>
      <c r="E60" s="117"/>
      <c r="F60" s="27"/>
      <c r="G60" s="114">
        <f t="shared" si="0"/>
        <v>78.899999999999991</v>
      </c>
      <c r="H60" s="276" t="s">
        <v>129</v>
      </c>
      <c r="I60" s="7"/>
    </row>
    <row r="61" spans="1:9" ht="18" customHeight="1" x14ac:dyDescent="0.25">
      <c r="A61" s="14">
        <f t="shared" si="1"/>
        <v>51</v>
      </c>
      <c r="B61" s="8"/>
      <c r="C61" s="15"/>
      <c r="D61" s="10" t="s">
        <v>19</v>
      </c>
      <c r="E61" s="117"/>
      <c r="F61" s="27"/>
      <c r="G61" s="114">
        <f t="shared" si="0"/>
        <v>78.899999999999991</v>
      </c>
      <c r="H61" s="276" t="s">
        <v>129</v>
      </c>
      <c r="I61" s="7"/>
    </row>
    <row r="62" spans="1:9" ht="18" customHeight="1" x14ac:dyDescent="0.25">
      <c r="A62" s="14">
        <f t="shared" si="1"/>
        <v>52</v>
      </c>
      <c r="B62" s="8"/>
      <c r="C62" s="15"/>
      <c r="D62" s="10" t="s">
        <v>19</v>
      </c>
      <c r="E62" s="117"/>
      <c r="F62" s="119"/>
      <c r="G62" s="114">
        <f t="shared" si="0"/>
        <v>78.899999999999991</v>
      </c>
      <c r="H62" s="276" t="s">
        <v>129</v>
      </c>
      <c r="I62" s="7"/>
    </row>
    <row r="63" spans="1:9" ht="18" customHeight="1" x14ac:dyDescent="0.25">
      <c r="A63" s="14">
        <f t="shared" si="1"/>
        <v>53</v>
      </c>
      <c r="B63" s="8"/>
      <c r="C63" s="15"/>
      <c r="D63" s="10" t="s">
        <v>19</v>
      </c>
      <c r="E63" s="117"/>
      <c r="F63" s="27"/>
      <c r="G63" s="114">
        <f t="shared" si="0"/>
        <v>78.899999999999991</v>
      </c>
      <c r="H63" s="276" t="s">
        <v>129</v>
      </c>
      <c r="I63" s="7"/>
    </row>
    <row r="64" spans="1:9" ht="18" customHeight="1" x14ac:dyDescent="0.25">
      <c r="A64" s="14">
        <f t="shared" si="1"/>
        <v>54</v>
      </c>
      <c r="B64" s="8"/>
      <c r="C64" s="15"/>
      <c r="D64" s="10" t="s">
        <v>19</v>
      </c>
      <c r="E64" s="117"/>
      <c r="F64" s="27"/>
      <c r="G64" s="114">
        <f t="shared" si="0"/>
        <v>78.899999999999991</v>
      </c>
      <c r="H64" s="276" t="s">
        <v>129</v>
      </c>
      <c r="I64" s="7"/>
    </row>
    <row r="65" spans="1:9" ht="18" customHeight="1" x14ac:dyDescent="0.25">
      <c r="A65" s="14">
        <f t="shared" si="1"/>
        <v>55</v>
      </c>
      <c r="B65" s="8"/>
      <c r="C65" s="15"/>
      <c r="D65" s="10" t="s">
        <v>19</v>
      </c>
      <c r="E65" s="117"/>
      <c r="F65" s="27"/>
      <c r="G65" s="114">
        <f t="shared" si="0"/>
        <v>78.899999999999991</v>
      </c>
      <c r="H65" s="276" t="s">
        <v>129</v>
      </c>
      <c r="I65" s="7"/>
    </row>
    <row r="66" spans="1:9" ht="18" customHeight="1" x14ac:dyDescent="0.25">
      <c r="A66" s="14">
        <f t="shared" si="1"/>
        <v>56</v>
      </c>
      <c r="B66" s="8"/>
      <c r="C66" s="15"/>
      <c r="D66" s="10" t="s">
        <v>19</v>
      </c>
      <c r="E66" s="117"/>
      <c r="F66" s="27"/>
      <c r="G66" s="114">
        <f t="shared" si="0"/>
        <v>78.899999999999991</v>
      </c>
      <c r="H66" s="276" t="s">
        <v>129</v>
      </c>
      <c r="I66" s="7"/>
    </row>
    <row r="67" spans="1:9" ht="18" customHeight="1" x14ac:dyDescent="0.25">
      <c r="A67" s="14">
        <f t="shared" si="1"/>
        <v>57</v>
      </c>
      <c r="B67" s="8"/>
      <c r="C67" s="15"/>
      <c r="D67" s="10" t="s">
        <v>19</v>
      </c>
      <c r="E67" s="117"/>
      <c r="F67" s="27"/>
      <c r="G67" s="114">
        <f t="shared" si="0"/>
        <v>78.899999999999991</v>
      </c>
      <c r="H67" s="276" t="s">
        <v>129</v>
      </c>
      <c r="I67" s="7"/>
    </row>
    <row r="68" spans="1:9" ht="18" customHeight="1" x14ac:dyDescent="0.25">
      <c r="A68" s="14">
        <f t="shared" si="1"/>
        <v>58</v>
      </c>
      <c r="B68" s="8"/>
      <c r="C68" s="15"/>
      <c r="D68" s="10" t="s">
        <v>19</v>
      </c>
      <c r="E68" s="117"/>
      <c r="F68" s="27"/>
      <c r="G68" s="114">
        <f t="shared" si="0"/>
        <v>78.899999999999991</v>
      </c>
      <c r="H68" s="276" t="s">
        <v>129</v>
      </c>
      <c r="I68" s="7"/>
    </row>
    <row r="69" spans="1:9" ht="18" customHeight="1" x14ac:dyDescent="0.25">
      <c r="A69" s="14">
        <f t="shared" si="1"/>
        <v>59</v>
      </c>
      <c r="B69" s="8"/>
      <c r="C69" s="15"/>
      <c r="D69" s="10" t="s">
        <v>19</v>
      </c>
      <c r="E69" s="117"/>
      <c r="F69" s="27"/>
      <c r="G69" s="114">
        <f t="shared" si="0"/>
        <v>78.899999999999991</v>
      </c>
      <c r="H69" s="276" t="s">
        <v>129</v>
      </c>
      <c r="I69" s="7"/>
    </row>
    <row r="70" spans="1:9" ht="18" customHeight="1" x14ac:dyDescent="0.25">
      <c r="A70" s="14">
        <f t="shared" si="1"/>
        <v>60</v>
      </c>
      <c r="B70" s="8"/>
      <c r="C70" s="15"/>
      <c r="D70" s="10" t="s">
        <v>19</v>
      </c>
      <c r="E70" s="117"/>
      <c r="F70" s="27"/>
      <c r="G70" s="114">
        <f t="shared" si="0"/>
        <v>78.899999999999991</v>
      </c>
      <c r="H70" s="276" t="s">
        <v>129</v>
      </c>
      <c r="I70" s="7"/>
    </row>
    <row r="71" spans="1:9" ht="18" customHeight="1" x14ac:dyDescent="0.25">
      <c r="A71" s="14">
        <f t="shared" si="1"/>
        <v>61</v>
      </c>
      <c r="B71" s="8"/>
      <c r="C71" s="15"/>
      <c r="D71" s="10" t="s">
        <v>19</v>
      </c>
      <c r="E71" s="117"/>
      <c r="F71" s="27"/>
      <c r="G71" s="114">
        <f t="shared" si="0"/>
        <v>78.899999999999991</v>
      </c>
      <c r="H71" s="276" t="s">
        <v>129</v>
      </c>
      <c r="I71" s="7"/>
    </row>
    <row r="72" spans="1:9" ht="18" customHeight="1" x14ac:dyDescent="0.25">
      <c r="A72" s="14">
        <f t="shared" si="1"/>
        <v>62</v>
      </c>
      <c r="B72" s="8"/>
      <c r="C72" s="15"/>
      <c r="D72" s="10" t="s">
        <v>19</v>
      </c>
      <c r="E72" s="117"/>
      <c r="F72" s="27"/>
      <c r="G72" s="114">
        <f t="shared" si="0"/>
        <v>78.899999999999991</v>
      </c>
      <c r="H72" s="276" t="s">
        <v>129</v>
      </c>
      <c r="I72" s="7"/>
    </row>
    <row r="73" spans="1:9" ht="18" customHeight="1" x14ac:dyDescent="0.25">
      <c r="A73" s="14">
        <f t="shared" si="1"/>
        <v>63</v>
      </c>
      <c r="B73" s="8"/>
      <c r="C73" s="15"/>
      <c r="D73" s="10" t="s">
        <v>19</v>
      </c>
      <c r="E73" s="117"/>
      <c r="F73" s="27"/>
      <c r="G73" s="114">
        <f t="shared" si="0"/>
        <v>78.899999999999991</v>
      </c>
      <c r="H73" s="276" t="s">
        <v>129</v>
      </c>
      <c r="I73" s="7"/>
    </row>
    <row r="74" spans="1:9" ht="18" customHeight="1" x14ac:dyDescent="0.25">
      <c r="A74" s="14">
        <f t="shared" si="1"/>
        <v>64</v>
      </c>
      <c r="B74" s="8"/>
      <c r="C74" s="15"/>
      <c r="D74" s="10" t="s">
        <v>19</v>
      </c>
      <c r="E74" s="117"/>
      <c r="F74" s="27"/>
      <c r="G74" s="114">
        <f t="shared" ref="G74:G90" si="2">+G73+E74-F74</f>
        <v>78.899999999999991</v>
      </c>
      <c r="H74" s="276" t="s">
        <v>129</v>
      </c>
      <c r="I74" s="7"/>
    </row>
    <row r="75" spans="1:9" ht="18" customHeight="1" x14ac:dyDescent="0.25">
      <c r="A75" s="14">
        <f t="shared" ref="A75:A90" si="3">+A74+1</f>
        <v>65</v>
      </c>
      <c r="B75" s="8"/>
      <c r="C75" s="15"/>
      <c r="D75" s="10" t="s">
        <v>19</v>
      </c>
      <c r="E75" s="117"/>
      <c r="F75" s="27"/>
      <c r="G75" s="114">
        <f t="shared" si="2"/>
        <v>78.899999999999991</v>
      </c>
      <c r="H75" s="276" t="s">
        <v>129</v>
      </c>
      <c r="I75" s="7"/>
    </row>
    <row r="76" spans="1:9" ht="18" customHeight="1" x14ac:dyDescent="0.25">
      <c r="A76" s="14">
        <f t="shared" si="3"/>
        <v>66</v>
      </c>
      <c r="B76" s="8"/>
      <c r="C76" s="15"/>
      <c r="D76" s="10" t="s">
        <v>19</v>
      </c>
      <c r="E76" s="117"/>
      <c r="F76" s="27"/>
      <c r="G76" s="114">
        <f t="shared" si="2"/>
        <v>78.899999999999991</v>
      </c>
      <c r="H76" s="276" t="s">
        <v>129</v>
      </c>
      <c r="I76" s="7"/>
    </row>
    <row r="77" spans="1:9" ht="18" customHeight="1" x14ac:dyDescent="0.25">
      <c r="A77" s="14">
        <f t="shared" si="3"/>
        <v>67</v>
      </c>
      <c r="B77" s="8"/>
      <c r="C77" s="15"/>
      <c r="D77" s="10" t="s">
        <v>19</v>
      </c>
      <c r="E77" s="117"/>
      <c r="F77" s="27"/>
      <c r="G77" s="114">
        <f t="shared" si="2"/>
        <v>78.899999999999991</v>
      </c>
      <c r="H77" s="276" t="s">
        <v>129</v>
      </c>
      <c r="I77" s="7"/>
    </row>
    <row r="78" spans="1:9" ht="18" customHeight="1" x14ac:dyDescent="0.25">
      <c r="A78" s="14">
        <f t="shared" si="3"/>
        <v>68</v>
      </c>
      <c r="B78" s="8"/>
      <c r="C78" s="15"/>
      <c r="D78" s="10" t="s">
        <v>19</v>
      </c>
      <c r="E78" s="117"/>
      <c r="F78" s="27"/>
      <c r="G78" s="114">
        <f t="shared" si="2"/>
        <v>78.899999999999991</v>
      </c>
      <c r="H78" s="276" t="s">
        <v>129</v>
      </c>
      <c r="I78" s="7"/>
    </row>
    <row r="79" spans="1:9" ht="18" customHeight="1" x14ac:dyDescent="0.25">
      <c r="A79" s="14"/>
      <c r="B79" s="8"/>
      <c r="C79" s="15"/>
      <c r="D79" s="10" t="s">
        <v>19</v>
      </c>
      <c r="E79" s="117"/>
      <c r="F79" s="27"/>
      <c r="G79" s="114">
        <f t="shared" si="2"/>
        <v>78.899999999999991</v>
      </c>
      <c r="H79" s="276" t="s">
        <v>129</v>
      </c>
      <c r="I79" s="7"/>
    </row>
    <row r="80" spans="1:9" ht="18" customHeight="1" x14ac:dyDescent="0.25">
      <c r="A80" s="14"/>
      <c r="B80" s="8"/>
      <c r="C80" s="15"/>
      <c r="D80" s="10" t="s">
        <v>19</v>
      </c>
      <c r="E80" s="117"/>
      <c r="F80" s="27"/>
      <c r="G80" s="114">
        <f t="shared" si="2"/>
        <v>78.899999999999991</v>
      </c>
      <c r="H80" s="276" t="s">
        <v>129</v>
      </c>
      <c r="I80" s="7"/>
    </row>
    <row r="81" spans="1:9" ht="18" customHeight="1" x14ac:dyDescent="0.25">
      <c r="A81" s="14"/>
      <c r="B81" s="8"/>
      <c r="C81" s="15"/>
      <c r="D81" s="10" t="s">
        <v>19</v>
      </c>
      <c r="E81" s="117"/>
      <c r="F81" s="27"/>
      <c r="G81" s="114">
        <f t="shared" si="2"/>
        <v>78.899999999999991</v>
      </c>
      <c r="H81" s="276" t="s">
        <v>129</v>
      </c>
      <c r="I81" s="7"/>
    </row>
    <row r="82" spans="1:9" ht="18" customHeight="1" x14ac:dyDescent="0.25">
      <c r="A82" s="14"/>
      <c r="B82" s="8"/>
      <c r="C82" s="15"/>
      <c r="D82" s="10" t="s">
        <v>19</v>
      </c>
      <c r="E82" s="117"/>
      <c r="F82" s="27"/>
      <c r="G82" s="114">
        <f t="shared" si="2"/>
        <v>78.899999999999991</v>
      </c>
      <c r="H82" s="276" t="s">
        <v>129</v>
      </c>
      <c r="I82" s="7"/>
    </row>
    <row r="83" spans="1:9" ht="18" customHeight="1" x14ac:dyDescent="0.25">
      <c r="A83" s="14"/>
      <c r="B83" s="8"/>
      <c r="C83" s="15"/>
      <c r="D83" s="10" t="s">
        <v>19</v>
      </c>
      <c r="E83" s="117"/>
      <c r="F83" s="27"/>
      <c r="G83" s="114">
        <f t="shared" si="2"/>
        <v>78.899999999999991</v>
      </c>
      <c r="H83" s="276" t="s">
        <v>129</v>
      </c>
      <c r="I83" s="7"/>
    </row>
    <row r="84" spans="1:9" ht="18" customHeight="1" x14ac:dyDescent="0.25">
      <c r="A84" s="14"/>
      <c r="B84" s="8"/>
      <c r="C84" s="15"/>
      <c r="D84" s="10" t="s">
        <v>19</v>
      </c>
      <c r="E84" s="117"/>
      <c r="F84" s="27"/>
      <c r="G84" s="114">
        <f t="shared" si="2"/>
        <v>78.899999999999991</v>
      </c>
      <c r="H84" s="276" t="s">
        <v>129</v>
      </c>
      <c r="I84" s="7"/>
    </row>
    <row r="85" spans="1:9" ht="18" customHeight="1" x14ac:dyDescent="0.25">
      <c r="A85" s="14"/>
      <c r="B85" s="8"/>
      <c r="C85" s="15"/>
      <c r="D85" s="10" t="s">
        <v>19</v>
      </c>
      <c r="E85" s="117"/>
      <c r="F85" s="27"/>
      <c r="G85" s="114">
        <f t="shared" si="2"/>
        <v>78.899999999999991</v>
      </c>
      <c r="H85" s="276" t="s">
        <v>129</v>
      </c>
      <c r="I85" s="7"/>
    </row>
    <row r="86" spans="1:9" ht="18" customHeight="1" x14ac:dyDescent="0.25">
      <c r="A86" s="14"/>
      <c r="B86" s="8"/>
      <c r="C86" s="15"/>
      <c r="D86" s="10" t="s">
        <v>19</v>
      </c>
      <c r="E86" s="117"/>
      <c r="F86" s="27"/>
      <c r="G86" s="114">
        <f t="shared" si="2"/>
        <v>78.899999999999991</v>
      </c>
      <c r="H86" s="276" t="s">
        <v>129</v>
      </c>
      <c r="I86" s="7"/>
    </row>
    <row r="87" spans="1:9" ht="18" customHeight="1" x14ac:dyDescent="0.25">
      <c r="A87" s="14"/>
      <c r="B87" s="8"/>
      <c r="C87" s="15"/>
      <c r="D87" s="10" t="s">
        <v>19</v>
      </c>
      <c r="E87" s="117"/>
      <c r="F87" s="27"/>
      <c r="G87" s="114">
        <f t="shared" si="2"/>
        <v>78.899999999999991</v>
      </c>
      <c r="H87" s="276"/>
      <c r="I87" s="7"/>
    </row>
    <row r="88" spans="1:9" ht="18" customHeight="1" x14ac:dyDescent="0.25">
      <c r="A88" s="14">
        <f>+A78+1</f>
        <v>69</v>
      </c>
      <c r="B88" s="8"/>
      <c r="C88" s="15"/>
      <c r="D88" s="10"/>
      <c r="E88" s="117"/>
      <c r="F88" s="27"/>
      <c r="G88" s="114">
        <f t="shared" si="2"/>
        <v>78.899999999999991</v>
      </c>
      <c r="H88" s="28"/>
      <c r="I88" s="29"/>
    </row>
    <row r="89" spans="1:9" ht="18" customHeight="1" x14ac:dyDescent="0.25">
      <c r="A89" s="14">
        <f t="shared" si="3"/>
        <v>70</v>
      </c>
      <c r="B89" s="8"/>
      <c r="C89" s="15"/>
      <c r="D89" s="10"/>
      <c r="E89" s="117"/>
      <c r="F89" s="27"/>
      <c r="G89" s="114">
        <f t="shared" si="2"/>
        <v>78.899999999999991</v>
      </c>
      <c r="H89" s="28"/>
      <c r="I89" s="29"/>
    </row>
    <row r="90" spans="1:9" ht="18" customHeight="1" x14ac:dyDescent="0.25">
      <c r="A90" s="14">
        <f t="shared" si="3"/>
        <v>71</v>
      </c>
      <c r="B90" s="8"/>
      <c r="C90" s="15"/>
      <c r="D90" s="10"/>
      <c r="E90" s="117"/>
      <c r="F90" s="27"/>
      <c r="G90" s="114">
        <f t="shared" si="2"/>
        <v>78.899999999999991</v>
      </c>
      <c r="H90" s="28"/>
      <c r="I90" s="29"/>
    </row>
    <row r="91" spans="1:9" ht="15" customHeight="1" x14ac:dyDescent="0.25">
      <c r="A91" s="7"/>
      <c r="B91" s="33"/>
      <c r="C91" s="34" t="s">
        <v>13</v>
      </c>
      <c r="D91" s="7"/>
      <c r="E91" s="121">
        <f>SUM(E10:E90)</f>
        <v>99</v>
      </c>
      <c r="F91" s="122">
        <f>SUM(F10:F90)</f>
        <v>59.999999999999993</v>
      </c>
      <c r="G91" s="121">
        <f>+E91-F91+G9</f>
        <v>78.900000000000006</v>
      </c>
      <c r="H91" s="35"/>
      <c r="I91" s="36"/>
    </row>
    <row r="92" spans="1:9" ht="15" customHeight="1" x14ac:dyDescent="0.25">
      <c r="F92" s="26"/>
    </row>
    <row r="93" spans="1:9" ht="15" customHeight="1" x14ac:dyDescent="0.25"/>
    <row r="94" spans="1:9" ht="15" customHeight="1" x14ac:dyDescent="0.25"/>
    <row r="95" spans="1:9" ht="15" customHeight="1" x14ac:dyDescent="0.25"/>
    <row r="96" spans="1:9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9B82-93CB-4049-B8A4-0DD03FA6DCAE}">
  <sheetPr codeName="Sheet23"/>
  <dimension ref="A1:K132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2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6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/>
      <c r="D9" s="10"/>
      <c r="E9" s="11"/>
      <c r="F9" s="12"/>
      <c r="G9" s="344">
        <v>176</v>
      </c>
      <c r="H9" s="7"/>
      <c r="I9" s="7"/>
      <c r="J9" s="364" t="s">
        <v>336</v>
      </c>
    </row>
    <row r="10" spans="1:10" ht="18" customHeight="1" x14ac:dyDescent="0.25">
      <c r="A10" s="14">
        <v>1</v>
      </c>
      <c r="B10" s="8">
        <v>45671</v>
      </c>
      <c r="C10" s="15" t="s">
        <v>337</v>
      </c>
      <c r="D10" s="10" t="s">
        <v>19</v>
      </c>
      <c r="E10" s="113"/>
      <c r="F10" s="119">
        <v>0.3</v>
      </c>
      <c r="G10" s="114">
        <f t="shared" ref="G10:G73" si="0">+G9+E10-F10</f>
        <v>175.7</v>
      </c>
      <c r="H10" s="276" t="s">
        <v>129</v>
      </c>
      <c r="I10" s="7"/>
    </row>
    <row r="11" spans="1:10" ht="18" customHeight="1" x14ac:dyDescent="0.25">
      <c r="A11" s="14">
        <f t="shared" ref="A11:A74" si="1">+A10+1</f>
        <v>2</v>
      </c>
      <c r="B11" s="8">
        <v>45673</v>
      </c>
      <c r="C11" s="15" t="s">
        <v>337</v>
      </c>
      <c r="D11" s="10" t="s">
        <v>19</v>
      </c>
      <c r="E11" s="113"/>
      <c r="F11" s="393">
        <v>0.2</v>
      </c>
      <c r="G11" s="114">
        <f t="shared" si="0"/>
        <v>175.5</v>
      </c>
      <c r="H11" s="276" t="s">
        <v>129</v>
      </c>
      <c r="I11" s="7" t="s">
        <v>90</v>
      </c>
    </row>
    <row r="12" spans="1:10" ht="18" customHeight="1" x14ac:dyDescent="0.25">
      <c r="A12" s="14">
        <f t="shared" si="1"/>
        <v>3</v>
      </c>
      <c r="B12" s="8"/>
      <c r="C12" s="15" t="s">
        <v>337</v>
      </c>
      <c r="D12" s="10" t="s">
        <v>19</v>
      </c>
      <c r="E12" s="113"/>
      <c r="F12" s="346"/>
      <c r="G12" s="114">
        <f t="shared" si="0"/>
        <v>175.5</v>
      </c>
      <c r="H12" s="276" t="s">
        <v>129</v>
      </c>
      <c r="I12" s="7" t="s">
        <v>90</v>
      </c>
    </row>
    <row r="13" spans="1:10" ht="18" customHeight="1" x14ac:dyDescent="0.25">
      <c r="A13" s="14">
        <f t="shared" si="1"/>
        <v>4</v>
      </c>
      <c r="B13" s="8"/>
      <c r="C13" s="15" t="s">
        <v>337</v>
      </c>
      <c r="D13" s="10" t="s">
        <v>19</v>
      </c>
      <c r="E13" s="113"/>
      <c r="F13" s="17"/>
      <c r="G13" s="114">
        <f t="shared" si="0"/>
        <v>175.5</v>
      </c>
      <c r="H13" s="276" t="s">
        <v>129</v>
      </c>
      <c r="I13" s="7" t="s">
        <v>90</v>
      </c>
    </row>
    <row r="14" spans="1:10" ht="18" customHeight="1" x14ac:dyDescent="0.25">
      <c r="A14" s="14">
        <f t="shared" si="1"/>
        <v>5</v>
      </c>
      <c r="B14" s="8"/>
      <c r="C14" s="15" t="s">
        <v>337</v>
      </c>
      <c r="D14" s="10" t="s">
        <v>19</v>
      </c>
      <c r="E14" s="113"/>
      <c r="F14" s="17"/>
      <c r="G14" s="114">
        <f t="shared" si="0"/>
        <v>175.5</v>
      </c>
      <c r="H14" s="276" t="s">
        <v>129</v>
      </c>
      <c r="I14" s="7" t="s">
        <v>252</v>
      </c>
      <c r="J14" t="s">
        <v>21</v>
      </c>
    </row>
    <row r="15" spans="1:10" ht="18" customHeight="1" x14ac:dyDescent="0.25">
      <c r="A15" s="14">
        <f t="shared" si="1"/>
        <v>6</v>
      </c>
      <c r="B15" s="8"/>
      <c r="C15" s="15" t="s">
        <v>337</v>
      </c>
      <c r="D15" s="10" t="s">
        <v>19</v>
      </c>
      <c r="E15" s="113"/>
      <c r="F15" s="115"/>
      <c r="G15" s="114">
        <f t="shared" si="0"/>
        <v>175.5</v>
      </c>
      <c r="H15" s="276" t="s">
        <v>129</v>
      </c>
      <c r="I15" s="7" t="s">
        <v>90</v>
      </c>
      <c r="J15" s="26">
        <f>+F15+F17</f>
        <v>0</v>
      </c>
    </row>
    <row r="16" spans="1:10" ht="18" customHeight="1" x14ac:dyDescent="0.25">
      <c r="A16" s="14"/>
      <c r="B16" s="8"/>
      <c r="C16" s="15"/>
      <c r="D16" s="10" t="s">
        <v>19</v>
      </c>
      <c r="E16" s="113"/>
      <c r="F16" s="115"/>
      <c r="G16" s="114">
        <f t="shared" si="0"/>
        <v>175.5</v>
      </c>
      <c r="H16" s="276" t="s">
        <v>129</v>
      </c>
      <c r="I16" s="7" t="s">
        <v>90</v>
      </c>
      <c r="J16" s="26"/>
    </row>
    <row r="17" spans="1:11" ht="18" customHeight="1" x14ac:dyDescent="0.25">
      <c r="A17" s="14">
        <f>+A15+1</f>
        <v>7</v>
      </c>
      <c r="B17" s="8"/>
      <c r="C17" s="15"/>
      <c r="D17" s="10" t="s">
        <v>19</v>
      </c>
      <c r="E17" s="113"/>
      <c r="F17" s="152"/>
      <c r="G17" s="114">
        <f t="shared" si="0"/>
        <v>175.5</v>
      </c>
      <c r="H17" s="276" t="s">
        <v>129</v>
      </c>
      <c r="I17" s="7" t="s">
        <v>90</v>
      </c>
      <c r="J17" s="26"/>
    </row>
    <row r="18" spans="1:11" ht="18" customHeight="1" x14ac:dyDescent="0.25">
      <c r="A18" s="14">
        <f t="shared" si="1"/>
        <v>8</v>
      </c>
      <c r="B18" s="8"/>
      <c r="C18" s="15"/>
      <c r="D18" s="10" t="s">
        <v>19</v>
      </c>
      <c r="E18" s="113"/>
      <c r="F18" s="152"/>
      <c r="G18" s="114">
        <f t="shared" si="0"/>
        <v>175.5</v>
      </c>
      <c r="H18" s="276" t="s">
        <v>129</v>
      </c>
      <c r="I18" s="7" t="s">
        <v>90</v>
      </c>
    </row>
    <row r="19" spans="1:11" ht="18" customHeight="1" x14ac:dyDescent="0.25">
      <c r="A19" s="14">
        <f t="shared" si="1"/>
        <v>9</v>
      </c>
      <c r="B19" s="8"/>
      <c r="C19" s="15"/>
      <c r="D19" s="10" t="s">
        <v>19</v>
      </c>
      <c r="E19" s="113"/>
      <c r="F19" s="152"/>
      <c r="G19" s="114">
        <f t="shared" si="0"/>
        <v>175.5</v>
      </c>
      <c r="H19" s="276" t="s">
        <v>129</v>
      </c>
      <c r="I19" s="7" t="s">
        <v>90</v>
      </c>
    </row>
    <row r="20" spans="1:11" ht="18" customHeight="1" x14ac:dyDescent="0.25">
      <c r="A20" s="14">
        <f t="shared" si="1"/>
        <v>10</v>
      </c>
      <c r="B20" s="8"/>
      <c r="C20" s="15"/>
      <c r="D20" s="10" t="s">
        <v>19</v>
      </c>
      <c r="E20" s="113"/>
      <c r="F20" s="152"/>
      <c r="G20" s="114">
        <f t="shared" si="0"/>
        <v>175.5</v>
      </c>
      <c r="H20" s="276" t="s">
        <v>129</v>
      </c>
      <c r="I20" s="7" t="s">
        <v>90</v>
      </c>
    </row>
    <row r="21" spans="1:11" ht="18" customHeight="1" x14ac:dyDescent="0.25">
      <c r="A21" s="14">
        <f t="shared" si="1"/>
        <v>11</v>
      </c>
      <c r="B21" s="8"/>
      <c r="C21" s="15"/>
      <c r="D21" s="10" t="s">
        <v>19</v>
      </c>
      <c r="E21" s="11"/>
      <c r="F21" s="27"/>
      <c r="G21" s="114">
        <f t="shared" si="0"/>
        <v>175.5</v>
      </c>
      <c r="H21" s="276" t="s">
        <v>129</v>
      </c>
      <c r="I21" s="7" t="s">
        <v>90</v>
      </c>
    </row>
    <row r="22" spans="1:11" ht="18" customHeight="1" x14ac:dyDescent="0.25">
      <c r="A22" s="14">
        <f t="shared" si="1"/>
        <v>12</v>
      </c>
      <c r="B22" s="8"/>
      <c r="C22" s="15"/>
      <c r="D22" s="10" t="s">
        <v>19</v>
      </c>
      <c r="E22" s="113"/>
      <c r="F22" s="116"/>
      <c r="G22" s="114">
        <f t="shared" si="0"/>
        <v>175.5</v>
      </c>
      <c r="H22" s="276" t="s">
        <v>129</v>
      </c>
      <c r="I22" s="7" t="s">
        <v>90</v>
      </c>
    </row>
    <row r="23" spans="1:11" ht="18" customHeight="1" x14ac:dyDescent="0.25">
      <c r="A23" s="14">
        <f t="shared" si="1"/>
        <v>13</v>
      </c>
      <c r="B23" s="8"/>
      <c r="C23" s="15"/>
      <c r="D23" s="10" t="s">
        <v>19</v>
      </c>
      <c r="E23" s="113"/>
      <c r="F23" s="27"/>
      <c r="G23" s="114">
        <f t="shared" si="0"/>
        <v>175.5</v>
      </c>
      <c r="H23" s="276" t="s">
        <v>129</v>
      </c>
      <c r="I23" s="7" t="s">
        <v>90</v>
      </c>
      <c r="J23" s="115"/>
      <c r="K23" s="26"/>
    </row>
    <row r="24" spans="1:11" ht="18" customHeight="1" x14ac:dyDescent="0.25">
      <c r="A24" s="14">
        <f t="shared" si="1"/>
        <v>14</v>
      </c>
      <c r="B24" s="8"/>
      <c r="C24" s="15"/>
      <c r="D24" s="10" t="s">
        <v>19</v>
      </c>
      <c r="E24" s="113"/>
      <c r="F24" s="27"/>
      <c r="G24" s="114">
        <f t="shared" si="0"/>
        <v>175.5</v>
      </c>
      <c r="H24" s="276" t="s">
        <v>129</v>
      </c>
      <c r="I24" s="7" t="s">
        <v>90</v>
      </c>
      <c r="J24" s="17"/>
      <c r="K24" s="26"/>
    </row>
    <row r="25" spans="1:11" ht="18" customHeight="1" x14ac:dyDescent="0.25">
      <c r="A25" s="14">
        <f t="shared" si="1"/>
        <v>15</v>
      </c>
      <c r="B25" s="8"/>
      <c r="C25" s="15"/>
      <c r="D25" s="10" t="s">
        <v>19</v>
      </c>
      <c r="E25" s="117"/>
      <c r="F25" s="118"/>
      <c r="G25" s="114">
        <f t="shared" si="0"/>
        <v>175.5</v>
      </c>
      <c r="H25" s="276" t="s">
        <v>129</v>
      </c>
      <c r="I25" s="7" t="s">
        <v>90</v>
      </c>
      <c r="J25" s="17"/>
      <c r="K25" s="26"/>
    </row>
    <row r="26" spans="1:11" ht="18" customHeight="1" x14ac:dyDescent="0.25">
      <c r="A26" s="14">
        <f t="shared" si="1"/>
        <v>16</v>
      </c>
      <c r="B26" s="8"/>
      <c r="C26" s="15"/>
      <c r="D26" s="10" t="s">
        <v>19</v>
      </c>
      <c r="E26" s="117"/>
      <c r="F26" s="118"/>
      <c r="G26" s="114">
        <f t="shared" si="0"/>
        <v>175.5</v>
      </c>
      <c r="H26" s="276" t="s">
        <v>129</v>
      </c>
      <c r="I26" s="7" t="s">
        <v>90</v>
      </c>
      <c r="J26" s="17"/>
      <c r="K26" s="26"/>
    </row>
    <row r="27" spans="1:11" ht="18" customHeight="1" x14ac:dyDescent="0.25">
      <c r="A27" s="14">
        <f t="shared" si="1"/>
        <v>17</v>
      </c>
      <c r="B27" s="8"/>
      <c r="C27" s="15"/>
      <c r="D27" s="10" t="s">
        <v>19</v>
      </c>
      <c r="E27" s="117"/>
      <c r="F27" s="119"/>
      <c r="G27" s="114">
        <f t="shared" si="0"/>
        <v>175.5</v>
      </c>
      <c r="H27" s="276" t="s">
        <v>129</v>
      </c>
      <c r="I27" s="7" t="s">
        <v>90</v>
      </c>
      <c r="J27" s="17"/>
    </row>
    <row r="28" spans="1:11" ht="18" customHeight="1" x14ac:dyDescent="0.25">
      <c r="A28" s="14">
        <f t="shared" si="1"/>
        <v>18</v>
      </c>
      <c r="B28" s="8"/>
      <c r="C28" s="15"/>
      <c r="D28" s="10" t="s">
        <v>19</v>
      </c>
      <c r="E28" s="117"/>
      <c r="F28" s="119"/>
      <c r="G28" s="114">
        <f t="shared" si="0"/>
        <v>175.5</v>
      </c>
      <c r="H28" s="276" t="s">
        <v>129</v>
      </c>
      <c r="I28" s="7" t="s">
        <v>90</v>
      </c>
      <c r="J28" s="27"/>
      <c r="K28" s="26"/>
    </row>
    <row r="29" spans="1:11" ht="18" customHeight="1" x14ac:dyDescent="0.25">
      <c r="A29" s="14">
        <f t="shared" si="1"/>
        <v>19</v>
      </c>
      <c r="B29" s="8"/>
      <c r="C29" s="15"/>
      <c r="D29" s="10" t="s">
        <v>19</v>
      </c>
      <c r="E29" s="117"/>
      <c r="F29" s="119"/>
      <c r="G29" s="114">
        <f t="shared" si="0"/>
        <v>175.5</v>
      </c>
      <c r="H29" s="276" t="s">
        <v>129</v>
      </c>
      <c r="I29" s="7" t="s">
        <v>90</v>
      </c>
      <c r="J29" s="31"/>
    </row>
    <row r="30" spans="1:11" ht="18" customHeight="1" x14ac:dyDescent="0.25">
      <c r="A30" s="14">
        <f t="shared" si="1"/>
        <v>20</v>
      </c>
      <c r="B30" s="8"/>
      <c r="C30" s="15"/>
      <c r="D30" s="10" t="s">
        <v>19</v>
      </c>
      <c r="E30" s="117"/>
      <c r="F30" s="119"/>
      <c r="G30" s="114">
        <f t="shared" si="0"/>
        <v>175.5</v>
      </c>
      <c r="H30" s="276" t="s">
        <v>129</v>
      </c>
      <c r="I30" s="7" t="s">
        <v>90</v>
      </c>
      <c r="J30" s="120"/>
    </row>
    <row r="31" spans="1:11" ht="18" customHeight="1" x14ac:dyDescent="0.25">
      <c r="A31" s="14">
        <f t="shared" si="1"/>
        <v>21</v>
      </c>
      <c r="B31" s="8"/>
      <c r="C31" s="15"/>
      <c r="D31" s="10" t="s">
        <v>19</v>
      </c>
      <c r="E31" s="117"/>
      <c r="F31" s="27"/>
      <c r="G31" s="114">
        <f t="shared" si="0"/>
        <v>175.5</v>
      </c>
      <c r="H31" s="276" t="s">
        <v>129</v>
      </c>
      <c r="I31" s="7" t="s">
        <v>90</v>
      </c>
    </row>
    <row r="32" spans="1:11" ht="18" customHeight="1" x14ac:dyDescent="0.25">
      <c r="A32" s="14">
        <f t="shared" si="1"/>
        <v>22</v>
      </c>
      <c r="B32" s="8"/>
      <c r="C32" s="15"/>
      <c r="D32" s="10" t="s">
        <v>19</v>
      </c>
      <c r="E32" s="117"/>
      <c r="F32" s="27"/>
      <c r="G32" s="114">
        <f t="shared" si="0"/>
        <v>175.5</v>
      </c>
      <c r="H32" s="276" t="s">
        <v>129</v>
      </c>
      <c r="I32" s="7" t="s">
        <v>90</v>
      </c>
    </row>
    <row r="33" spans="1:9" ht="18" customHeight="1" x14ac:dyDescent="0.25">
      <c r="A33" s="14">
        <f t="shared" si="1"/>
        <v>23</v>
      </c>
      <c r="B33" s="8"/>
      <c r="C33" s="15"/>
      <c r="D33" s="10" t="s">
        <v>19</v>
      </c>
      <c r="E33" s="117"/>
      <c r="F33" s="27"/>
      <c r="G33" s="114">
        <f t="shared" si="0"/>
        <v>175.5</v>
      </c>
      <c r="H33" s="276" t="s">
        <v>129</v>
      </c>
      <c r="I33" s="7" t="s">
        <v>90</v>
      </c>
    </row>
    <row r="34" spans="1:9" ht="18" customHeight="1" x14ac:dyDescent="0.25">
      <c r="A34" s="14">
        <f t="shared" si="1"/>
        <v>24</v>
      </c>
      <c r="B34" s="8"/>
      <c r="C34" s="15"/>
      <c r="D34" s="10" t="s">
        <v>19</v>
      </c>
      <c r="E34" s="117"/>
      <c r="F34" s="119"/>
      <c r="G34" s="114">
        <f t="shared" si="0"/>
        <v>175.5</v>
      </c>
      <c r="H34" s="276" t="s">
        <v>129</v>
      </c>
      <c r="I34" s="7" t="s">
        <v>90</v>
      </c>
    </row>
    <row r="35" spans="1:9" ht="18" customHeight="1" x14ac:dyDescent="0.25">
      <c r="A35" s="14">
        <f t="shared" si="1"/>
        <v>25</v>
      </c>
      <c r="B35" s="8"/>
      <c r="C35" s="15"/>
      <c r="D35" s="10" t="s">
        <v>19</v>
      </c>
      <c r="E35" s="117"/>
      <c r="F35" s="27"/>
      <c r="G35" s="114">
        <f t="shared" si="0"/>
        <v>175.5</v>
      </c>
      <c r="H35" s="276" t="s">
        <v>129</v>
      </c>
      <c r="I35" s="7"/>
    </row>
    <row r="36" spans="1:9" ht="18" customHeight="1" x14ac:dyDescent="0.25">
      <c r="A36" s="14">
        <f t="shared" si="1"/>
        <v>26</v>
      </c>
      <c r="B36" s="8"/>
      <c r="C36" s="15"/>
      <c r="D36" s="10" t="s">
        <v>19</v>
      </c>
      <c r="E36" s="117"/>
      <c r="F36" s="27"/>
      <c r="G36" s="114">
        <f t="shared" si="0"/>
        <v>175.5</v>
      </c>
      <c r="H36" s="276" t="s">
        <v>129</v>
      </c>
      <c r="I36" s="7" t="s">
        <v>90</v>
      </c>
    </row>
    <row r="37" spans="1:9" ht="18" customHeight="1" x14ac:dyDescent="0.25">
      <c r="A37" s="14">
        <f t="shared" si="1"/>
        <v>27</v>
      </c>
      <c r="B37" s="8"/>
      <c r="C37" s="15"/>
      <c r="D37" s="10" t="s">
        <v>19</v>
      </c>
      <c r="E37" s="117"/>
      <c r="F37" s="27"/>
      <c r="G37" s="114">
        <f t="shared" si="0"/>
        <v>175.5</v>
      </c>
      <c r="H37" s="276" t="s">
        <v>129</v>
      </c>
      <c r="I37" s="7" t="s">
        <v>90</v>
      </c>
    </row>
    <row r="38" spans="1:9" ht="18" customHeight="1" x14ac:dyDescent="0.25">
      <c r="A38" s="14">
        <f t="shared" si="1"/>
        <v>28</v>
      </c>
      <c r="B38" s="8"/>
      <c r="C38" s="15"/>
      <c r="D38" s="10" t="s">
        <v>19</v>
      </c>
      <c r="E38" s="117"/>
      <c r="F38" s="27"/>
      <c r="G38" s="114">
        <f t="shared" si="0"/>
        <v>175.5</v>
      </c>
      <c r="H38" s="276" t="s">
        <v>129</v>
      </c>
      <c r="I38" s="7" t="s">
        <v>90</v>
      </c>
    </row>
    <row r="39" spans="1:9" ht="18" customHeight="1" x14ac:dyDescent="0.25">
      <c r="A39" s="14">
        <f t="shared" si="1"/>
        <v>29</v>
      </c>
      <c r="B39" s="8"/>
      <c r="C39" s="15"/>
      <c r="D39" s="10" t="s">
        <v>19</v>
      </c>
      <c r="E39" s="117"/>
      <c r="F39" s="119"/>
      <c r="G39" s="114">
        <f t="shared" si="0"/>
        <v>175.5</v>
      </c>
      <c r="H39" s="276" t="s">
        <v>129</v>
      </c>
      <c r="I39" s="7" t="s">
        <v>90</v>
      </c>
    </row>
    <row r="40" spans="1:9" ht="18" customHeight="1" x14ac:dyDescent="0.25">
      <c r="A40" s="14">
        <f t="shared" si="1"/>
        <v>30</v>
      </c>
      <c r="B40" s="8"/>
      <c r="C40" s="15"/>
      <c r="D40" s="10" t="s">
        <v>19</v>
      </c>
      <c r="E40" s="117"/>
      <c r="F40" s="119"/>
      <c r="G40" s="114">
        <f t="shared" si="0"/>
        <v>175.5</v>
      </c>
      <c r="H40" s="276" t="s">
        <v>129</v>
      </c>
      <c r="I40" s="7" t="s">
        <v>90</v>
      </c>
    </row>
    <row r="41" spans="1:9" ht="18" customHeight="1" x14ac:dyDescent="0.25">
      <c r="A41" s="14">
        <f t="shared" si="1"/>
        <v>31</v>
      </c>
      <c r="B41" s="8"/>
      <c r="C41" s="15"/>
      <c r="D41" s="10" t="s">
        <v>19</v>
      </c>
      <c r="E41" s="117"/>
      <c r="F41" s="27"/>
      <c r="G41" s="114">
        <f t="shared" si="0"/>
        <v>175.5</v>
      </c>
      <c r="H41" s="276" t="s">
        <v>129</v>
      </c>
      <c r="I41" s="7" t="s">
        <v>90</v>
      </c>
    </row>
    <row r="42" spans="1:9" ht="18" customHeight="1" x14ac:dyDescent="0.25">
      <c r="A42" s="14">
        <f t="shared" si="1"/>
        <v>32</v>
      </c>
      <c r="B42" s="8"/>
      <c r="C42" s="15"/>
      <c r="D42" s="10" t="s">
        <v>19</v>
      </c>
      <c r="E42" s="117"/>
      <c r="F42" s="27"/>
      <c r="G42" s="114">
        <f t="shared" si="0"/>
        <v>175.5</v>
      </c>
      <c r="H42" s="276" t="s">
        <v>129</v>
      </c>
      <c r="I42" s="7" t="s">
        <v>90</v>
      </c>
    </row>
    <row r="43" spans="1:9" ht="18" customHeight="1" x14ac:dyDescent="0.25">
      <c r="A43" s="14">
        <f t="shared" si="1"/>
        <v>33</v>
      </c>
      <c r="B43" s="8"/>
      <c r="C43" s="15"/>
      <c r="D43" s="10" t="s">
        <v>19</v>
      </c>
      <c r="E43" s="117"/>
      <c r="F43" s="119"/>
      <c r="G43" s="114">
        <f t="shared" si="0"/>
        <v>175.5</v>
      </c>
      <c r="H43" s="276" t="s">
        <v>129</v>
      </c>
      <c r="I43" s="7" t="s">
        <v>90</v>
      </c>
    </row>
    <row r="44" spans="1:9" ht="18" customHeight="1" x14ac:dyDescent="0.25">
      <c r="A44" s="14">
        <f t="shared" si="1"/>
        <v>34</v>
      </c>
      <c r="B44" s="8"/>
      <c r="C44" s="15"/>
      <c r="D44" s="10" t="s">
        <v>19</v>
      </c>
      <c r="F44" s="27"/>
      <c r="G44" s="114">
        <f t="shared" si="0"/>
        <v>175.5</v>
      </c>
      <c r="H44" s="276" t="s">
        <v>129</v>
      </c>
      <c r="I44" s="7" t="s">
        <v>90</v>
      </c>
    </row>
    <row r="45" spans="1:9" ht="18" customHeight="1" x14ac:dyDescent="0.25">
      <c r="A45" s="14">
        <f t="shared" si="1"/>
        <v>35</v>
      </c>
      <c r="B45" s="8"/>
      <c r="C45" s="15"/>
      <c r="D45" s="10" t="s">
        <v>19</v>
      </c>
      <c r="E45" s="117"/>
      <c r="F45" s="118"/>
      <c r="G45" s="114">
        <f t="shared" si="0"/>
        <v>175.5</v>
      </c>
      <c r="H45" s="276" t="s">
        <v>129</v>
      </c>
      <c r="I45" s="7" t="s">
        <v>90</v>
      </c>
    </row>
    <row r="46" spans="1:9" ht="18" customHeight="1" x14ac:dyDescent="0.25">
      <c r="A46" s="14">
        <f t="shared" si="1"/>
        <v>36</v>
      </c>
      <c r="B46" s="8"/>
      <c r="C46" s="15"/>
      <c r="D46" s="10" t="s">
        <v>19</v>
      </c>
      <c r="E46" s="117"/>
      <c r="F46" s="118"/>
      <c r="G46" s="114">
        <f t="shared" si="0"/>
        <v>175.5</v>
      </c>
      <c r="H46" s="276" t="s">
        <v>129</v>
      </c>
      <c r="I46" s="7" t="s">
        <v>90</v>
      </c>
    </row>
    <row r="47" spans="1:9" ht="18" customHeight="1" x14ac:dyDescent="0.25">
      <c r="A47" s="14">
        <f t="shared" si="1"/>
        <v>37</v>
      </c>
      <c r="B47" s="8"/>
      <c r="C47" s="15"/>
      <c r="D47" s="10" t="s">
        <v>19</v>
      </c>
      <c r="E47" s="117"/>
      <c r="F47" s="118"/>
      <c r="G47" s="114">
        <f t="shared" si="0"/>
        <v>175.5</v>
      </c>
      <c r="H47" s="276" t="s">
        <v>129</v>
      </c>
      <c r="I47" s="7" t="s">
        <v>90</v>
      </c>
    </row>
    <row r="48" spans="1:9" ht="18" customHeight="1" x14ac:dyDescent="0.25">
      <c r="A48" s="14">
        <f t="shared" si="1"/>
        <v>38</v>
      </c>
      <c r="B48" s="8"/>
      <c r="C48" s="15"/>
      <c r="D48" s="10" t="s">
        <v>19</v>
      </c>
      <c r="E48" s="117"/>
      <c r="F48" s="118"/>
      <c r="G48" s="114">
        <f t="shared" si="0"/>
        <v>175.5</v>
      </c>
      <c r="H48" s="276" t="s">
        <v>129</v>
      </c>
      <c r="I48" s="7" t="s">
        <v>90</v>
      </c>
    </row>
    <row r="49" spans="1:9" ht="18" customHeight="1" x14ac:dyDescent="0.25">
      <c r="A49" s="14">
        <f t="shared" si="1"/>
        <v>39</v>
      </c>
      <c r="B49" s="8"/>
      <c r="C49" s="15"/>
      <c r="D49" s="10" t="s">
        <v>19</v>
      </c>
      <c r="E49" s="117"/>
      <c r="F49" s="119"/>
      <c r="G49" s="114">
        <f t="shared" si="0"/>
        <v>175.5</v>
      </c>
      <c r="H49" s="276" t="s">
        <v>129</v>
      </c>
      <c r="I49" s="7" t="s">
        <v>90</v>
      </c>
    </row>
    <row r="50" spans="1:9" ht="18" customHeight="1" x14ac:dyDescent="0.25">
      <c r="A50" s="14">
        <f t="shared" si="1"/>
        <v>40</v>
      </c>
      <c r="B50" s="8"/>
      <c r="C50" s="15"/>
      <c r="D50" s="10" t="s">
        <v>19</v>
      </c>
      <c r="E50" s="117"/>
      <c r="F50" s="118"/>
      <c r="G50" s="114">
        <f t="shared" si="0"/>
        <v>175.5</v>
      </c>
      <c r="H50" s="276" t="s">
        <v>129</v>
      </c>
      <c r="I50" s="7" t="s">
        <v>90</v>
      </c>
    </row>
    <row r="51" spans="1:9" ht="18" customHeight="1" x14ac:dyDescent="0.25">
      <c r="A51" s="14">
        <f t="shared" si="1"/>
        <v>41</v>
      </c>
      <c r="B51" s="8"/>
      <c r="C51" s="15"/>
      <c r="D51" s="10" t="s">
        <v>19</v>
      </c>
      <c r="E51" s="117"/>
      <c r="F51" s="118"/>
      <c r="G51" s="114">
        <f t="shared" si="0"/>
        <v>175.5</v>
      </c>
      <c r="H51" s="276" t="s">
        <v>129</v>
      </c>
      <c r="I51" s="7" t="s">
        <v>90</v>
      </c>
    </row>
    <row r="52" spans="1:9" ht="18" customHeight="1" x14ac:dyDescent="0.25">
      <c r="A52" s="14">
        <f t="shared" si="1"/>
        <v>42</v>
      </c>
      <c r="B52" s="8"/>
      <c r="C52" s="15"/>
      <c r="D52" s="10" t="s">
        <v>19</v>
      </c>
      <c r="E52" s="117"/>
      <c r="F52" s="27"/>
      <c r="G52" s="114">
        <f t="shared" si="0"/>
        <v>175.5</v>
      </c>
      <c r="H52" s="276" t="s">
        <v>129</v>
      </c>
      <c r="I52" s="7" t="s">
        <v>90</v>
      </c>
    </row>
    <row r="53" spans="1:9" ht="18" customHeight="1" x14ac:dyDescent="0.25">
      <c r="A53" s="14">
        <f t="shared" si="1"/>
        <v>43</v>
      </c>
      <c r="B53" s="8"/>
      <c r="C53" s="15"/>
      <c r="D53" s="10" t="s">
        <v>19</v>
      </c>
      <c r="E53" s="117"/>
      <c r="F53" s="27"/>
      <c r="G53" s="114">
        <f t="shared" si="0"/>
        <v>175.5</v>
      </c>
      <c r="H53" s="276" t="s">
        <v>129</v>
      </c>
      <c r="I53" s="7" t="s">
        <v>90</v>
      </c>
    </row>
    <row r="54" spans="1:9" ht="18" customHeight="1" x14ac:dyDescent="0.25">
      <c r="A54" s="14">
        <f t="shared" si="1"/>
        <v>44</v>
      </c>
      <c r="B54" s="8"/>
      <c r="C54" s="15"/>
      <c r="D54" s="10" t="s">
        <v>19</v>
      </c>
      <c r="E54" s="117"/>
      <c r="F54" s="27"/>
      <c r="G54" s="114">
        <f t="shared" si="0"/>
        <v>175.5</v>
      </c>
      <c r="H54" s="276" t="s">
        <v>129</v>
      </c>
      <c r="I54" s="7" t="s">
        <v>90</v>
      </c>
    </row>
    <row r="55" spans="1:9" ht="18" customHeight="1" x14ac:dyDescent="0.25">
      <c r="A55" s="14">
        <f t="shared" si="1"/>
        <v>45</v>
      </c>
      <c r="B55" s="8"/>
      <c r="C55" s="15"/>
      <c r="D55" s="10" t="s">
        <v>19</v>
      </c>
      <c r="E55" s="117"/>
      <c r="F55" s="27"/>
      <c r="G55" s="114">
        <f t="shared" si="0"/>
        <v>175.5</v>
      </c>
      <c r="H55" s="276" t="s">
        <v>129</v>
      </c>
      <c r="I55" s="7" t="s">
        <v>90</v>
      </c>
    </row>
    <row r="56" spans="1:9" ht="18" customHeight="1" x14ac:dyDescent="0.25">
      <c r="A56" s="14">
        <f t="shared" si="1"/>
        <v>46</v>
      </c>
      <c r="B56" s="8"/>
      <c r="C56" s="15"/>
      <c r="D56" s="10" t="s">
        <v>19</v>
      </c>
      <c r="E56" s="117"/>
      <c r="F56" s="27"/>
      <c r="G56" s="114">
        <f t="shared" si="0"/>
        <v>175.5</v>
      </c>
      <c r="H56" s="276" t="s">
        <v>129</v>
      </c>
      <c r="I56" s="7" t="s">
        <v>90</v>
      </c>
    </row>
    <row r="57" spans="1:9" ht="18" customHeight="1" x14ac:dyDescent="0.25">
      <c r="A57" s="14">
        <f t="shared" si="1"/>
        <v>47</v>
      </c>
      <c r="B57" s="8"/>
      <c r="C57" s="15"/>
      <c r="D57" s="10" t="s">
        <v>19</v>
      </c>
      <c r="E57" s="117"/>
      <c r="F57" s="119"/>
      <c r="G57" s="114">
        <f t="shared" si="0"/>
        <v>175.5</v>
      </c>
      <c r="H57" s="276" t="s">
        <v>129</v>
      </c>
      <c r="I57" s="7" t="s">
        <v>90</v>
      </c>
    </row>
    <row r="58" spans="1:9" ht="18" customHeight="1" x14ac:dyDescent="0.25">
      <c r="A58" s="14">
        <f t="shared" si="1"/>
        <v>48</v>
      </c>
      <c r="B58" s="8"/>
      <c r="C58" s="15"/>
      <c r="D58" s="10" t="s">
        <v>19</v>
      </c>
      <c r="E58" s="117"/>
      <c r="F58" s="119"/>
      <c r="G58" s="114">
        <f t="shared" si="0"/>
        <v>175.5</v>
      </c>
      <c r="H58" s="276" t="s">
        <v>129</v>
      </c>
      <c r="I58" s="7" t="s">
        <v>90</v>
      </c>
    </row>
    <row r="59" spans="1:9" ht="18" customHeight="1" x14ac:dyDescent="0.25">
      <c r="A59" s="14">
        <f t="shared" si="1"/>
        <v>49</v>
      </c>
      <c r="B59" s="8"/>
      <c r="C59" s="15"/>
      <c r="D59" s="10" t="s">
        <v>19</v>
      </c>
      <c r="E59" s="117"/>
      <c r="F59" s="119"/>
      <c r="G59" s="114">
        <f t="shared" si="0"/>
        <v>175.5</v>
      </c>
      <c r="H59" s="276" t="s">
        <v>129</v>
      </c>
      <c r="I59" s="7" t="s">
        <v>90</v>
      </c>
    </row>
    <row r="60" spans="1:9" ht="18" customHeight="1" x14ac:dyDescent="0.25">
      <c r="A60" s="14">
        <f t="shared" si="1"/>
        <v>50</v>
      </c>
      <c r="B60" s="8"/>
      <c r="C60" s="15"/>
      <c r="D60" s="10" t="s">
        <v>19</v>
      </c>
      <c r="E60" s="117"/>
      <c r="F60" s="27"/>
      <c r="G60" s="114">
        <f t="shared" si="0"/>
        <v>175.5</v>
      </c>
      <c r="H60" s="276" t="s">
        <v>129</v>
      </c>
      <c r="I60" s="7"/>
    </row>
    <row r="61" spans="1:9" ht="18" customHeight="1" x14ac:dyDescent="0.25">
      <c r="A61" s="14">
        <f t="shared" si="1"/>
        <v>51</v>
      </c>
      <c r="B61" s="8"/>
      <c r="C61" s="15"/>
      <c r="D61" s="10" t="s">
        <v>19</v>
      </c>
      <c r="E61" s="117"/>
      <c r="F61" s="27"/>
      <c r="G61" s="114">
        <f t="shared" si="0"/>
        <v>175.5</v>
      </c>
      <c r="H61" s="276" t="s">
        <v>129</v>
      </c>
      <c r="I61" s="7"/>
    </row>
    <row r="62" spans="1:9" ht="18" customHeight="1" x14ac:dyDescent="0.25">
      <c r="A62" s="14">
        <f t="shared" si="1"/>
        <v>52</v>
      </c>
      <c r="B62" s="8"/>
      <c r="C62" s="15"/>
      <c r="D62" s="10" t="s">
        <v>19</v>
      </c>
      <c r="E62" s="117"/>
      <c r="F62" s="119"/>
      <c r="G62" s="114">
        <f t="shared" si="0"/>
        <v>175.5</v>
      </c>
      <c r="H62" s="276" t="s">
        <v>129</v>
      </c>
      <c r="I62" s="7"/>
    </row>
    <row r="63" spans="1:9" ht="18" customHeight="1" x14ac:dyDescent="0.25">
      <c r="A63" s="14">
        <f t="shared" si="1"/>
        <v>53</v>
      </c>
      <c r="B63" s="8"/>
      <c r="C63" s="15"/>
      <c r="D63" s="10" t="s">
        <v>19</v>
      </c>
      <c r="E63" s="117"/>
      <c r="F63" s="27"/>
      <c r="G63" s="114">
        <f t="shared" si="0"/>
        <v>175.5</v>
      </c>
      <c r="H63" s="276" t="s">
        <v>129</v>
      </c>
      <c r="I63" s="7"/>
    </row>
    <row r="64" spans="1:9" ht="18" customHeight="1" x14ac:dyDescent="0.25">
      <c r="A64" s="14">
        <f t="shared" si="1"/>
        <v>54</v>
      </c>
      <c r="B64" s="8"/>
      <c r="C64" s="15"/>
      <c r="D64" s="10" t="s">
        <v>19</v>
      </c>
      <c r="E64" s="117"/>
      <c r="F64" s="27"/>
      <c r="G64" s="114">
        <f t="shared" si="0"/>
        <v>175.5</v>
      </c>
      <c r="H64" s="276" t="s">
        <v>129</v>
      </c>
      <c r="I64" s="7"/>
    </row>
    <row r="65" spans="1:9" ht="18" customHeight="1" x14ac:dyDescent="0.25">
      <c r="A65" s="14">
        <f t="shared" si="1"/>
        <v>55</v>
      </c>
      <c r="B65" s="8"/>
      <c r="C65" s="15"/>
      <c r="D65" s="10" t="s">
        <v>19</v>
      </c>
      <c r="E65" s="117"/>
      <c r="F65" s="27"/>
      <c r="G65" s="114">
        <f t="shared" si="0"/>
        <v>175.5</v>
      </c>
      <c r="H65" s="276" t="s">
        <v>129</v>
      </c>
      <c r="I65" s="7"/>
    </row>
    <row r="66" spans="1:9" ht="18" customHeight="1" x14ac:dyDescent="0.25">
      <c r="A66" s="14">
        <f t="shared" si="1"/>
        <v>56</v>
      </c>
      <c r="B66" s="8"/>
      <c r="C66" s="15"/>
      <c r="D66" s="10" t="s">
        <v>19</v>
      </c>
      <c r="E66" s="117"/>
      <c r="F66" s="27"/>
      <c r="G66" s="114">
        <f t="shared" si="0"/>
        <v>175.5</v>
      </c>
      <c r="H66" s="276" t="s">
        <v>129</v>
      </c>
      <c r="I66" s="7"/>
    </row>
    <row r="67" spans="1:9" ht="18" customHeight="1" x14ac:dyDescent="0.25">
      <c r="A67" s="14">
        <f t="shared" si="1"/>
        <v>57</v>
      </c>
      <c r="B67" s="8"/>
      <c r="C67" s="15"/>
      <c r="D67" s="10" t="s">
        <v>19</v>
      </c>
      <c r="E67" s="117"/>
      <c r="F67" s="27"/>
      <c r="G67" s="114">
        <f t="shared" si="0"/>
        <v>175.5</v>
      </c>
      <c r="H67" s="276" t="s">
        <v>129</v>
      </c>
      <c r="I67" s="7"/>
    </row>
    <row r="68" spans="1:9" ht="18" customHeight="1" x14ac:dyDescent="0.25">
      <c r="A68" s="14">
        <f t="shared" si="1"/>
        <v>58</v>
      </c>
      <c r="B68" s="8"/>
      <c r="C68" s="15"/>
      <c r="D68" s="10" t="s">
        <v>19</v>
      </c>
      <c r="E68" s="117"/>
      <c r="F68" s="27"/>
      <c r="G68" s="114">
        <f t="shared" si="0"/>
        <v>175.5</v>
      </c>
      <c r="H68" s="276" t="s">
        <v>129</v>
      </c>
      <c r="I68" s="7"/>
    </row>
    <row r="69" spans="1:9" ht="18" customHeight="1" x14ac:dyDescent="0.25">
      <c r="A69" s="14">
        <f t="shared" si="1"/>
        <v>59</v>
      </c>
      <c r="B69" s="8"/>
      <c r="C69" s="15"/>
      <c r="D69" s="10" t="s">
        <v>19</v>
      </c>
      <c r="E69" s="117"/>
      <c r="F69" s="27"/>
      <c r="G69" s="114">
        <f t="shared" si="0"/>
        <v>175.5</v>
      </c>
      <c r="H69" s="276" t="s">
        <v>129</v>
      </c>
      <c r="I69" s="7"/>
    </row>
    <row r="70" spans="1:9" ht="18" customHeight="1" x14ac:dyDescent="0.25">
      <c r="A70" s="14">
        <f t="shared" si="1"/>
        <v>60</v>
      </c>
      <c r="B70" s="8"/>
      <c r="C70" s="15"/>
      <c r="D70" s="10" t="s">
        <v>19</v>
      </c>
      <c r="E70" s="117"/>
      <c r="F70" s="27"/>
      <c r="G70" s="114">
        <f t="shared" si="0"/>
        <v>175.5</v>
      </c>
      <c r="H70" s="276" t="s">
        <v>129</v>
      </c>
      <c r="I70" s="7"/>
    </row>
    <row r="71" spans="1:9" ht="18" customHeight="1" x14ac:dyDescent="0.25">
      <c r="A71" s="14">
        <f t="shared" si="1"/>
        <v>61</v>
      </c>
      <c r="B71" s="8"/>
      <c r="C71" s="15"/>
      <c r="D71" s="10" t="s">
        <v>19</v>
      </c>
      <c r="E71" s="117"/>
      <c r="F71" s="27"/>
      <c r="G71" s="114">
        <f t="shared" si="0"/>
        <v>175.5</v>
      </c>
      <c r="H71" s="276" t="s">
        <v>129</v>
      </c>
      <c r="I71" s="7"/>
    </row>
    <row r="72" spans="1:9" ht="18" customHeight="1" x14ac:dyDescent="0.25">
      <c r="A72" s="14">
        <f t="shared" si="1"/>
        <v>62</v>
      </c>
      <c r="B72" s="8"/>
      <c r="C72" s="15"/>
      <c r="D72" s="10" t="s">
        <v>19</v>
      </c>
      <c r="E72" s="117"/>
      <c r="F72" s="27"/>
      <c r="G72" s="114">
        <f t="shared" si="0"/>
        <v>175.5</v>
      </c>
      <c r="H72" s="276" t="s">
        <v>129</v>
      </c>
      <c r="I72" s="7"/>
    </row>
    <row r="73" spans="1:9" ht="18" customHeight="1" x14ac:dyDescent="0.25">
      <c r="A73" s="14">
        <f t="shared" si="1"/>
        <v>63</v>
      </c>
      <c r="B73" s="8"/>
      <c r="C73" s="15"/>
      <c r="D73" s="10" t="s">
        <v>19</v>
      </c>
      <c r="E73" s="117"/>
      <c r="F73" s="27"/>
      <c r="G73" s="114">
        <f t="shared" si="0"/>
        <v>175.5</v>
      </c>
      <c r="H73" s="276" t="s">
        <v>129</v>
      </c>
      <c r="I73" s="7"/>
    </row>
    <row r="74" spans="1:9" ht="18" customHeight="1" x14ac:dyDescent="0.25">
      <c r="A74" s="14">
        <f t="shared" si="1"/>
        <v>64</v>
      </c>
      <c r="B74" s="8"/>
      <c r="C74" s="15"/>
      <c r="D74" s="10" t="s">
        <v>19</v>
      </c>
      <c r="E74" s="117"/>
      <c r="F74" s="27"/>
      <c r="G74" s="114">
        <f t="shared" ref="G74:G90" si="2">+G73+E74-F74</f>
        <v>175.5</v>
      </c>
      <c r="H74" s="276" t="s">
        <v>129</v>
      </c>
      <c r="I74" s="7"/>
    </row>
    <row r="75" spans="1:9" ht="18" customHeight="1" x14ac:dyDescent="0.25">
      <c r="A75" s="14">
        <f t="shared" ref="A75:A90" si="3">+A74+1</f>
        <v>65</v>
      </c>
      <c r="B75" s="8"/>
      <c r="C75" s="15"/>
      <c r="D75" s="10" t="s">
        <v>19</v>
      </c>
      <c r="E75" s="117"/>
      <c r="F75" s="27"/>
      <c r="G75" s="114">
        <f t="shared" si="2"/>
        <v>175.5</v>
      </c>
      <c r="H75" s="276" t="s">
        <v>129</v>
      </c>
      <c r="I75" s="7"/>
    </row>
    <row r="76" spans="1:9" ht="18" customHeight="1" x14ac:dyDescent="0.25">
      <c r="A76" s="14">
        <f t="shared" si="3"/>
        <v>66</v>
      </c>
      <c r="B76" s="8"/>
      <c r="C76" s="15"/>
      <c r="D76" s="10" t="s">
        <v>19</v>
      </c>
      <c r="E76" s="117"/>
      <c r="F76" s="27"/>
      <c r="G76" s="114">
        <f t="shared" si="2"/>
        <v>175.5</v>
      </c>
      <c r="H76" s="276" t="s">
        <v>129</v>
      </c>
      <c r="I76" s="7"/>
    </row>
    <row r="77" spans="1:9" ht="18" customHeight="1" x14ac:dyDescent="0.25">
      <c r="A77" s="14">
        <f t="shared" si="3"/>
        <v>67</v>
      </c>
      <c r="B77" s="8"/>
      <c r="C77" s="15"/>
      <c r="D77" s="10" t="s">
        <v>19</v>
      </c>
      <c r="E77" s="117"/>
      <c r="F77" s="27"/>
      <c r="G77" s="114">
        <f t="shared" si="2"/>
        <v>175.5</v>
      </c>
      <c r="H77" s="276" t="s">
        <v>129</v>
      </c>
      <c r="I77" s="7"/>
    </row>
    <row r="78" spans="1:9" ht="18" customHeight="1" x14ac:dyDescent="0.25">
      <c r="A78" s="14">
        <f t="shared" si="3"/>
        <v>68</v>
      </c>
      <c r="B78" s="8"/>
      <c r="C78" s="15"/>
      <c r="D78" s="10" t="s">
        <v>19</v>
      </c>
      <c r="E78" s="117"/>
      <c r="F78" s="27"/>
      <c r="G78" s="114">
        <f t="shared" si="2"/>
        <v>175.5</v>
      </c>
      <c r="H78" s="276" t="s">
        <v>129</v>
      </c>
      <c r="I78" s="7"/>
    </row>
    <row r="79" spans="1:9" ht="18" customHeight="1" x14ac:dyDescent="0.25">
      <c r="A79" s="14"/>
      <c r="B79" s="8"/>
      <c r="C79" s="15"/>
      <c r="D79" s="10" t="s">
        <v>19</v>
      </c>
      <c r="E79" s="117"/>
      <c r="F79" s="27"/>
      <c r="G79" s="114">
        <f t="shared" si="2"/>
        <v>175.5</v>
      </c>
      <c r="H79" s="276" t="s">
        <v>129</v>
      </c>
      <c r="I79" s="7"/>
    </row>
    <row r="80" spans="1:9" ht="18" customHeight="1" x14ac:dyDescent="0.25">
      <c r="A80" s="14"/>
      <c r="B80" s="8"/>
      <c r="C80" s="15"/>
      <c r="D80" s="10" t="s">
        <v>19</v>
      </c>
      <c r="E80" s="117"/>
      <c r="F80" s="27"/>
      <c r="G80" s="114">
        <f t="shared" si="2"/>
        <v>175.5</v>
      </c>
      <c r="H80" s="276" t="s">
        <v>129</v>
      </c>
      <c r="I80" s="7"/>
    </row>
    <row r="81" spans="1:9" ht="18" customHeight="1" x14ac:dyDescent="0.25">
      <c r="A81" s="14"/>
      <c r="B81" s="8"/>
      <c r="C81" s="15"/>
      <c r="D81" s="10" t="s">
        <v>19</v>
      </c>
      <c r="E81" s="117"/>
      <c r="F81" s="27"/>
      <c r="G81" s="114">
        <f t="shared" si="2"/>
        <v>175.5</v>
      </c>
      <c r="H81" s="276" t="s">
        <v>129</v>
      </c>
      <c r="I81" s="7"/>
    </row>
    <row r="82" spans="1:9" ht="18" customHeight="1" x14ac:dyDescent="0.25">
      <c r="A82" s="14"/>
      <c r="B82" s="8"/>
      <c r="C82" s="15"/>
      <c r="D82" s="10" t="s">
        <v>19</v>
      </c>
      <c r="E82" s="117"/>
      <c r="F82" s="27"/>
      <c r="G82" s="114">
        <f t="shared" si="2"/>
        <v>175.5</v>
      </c>
      <c r="H82" s="276" t="s">
        <v>129</v>
      </c>
      <c r="I82" s="7"/>
    </row>
    <row r="83" spans="1:9" ht="18" customHeight="1" x14ac:dyDescent="0.25">
      <c r="A83" s="14"/>
      <c r="B83" s="8"/>
      <c r="C83" s="15"/>
      <c r="D83" s="10" t="s">
        <v>19</v>
      </c>
      <c r="E83" s="117"/>
      <c r="F83" s="27"/>
      <c r="G83" s="114">
        <f t="shared" si="2"/>
        <v>175.5</v>
      </c>
      <c r="H83" s="276" t="s">
        <v>129</v>
      </c>
      <c r="I83" s="7"/>
    </row>
    <row r="84" spans="1:9" ht="18" customHeight="1" x14ac:dyDescent="0.25">
      <c r="A84" s="14"/>
      <c r="B84" s="8"/>
      <c r="C84" s="15"/>
      <c r="D84" s="10" t="s">
        <v>19</v>
      </c>
      <c r="E84" s="117"/>
      <c r="F84" s="27"/>
      <c r="G84" s="114">
        <f t="shared" si="2"/>
        <v>175.5</v>
      </c>
      <c r="H84" s="276" t="s">
        <v>129</v>
      </c>
      <c r="I84" s="7"/>
    </row>
    <row r="85" spans="1:9" ht="18" customHeight="1" x14ac:dyDescent="0.25">
      <c r="A85" s="14"/>
      <c r="B85" s="8"/>
      <c r="C85" s="15"/>
      <c r="D85" s="10" t="s">
        <v>19</v>
      </c>
      <c r="E85" s="117"/>
      <c r="F85" s="27"/>
      <c r="G85" s="114">
        <f t="shared" si="2"/>
        <v>175.5</v>
      </c>
      <c r="H85" s="276" t="s">
        <v>129</v>
      </c>
      <c r="I85" s="7"/>
    </row>
    <row r="86" spans="1:9" ht="18" customHeight="1" x14ac:dyDescent="0.25">
      <c r="A86" s="14"/>
      <c r="B86" s="8"/>
      <c r="C86" s="15"/>
      <c r="D86" s="10" t="s">
        <v>19</v>
      </c>
      <c r="E86" s="117"/>
      <c r="F86" s="27"/>
      <c r="G86" s="114">
        <f t="shared" si="2"/>
        <v>175.5</v>
      </c>
      <c r="H86" s="276" t="s">
        <v>129</v>
      </c>
      <c r="I86" s="7"/>
    </row>
    <row r="87" spans="1:9" ht="18" customHeight="1" x14ac:dyDescent="0.25">
      <c r="A87" s="14"/>
      <c r="B87" s="8"/>
      <c r="C87" s="15"/>
      <c r="D87" s="10" t="s">
        <v>19</v>
      </c>
      <c r="E87" s="117"/>
      <c r="F87" s="27"/>
      <c r="G87" s="114">
        <f t="shared" si="2"/>
        <v>175.5</v>
      </c>
      <c r="H87" s="276"/>
      <c r="I87" s="7"/>
    </row>
    <row r="88" spans="1:9" ht="18" customHeight="1" x14ac:dyDescent="0.25">
      <c r="A88" s="14">
        <f>+A78+1</f>
        <v>69</v>
      </c>
      <c r="B88" s="8"/>
      <c r="C88" s="15"/>
      <c r="D88" s="10"/>
      <c r="E88" s="117"/>
      <c r="F88" s="27"/>
      <c r="G88" s="114">
        <f t="shared" si="2"/>
        <v>175.5</v>
      </c>
      <c r="H88" s="28"/>
      <c r="I88" s="29"/>
    </row>
    <row r="89" spans="1:9" ht="18" customHeight="1" x14ac:dyDescent="0.25">
      <c r="A89" s="14">
        <f t="shared" si="3"/>
        <v>70</v>
      </c>
      <c r="B89" s="8"/>
      <c r="C89" s="15"/>
      <c r="D89" s="10"/>
      <c r="E89" s="117"/>
      <c r="F89" s="27"/>
      <c r="G89" s="114">
        <f t="shared" si="2"/>
        <v>175.5</v>
      </c>
      <c r="H89" s="28"/>
      <c r="I89" s="29"/>
    </row>
    <row r="90" spans="1:9" ht="18" customHeight="1" x14ac:dyDescent="0.25">
      <c r="A90" s="14">
        <f t="shared" si="3"/>
        <v>71</v>
      </c>
      <c r="B90" s="8"/>
      <c r="C90" s="15"/>
      <c r="D90" s="10"/>
      <c r="E90" s="117"/>
      <c r="F90" s="27"/>
      <c r="G90" s="114">
        <f t="shared" si="2"/>
        <v>175.5</v>
      </c>
      <c r="H90" s="28"/>
      <c r="I90" s="29"/>
    </row>
    <row r="91" spans="1:9" ht="15" customHeight="1" x14ac:dyDescent="0.25">
      <c r="A91" s="7"/>
      <c r="B91" s="33"/>
      <c r="C91" s="34" t="s">
        <v>13</v>
      </c>
      <c r="D91" s="7"/>
      <c r="E91" s="121">
        <f>SUM(E10:E90)</f>
        <v>0</v>
      </c>
      <c r="F91" s="122">
        <f>SUM(F10:F90)</f>
        <v>0.5</v>
      </c>
      <c r="G91" s="121">
        <f>+E91-F91+G9</f>
        <v>175.5</v>
      </c>
      <c r="H91" s="35"/>
      <c r="I91" s="36"/>
    </row>
    <row r="92" spans="1:9" ht="15" customHeight="1" x14ac:dyDescent="0.25">
      <c r="F92" s="26"/>
    </row>
    <row r="93" spans="1:9" ht="15" customHeight="1" x14ac:dyDescent="0.25"/>
    <row r="94" spans="1:9" ht="15" customHeight="1" x14ac:dyDescent="0.25"/>
    <row r="95" spans="1:9" ht="15" customHeight="1" x14ac:dyDescent="0.25"/>
    <row r="96" spans="1:9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9B92-A9B4-4434-ACAC-35C8F91921C0}">
  <sheetPr codeName="Sheet24"/>
  <dimension ref="A1:K133"/>
  <sheetViews>
    <sheetView topLeftCell="A11" workbookViewId="0">
      <selection activeCell="A24" sqref="A24:XFD2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2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6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>
        <v>45658</v>
      </c>
      <c r="C9" s="9"/>
      <c r="D9" s="10"/>
      <c r="E9" s="11"/>
      <c r="F9" s="12"/>
      <c r="G9" s="344">
        <v>6</v>
      </c>
      <c r="H9" s="7"/>
      <c r="I9" s="7"/>
      <c r="J9">
        <f>497+10</f>
        <v>507</v>
      </c>
    </row>
    <row r="10" spans="1:10" ht="18" customHeight="1" x14ac:dyDescent="0.25">
      <c r="A10" s="14">
        <v>1</v>
      </c>
      <c r="B10" s="8">
        <v>45716</v>
      </c>
      <c r="C10" s="15" t="s">
        <v>233</v>
      </c>
      <c r="D10" s="10" t="s">
        <v>19</v>
      </c>
      <c r="E10" s="113"/>
      <c r="F10" s="27">
        <v>1.1000000000000001</v>
      </c>
      <c r="G10" s="114">
        <f t="shared" ref="G10:G74" si="0">+G9+E10-F10</f>
        <v>4.9000000000000004</v>
      </c>
      <c r="H10" s="276" t="s">
        <v>129</v>
      </c>
      <c r="I10" s="7"/>
    </row>
    <row r="11" spans="1:10" ht="18" customHeight="1" x14ac:dyDescent="0.25">
      <c r="A11" s="14">
        <f t="shared" ref="A11:A75" si="1">+A10+1</f>
        <v>2</v>
      </c>
      <c r="B11" s="8">
        <v>45724</v>
      </c>
      <c r="C11" s="15" t="s">
        <v>233</v>
      </c>
      <c r="D11" s="10" t="s">
        <v>19</v>
      </c>
      <c r="E11" s="113">
        <v>163</v>
      </c>
      <c r="F11" s="23"/>
      <c r="G11" s="114">
        <f t="shared" si="0"/>
        <v>167.9</v>
      </c>
      <c r="H11" s="276" t="s">
        <v>129</v>
      </c>
      <c r="I11" s="7" t="s">
        <v>90</v>
      </c>
    </row>
    <row r="12" spans="1:10" ht="18" customHeight="1" x14ac:dyDescent="0.25">
      <c r="A12" s="14">
        <f t="shared" si="1"/>
        <v>3</v>
      </c>
      <c r="B12" s="8">
        <v>45746</v>
      </c>
      <c r="C12" s="15" t="s">
        <v>233</v>
      </c>
      <c r="D12" s="10" t="s">
        <v>19</v>
      </c>
      <c r="E12" s="113"/>
      <c r="F12" s="346">
        <v>3</v>
      </c>
      <c r="G12" s="114">
        <f t="shared" si="0"/>
        <v>164.9</v>
      </c>
      <c r="H12" s="276" t="s">
        <v>129</v>
      </c>
      <c r="I12" s="7" t="s">
        <v>90</v>
      </c>
    </row>
    <row r="13" spans="1:10" ht="18" customHeight="1" x14ac:dyDescent="0.25">
      <c r="A13" s="14">
        <f t="shared" si="1"/>
        <v>4</v>
      </c>
      <c r="B13" s="8">
        <v>45749</v>
      </c>
      <c r="C13" s="15" t="s">
        <v>233</v>
      </c>
      <c r="D13" s="10" t="s">
        <v>19</v>
      </c>
      <c r="E13" s="113"/>
      <c r="F13" s="17">
        <v>3.3</v>
      </c>
      <c r="G13" s="114">
        <f t="shared" si="0"/>
        <v>161.6</v>
      </c>
      <c r="H13" s="276" t="s">
        <v>129</v>
      </c>
      <c r="I13" s="7" t="s">
        <v>90</v>
      </c>
    </row>
    <row r="14" spans="1:10" ht="18" customHeight="1" x14ac:dyDescent="0.25">
      <c r="A14" s="14">
        <f t="shared" si="1"/>
        <v>5</v>
      </c>
      <c r="B14" s="44">
        <v>45750</v>
      </c>
      <c r="C14" s="15" t="s">
        <v>233</v>
      </c>
      <c r="D14" s="10" t="s">
        <v>19</v>
      </c>
      <c r="E14" s="113"/>
      <c r="F14" s="17">
        <v>4.7</v>
      </c>
      <c r="G14" s="114">
        <f t="shared" si="0"/>
        <v>156.9</v>
      </c>
      <c r="H14" s="276" t="s">
        <v>129</v>
      </c>
      <c r="I14" s="7" t="s">
        <v>253</v>
      </c>
    </row>
    <row r="15" spans="1:10" ht="18" customHeight="1" x14ac:dyDescent="0.25">
      <c r="A15" s="14">
        <f t="shared" si="1"/>
        <v>6</v>
      </c>
      <c r="B15" s="44">
        <v>45751</v>
      </c>
      <c r="C15" s="15"/>
      <c r="D15" s="10"/>
      <c r="E15" s="113"/>
      <c r="F15" s="17">
        <v>4.7</v>
      </c>
      <c r="G15" s="114">
        <f t="shared" si="0"/>
        <v>152.20000000000002</v>
      </c>
      <c r="H15" s="276" t="s">
        <v>129</v>
      </c>
      <c r="I15" s="7"/>
    </row>
    <row r="16" spans="1:10" ht="18" customHeight="1" x14ac:dyDescent="0.25">
      <c r="A16" s="14">
        <f t="shared" si="1"/>
        <v>7</v>
      </c>
      <c r="B16" s="8">
        <v>45752</v>
      </c>
      <c r="C16" s="15"/>
      <c r="D16" s="10" t="s">
        <v>19</v>
      </c>
      <c r="E16" s="113"/>
      <c r="F16" s="115">
        <v>2.8</v>
      </c>
      <c r="G16" s="114">
        <f t="shared" si="0"/>
        <v>149.4</v>
      </c>
      <c r="H16" s="276" t="s">
        <v>129</v>
      </c>
      <c r="I16" s="7" t="s">
        <v>302</v>
      </c>
      <c r="J16" s="26">
        <f>+F16+F18</f>
        <v>6.8</v>
      </c>
    </row>
    <row r="17" spans="1:11" ht="18" customHeight="1" x14ac:dyDescent="0.25">
      <c r="A17" s="14">
        <f t="shared" si="1"/>
        <v>8</v>
      </c>
      <c r="B17" s="8">
        <v>45755</v>
      </c>
      <c r="C17" s="15"/>
      <c r="D17" s="10" t="s">
        <v>19</v>
      </c>
      <c r="E17" s="113"/>
      <c r="F17" s="115">
        <v>3</v>
      </c>
      <c r="G17" s="114">
        <f t="shared" si="0"/>
        <v>146.4</v>
      </c>
      <c r="H17" s="276" t="s">
        <v>129</v>
      </c>
      <c r="I17" s="7" t="s">
        <v>90</v>
      </c>
      <c r="J17" s="26"/>
    </row>
    <row r="18" spans="1:11" ht="18" customHeight="1" x14ac:dyDescent="0.25">
      <c r="A18" s="14">
        <f t="shared" si="1"/>
        <v>9</v>
      </c>
      <c r="B18" s="8">
        <v>45756</v>
      </c>
      <c r="C18" s="15"/>
      <c r="D18" s="10" t="s">
        <v>19</v>
      </c>
      <c r="E18" s="113"/>
      <c r="F18" s="152">
        <v>4</v>
      </c>
      <c r="G18" s="114">
        <f t="shared" si="0"/>
        <v>142.4</v>
      </c>
      <c r="H18" s="276" t="s">
        <v>129</v>
      </c>
      <c r="I18" s="7" t="s">
        <v>90</v>
      </c>
      <c r="J18" s="26">
        <v>10.199999999999999</v>
      </c>
    </row>
    <row r="19" spans="1:11" ht="18" customHeight="1" x14ac:dyDescent="0.25">
      <c r="A19" s="14">
        <f t="shared" si="1"/>
        <v>10</v>
      </c>
      <c r="B19" s="8">
        <v>45860</v>
      </c>
      <c r="C19" s="15"/>
      <c r="D19" s="10" t="s">
        <v>19</v>
      </c>
      <c r="E19" s="113"/>
      <c r="F19" s="152">
        <v>2</v>
      </c>
      <c r="G19" s="114">
        <f t="shared" si="0"/>
        <v>140.4</v>
      </c>
      <c r="H19" s="276" t="s">
        <v>129</v>
      </c>
      <c r="I19" s="7" t="s">
        <v>90</v>
      </c>
    </row>
    <row r="20" spans="1:11" ht="18" customHeight="1" x14ac:dyDescent="0.25">
      <c r="A20" s="14">
        <f t="shared" si="1"/>
        <v>11</v>
      </c>
      <c r="B20" s="8">
        <v>45861</v>
      </c>
      <c r="C20" s="15"/>
      <c r="D20" s="10" t="s">
        <v>19</v>
      </c>
      <c r="E20" s="113"/>
      <c r="F20" s="368">
        <v>5.6</v>
      </c>
      <c r="G20" s="114">
        <f t="shared" si="0"/>
        <v>134.80000000000001</v>
      </c>
      <c r="H20" s="276" t="s">
        <v>129</v>
      </c>
      <c r="I20" s="7" t="s">
        <v>90</v>
      </c>
    </row>
    <row r="21" spans="1:11" ht="18" customHeight="1" x14ac:dyDescent="0.25">
      <c r="A21" s="14">
        <f t="shared" si="1"/>
        <v>12</v>
      </c>
      <c r="B21" s="8">
        <v>45862</v>
      </c>
      <c r="C21" s="15"/>
      <c r="D21" s="10" t="s">
        <v>19</v>
      </c>
      <c r="E21" s="113"/>
      <c r="F21" s="152">
        <v>5.3</v>
      </c>
      <c r="G21" s="114">
        <f t="shared" si="0"/>
        <v>129.5</v>
      </c>
      <c r="H21" s="276" t="s">
        <v>129</v>
      </c>
      <c r="I21" s="7" t="s">
        <v>90</v>
      </c>
    </row>
    <row r="22" spans="1:11" ht="18" customHeight="1" x14ac:dyDescent="0.25">
      <c r="A22" s="14">
        <f t="shared" si="1"/>
        <v>13</v>
      </c>
      <c r="B22" s="8">
        <v>45863</v>
      </c>
      <c r="C22" s="15"/>
      <c r="D22" s="10" t="s">
        <v>19</v>
      </c>
      <c r="E22" s="11"/>
      <c r="F22" s="27">
        <v>6.1</v>
      </c>
      <c r="G22" s="388">
        <f t="shared" si="0"/>
        <v>123.4</v>
      </c>
      <c r="H22" s="276" t="s">
        <v>129</v>
      </c>
      <c r="I22" s="7" t="s">
        <v>303</v>
      </c>
    </row>
    <row r="23" spans="1:11" ht="18" customHeight="1" x14ac:dyDescent="0.25">
      <c r="A23" s="14">
        <f t="shared" si="1"/>
        <v>14</v>
      </c>
      <c r="B23" s="8">
        <v>45864</v>
      </c>
      <c r="C23" s="15"/>
      <c r="D23" s="10" t="s">
        <v>19</v>
      </c>
      <c r="E23" s="113"/>
      <c r="F23" s="116">
        <v>4</v>
      </c>
      <c r="G23" s="114">
        <f t="shared" si="0"/>
        <v>119.4</v>
      </c>
      <c r="H23" s="276" t="s">
        <v>129</v>
      </c>
      <c r="I23" s="7" t="s">
        <v>90</v>
      </c>
    </row>
    <row r="24" spans="1:11" ht="18" customHeight="1" x14ac:dyDescent="0.25">
      <c r="A24" s="14">
        <f t="shared" si="1"/>
        <v>15</v>
      </c>
      <c r="B24" s="8">
        <v>45887</v>
      </c>
      <c r="C24" s="15"/>
      <c r="D24" s="10" t="s">
        <v>19</v>
      </c>
      <c r="E24" s="113"/>
      <c r="F24" s="27">
        <v>1.4</v>
      </c>
      <c r="G24" s="114">
        <f t="shared" si="0"/>
        <v>118</v>
      </c>
      <c r="H24" s="276" t="s">
        <v>129</v>
      </c>
      <c r="I24" s="7" t="s">
        <v>90</v>
      </c>
      <c r="J24" s="115"/>
      <c r="K24" s="26"/>
    </row>
    <row r="25" spans="1:11" ht="18" customHeight="1" x14ac:dyDescent="0.25">
      <c r="A25" s="14">
        <f t="shared" si="1"/>
        <v>16</v>
      </c>
      <c r="B25" s="8">
        <v>45889</v>
      </c>
      <c r="C25" s="15"/>
      <c r="D25" s="10" t="s">
        <v>19</v>
      </c>
      <c r="E25" s="113"/>
      <c r="F25" s="27">
        <v>1</v>
      </c>
      <c r="G25" s="114">
        <f t="shared" si="0"/>
        <v>117</v>
      </c>
      <c r="H25" s="276" t="s">
        <v>129</v>
      </c>
      <c r="I25" s="7" t="s">
        <v>90</v>
      </c>
      <c r="J25" s="17"/>
      <c r="K25" s="26"/>
    </row>
    <row r="26" spans="1:11" ht="18" customHeight="1" x14ac:dyDescent="0.25">
      <c r="A26" s="14">
        <f t="shared" si="1"/>
        <v>17</v>
      </c>
      <c r="B26" s="8">
        <v>45896</v>
      </c>
      <c r="C26" s="15"/>
      <c r="D26" s="10" t="s">
        <v>19</v>
      </c>
      <c r="E26" s="117"/>
      <c r="F26" s="118">
        <v>4.4000000000000004</v>
      </c>
      <c r="G26" s="114">
        <f t="shared" si="0"/>
        <v>112.6</v>
      </c>
      <c r="H26" s="276" t="s">
        <v>129</v>
      </c>
      <c r="I26" s="7" t="s">
        <v>90</v>
      </c>
      <c r="J26" s="17"/>
      <c r="K26" s="26">
        <f>5*25+17</f>
        <v>142</v>
      </c>
    </row>
    <row r="27" spans="1:11" ht="18" customHeight="1" x14ac:dyDescent="0.25">
      <c r="A27" s="14">
        <f t="shared" si="1"/>
        <v>18</v>
      </c>
      <c r="B27" s="8">
        <v>45897</v>
      </c>
      <c r="C27" s="15"/>
      <c r="D27" s="10" t="s">
        <v>19</v>
      </c>
      <c r="E27" s="117"/>
      <c r="F27" s="118">
        <v>3.7</v>
      </c>
      <c r="G27" s="114">
        <f t="shared" si="0"/>
        <v>108.89999999999999</v>
      </c>
      <c r="H27" s="276" t="s">
        <v>129</v>
      </c>
      <c r="I27" s="7" t="s">
        <v>90</v>
      </c>
      <c r="J27" s="17"/>
      <c r="K27" s="26"/>
    </row>
    <row r="28" spans="1:11" ht="18" customHeight="1" x14ac:dyDescent="0.25">
      <c r="A28" s="14">
        <f t="shared" si="1"/>
        <v>19</v>
      </c>
      <c r="B28" s="8">
        <v>45898</v>
      </c>
      <c r="C28" s="15"/>
      <c r="D28" s="10" t="s">
        <v>19</v>
      </c>
      <c r="E28" s="117"/>
      <c r="F28" s="119">
        <v>3.7</v>
      </c>
      <c r="G28" s="114">
        <f t="shared" si="0"/>
        <v>105.19999999999999</v>
      </c>
      <c r="H28" s="276" t="s">
        <v>129</v>
      </c>
      <c r="I28" s="7" t="s">
        <v>90</v>
      </c>
      <c r="J28" s="17"/>
    </row>
    <row r="29" spans="1:11" ht="18" customHeight="1" x14ac:dyDescent="0.25">
      <c r="A29" s="14">
        <f t="shared" si="1"/>
        <v>20</v>
      </c>
      <c r="B29" s="8">
        <v>45903</v>
      </c>
      <c r="C29" s="15"/>
      <c r="D29" s="10" t="s">
        <v>19</v>
      </c>
      <c r="E29" s="117"/>
      <c r="F29" s="119">
        <v>4.5</v>
      </c>
      <c r="G29" s="114">
        <f t="shared" si="0"/>
        <v>100.69999999999999</v>
      </c>
      <c r="H29" s="276" t="s">
        <v>129</v>
      </c>
      <c r="I29" s="7" t="s">
        <v>90</v>
      </c>
      <c r="J29" s="27"/>
      <c r="K29" s="26"/>
    </row>
    <row r="30" spans="1:11" ht="18" customHeight="1" x14ac:dyDescent="0.25">
      <c r="A30" s="14">
        <f t="shared" si="1"/>
        <v>21</v>
      </c>
      <c r="B30" s="8">
        <v>45904</v>
      </c>
      <c r="C30" s="15"/>
      <c r="D30" s="10" t="s">
        <v>19</v>
      </c>
      <c r="E30" s="117"/>
      <c r="F30" s="119">
        <v>3.2</v>
      </c>
      <c r="G30" s="114">
        <f t="shared" si="0"/>
        <v>97.499999999999986</v>
      </c>
      <c r="H30" s="276" t="s">
        <v>129</v>
      </c>
      <c r="I30" s="7" t="s">
        <v>90</v>
      </c>
      <c r="J30" s="31"/>
    </row>
    <row r="31" spans="1:11" ht="18" customHeight="1" x14ac:dyDescent="0.25">
      <c r="A31" s="14">
        <f t="shared" si="1"/>
        <v>22</v>
      </c>
      <c r="B31" s="8"/>
      <c r="C31" s="15"/>
      <c r="D31" s="10" t="s">
        <v>19</v>
      </c>
      <c r="E31" s="117"/>
      <c r="F31" s="119"/>
      <c r="G31" s="114">
        <f t="shared" si="0"/>
        <v>97.499999999999986</v>
      </c>
      <c r="H31" s="276" t="s">
        <v>129</v>
      </c>
      <c r="I31" s="7" t="s">
        <v>90</v>
      </c>
      <c r="J31" s="120"/>
    </row>
    <row r="32" spans="1:11" ht="18" customHeight="1" x14ac:dyDescent="0.25">
      <c r="A32" s="14">
        <f t="shared" si="1"/>
        <v>23</v>
      </c>
      <c r="B32" s="8"/>
      <c r="C32" s="15"/>
      <c r="D32" s="10" t="s">
        <v>19</v>
      </c>
      <c r="E32" s="117"/>
      <c r="F32" s="27"/>
      <c r="G32" s="114">
        <f t="shared" si="0"/>
        <v>97.499999999999986</v>
      </c>
      <c r="H32" s="276" t="s">
        <v>129</v>
      </c>
      <c r="I32" s="7" t="s">
        <v>90</v>
      </c>
    </row>
    <row r="33" spans="1:9" ht="18" customHeight="1" x14ac:dyDescent="0.25">
      <c r="A33" s="14">
        <f t="shared" si="1"/>
        <v>24</v>
      </c>
      <c r="B33" s="8"/>
      <c r="C33" s="15"/>
      <c r="D33" s="10" t="s">
        <v>19</v>
      </c>
      <c r="E33" s="117"/>
      <c r="F33" s="27"/>
      <c r="G33" s="114">
        <f t="shared" si="0"/>
        <v>97.499999999999986</v>
      </c>
      <c r="H33" s="276" t="s">
        <v>129</v>
      </c>
      <c r="I33" s="7" t="s">
        <v>90</v>
      </c>
    </row>
    <row r="34" spans="1:9" ht="18" customHeight="1" x14ac:dyDescent="0.25">
      <c r="A34" s="14">
        <f t="shared" si="1"/>
        <v>25</v>
      </c>
      <c r="B34" s="8"/>
      <c r="C34" s="15"/>
      <c r="D34" s="10" t="s">
        <v>19</v>
      </c>
      <c r="E34" s="117"/>
      <c r="F34" s="27"/>
      <c r="G34" s="114">
        <f t="shared" si="0"/>
        <v>97.499999999999986</v>
      </c>
      <c r="H34" s="276" t="s">
        <v>129</v>
      </c>
      <c r="I34" s="7" t="s">
        <v>90</v>
      </c>
    </row>
    <row r="35" spans="1:9" ht="18" customHeight="1" x14ac:dyDescent="0.25">
      <c r="A35" s="14">
        <f t="shared" si="1"/>
        <v>26</v>
      </c>
      <c r="B35" s="8"/>
      <c r="C35" s="15"/>
      <c r="D35" s="10" t="s">
        <v>19</v>
      </c>
      <c r="E35" s="117"/>
      <c r="F35" s="119"/>
      <c r="G35" s="114">
        <f t="shared" si="0"/>
        <v>97.499999999999986</v>
      </c>
      <c r="H35" s="276" t="s">
        <v>129</v>
      </c>
      <c r="I35" s="7" t="s">
        <v>90</v>
      </c>
    </row>
    <row r="36" spans="1:9" ht="18" customHeight="1" x14ac:dyDescent="0.25">
      <c r="A36" s="14">
        <f t="shared" si="1"/>
        <v>27</v>
      </c>
      <c r="B36" s="8"/>
      <c r="C36" s="15"/>
      <c r="D36" s="10" t="s">
        <v>19</v>
      </c>
      <c r="E36" s="117"/>
      <c r="F36" s="27"/>
      <c r="G36" s="114">
        <f t="shared" si="0"/>
        <v>97.499999999999986</v>
      </c>
      <c r="H36" s="276" t="s">
        <v>129</v>
      </c>
      <c r="I36" s="7"/>
    </row>
    <row r="37" spans="1:9" ht="18" customHeight="1" x14ac:dyDescent="0.25">
      <c r="A37" s="14">
        <f t="shared" si="1"/>
        <v>28</v>
      </c>
      <c r="B37" s="8"/>
      <c r="C37" s="15"/>
      <c r="D37" s="10" t="s">
        <v>19</v>
      </c>
      <c r="E37" s="117"/>
      <c r="F37" s="27"/>
      <c r="G37" s="114">
        <f t="shared" si="0"/>
        <v>97.499999999999986</v>
      </c>
      <c r="H37" s="276" t="s">
        <v>129</v>
      </c>
      <c r="I37" s="7" t="s">
        <v>90</v>
      </c>
    </row>
    <row r="38" spans="1:9" ht="18" customHeight="1" x14ac:dyDescent="0.25">
      <c r="A38" s="14">
        <f t="shared" si="1"/>
        <v>29</v>
      </c>
      <c r="B38" s="8"/>
      <c r="C38" s="15"/>
      <c r="D38" s="10" t="s">
        <v>19</v>
      </c>
      <c r="E38" s="117"/>
      <c r="F38" s="27"/>
      <c r="G38" s="114">
        <f t="shared" si="0"/>
        <v>97.499999999999986</v>
      </c>
      <c r="H38" s="276" t="s">
        <v>129</v>
      </c>
      <c r="I38" s="7" t="s">
        <v>90</v>
      </c>
    </row>
    <row r="39" spans="1:9" ht="18" customHeight="1" x14ac:dyDescent="0.25">
      <c r="A39" s="14">
        <f t="shared" si="1"/>
        <v>30</v>
      </c>
      <c r="B39" s="8"/>
      <c r="C39" s="15"/>
      <c r="D39" s="10" t="s">
        <v>19</v>
      </c>
      <c r="E39" s="117"/>
      <c r="F39" s="27"/>
      <c r="G39" s="114">
        <f t="shared" si="0"/>
        <v>97.499999999999986</v>
      </c>
      <c r="H39" s="276" t="s">
        <v>129</v>
      </c>
      <c r="I39" s="7" t="s">
        <v>90</v>
      </c>
    </row>
    <row r="40" spans="1:9" ht="18" customHeight="1" x14ac:dyDescent="0.25">
      <c r="A40" s="14">
        <f t="shared" si="1"/>
        <v>31</v>
      </c>
      <c r="B40" s="8"/>
      <c r="C40" s="15"/>
      <c r="D40" s="10" t="s">
        <v>19</v>
      </c>
      <c r="E40" s="117"/>
      <c r="F40" s="119"/>
      <c r="G40" s="114">
        <f t="shared" si="0"/>
        <v>97.499999999999986</v>
      </c>
      <c r="H40" s="276" t="s">
        <v>129</v>
      </c>
      <c r="I40" s="7" t="s">
        <v>90</v>
      </c>
    </row>
    <row r="41" spans="1:9" ht="18" customHeight="1" x14ac:dyDescent="0.25">
      <c r="A41" s="14">
        <f t="shared" si="1"/>
        <v>32</v>
      </c>
      <c r="B41" s="8"/>
      <c r="C41" s="15"/>
      <c r="D41" s="10" t="s">
        <v>19</v>
      </c>
      <c r="E41" s="117"/>
      <c r="F41" s="119"/>
      <c r="G41" s="114">
        <f t="shared" si="0"/>
        <v>97.499999999999986</v>
      </c>
      <c r="H41" s="276" t="s">
        <v>129</v>
      </c>
      <c r="I41" s="7" t="s">
        <v>90</v>
      </c>
    </row>
    <row r="42" spans="1:9" ht="18" customHeight="1" x14ac:dyDescent="0.25">
      <c r="A42" s="14">
        <f t="shared" si="1"/>
        <v>33</v>
      </c>
      <c r="B42" s="8"/>
      <c r="C42" s="15"/>
      <c r="D42" s="10" t="s">
        <v>19</v>
      </c>
      <c r="E42" s="117"/>
      <c r="F42" s="27"/>
      <c r="G42" s="114">
        <f t="shared" si="0"/>
        <v>97.499999999999986</v>
      </c>
      <c r="H42" s="276" t="s">
        <v>129</v>
      </c>
      <c r="I42" s="7" t="s">
        <v>90</v>
      </c>
    </row>
    <row r="43" spans="1:9" ht="18" customHeight="1" x14ac:dyDescent="0.25">
      <c r="A43" s="14">
        <f t="shared" si="1"/>
        <v>34</v>
      </c>
      <c r="B43" s="8"/>
      <c r="C43" s="15"/>
      <c r="D43" s="10" t="s">
        <v>19</v>
      </c>
      <c r="E43" s="117"/>
      <c r="F43" s="27"/>
      <c r="G43" s="114">
        <f t="shared" si="0"/>
        <v>97.499999999999986</v>
      </c>
      <c r="H43" s="276" t="s">
        <v>129</v>
      </c>
      <c r="I43" s="7" t="s">
        <v>90</v>
      </c>
    </row>
    <row r="44" spans="1:9" ht="18" customHeight="1" x14ac:dyDescent="0.25">
      <c r="A44" s="14">
        <f t="shared" si="1"/>
        <v>35</v>
      </c>
      <c r="B44" s="8"/>
      <c r="C44" s="15"/>
      <c r="D44" s="10" t="s">
        <v>19</v>
      </c>
      <c r="E44" s="117"/>
      <c r="F44" s="119"/>
      <c r="G44" s="114">
        <f t="shared" si="0"/>
        <v>97.499999999999986</v>
      </c>
      <c r="H44" s="276" t="s">
        <v>129</v>
      </c>
      <c r="I44" s="7" t="s">
        <v>90</v>
      </c>
    </row>
    <row r="45" spans="1:9" ht="18" customHeight="1" x14ac:dyDescent="0.25">
      <c r="A45" s="14">
        <f t="shared" si="1"/>
        <v>36</v>
      </c>
      <c r="B45" s="8"/>
      <c r="C45" s="15"/>
      <c r="D45" s="10" t="s">
        <v>19</v>
      </c>
      <c r="F45" s="27"/>
      <c r="G45" s="114">
        <f t="shared" si="0"/>
        <v>97.499999999999986</v>
      </c>
      <c r="H45" s="276" t="s">
        <v>129</v>
      </c>
      <c r="I45" s="7" t="s">
        <v>90</v>
      </c>
    </row>
    <row r="46" spans="1:9" ht="18" customHeight="1" x14ac:dyDescent="0.25">
      <c r="A46" s="14">
        <f t="shared" si="1"/>
        <v>37</v>
      </c>
      <c r="B46" s="8"/>
      <c r="C46" s="15"/>
      <c r="D46" s="10" t="s">
        <v>19</v>
      </c>
      <c r="E46" s="117"/>
      <c r="F46" s="118"/>
      <c r="G46" s="114">
        <f t="shared" si="0"/>
        <v>97.499999999999986</v>
      </c>
      <c r="H46" s="276" t="s">
        <v>129</v>
      </c>
      <c r="I46" s="7" t="s">
        <v>90</v>
      </c>
    </row>
    <row r="47" spans="1:9" ht="18" customHeight="1" x14ac:dyDescent="0.25">
      <c r="A47" s="14">
        <f t="shared" si="1"/>
        <v>38</v>
      </c>
      <c r="B47" s="8"/>
      <c r="C47" s="15"/>
      <c r="D47" s="10" t="s">
        <v>19</v>
      </c>
      <c r="E47" s="117"/>
      <c r="F47" s="118"/>
      <c r="G47" s="114">
        <f t="shared" si="0"/>
        <v>97.499999999999986</v>
      </c>
      <c r="H47" s="276" t="s">
        <v>129</v>
      </c>
      <c r="I47" s="7" t="s">
        <v>90</v>
      </c>
    </row>
    <row r="48" spans="1:9" ht="18" customHeight="1" x14ac:dyDescent="0.25">
      <c r="A48" s="14">
        <f t="shared" si="1"/>
        <v>39</v>
      </c>
      <c r="B48" s="8"/>
      <c r="C48" s="15"/>
      <c r="D48" s="10" t="s">
        <v>19</v>
      </c>
      <c r="E48" s="117"/>
      <c r="F48" s="118"/>
      <c r="G48" s="114">
        <f t="shared" si="0"/>
        <v>97.499999999999986</v>
      </c>
      <c r="H48" s="276" t="s">
        <v>129</v>
      </c>
      <c r="I48" s="7" t="s">
        <v>90</v>
      </c>
    </row>
    <row r="49" spans="1:9" ht="18" customHeight="1" x14ac:dyDescent="0.25">
      <c r="A49" s="14">
        <f t="shared" si="1"/>
        <v>40</v>
      </c>
      <c r="B49" s="8"/>
      <c r="C49" s="15"/>
      <c r="D49" s="10" t="s">
        <v>19</v>
      </c>
      <c r="E49" s="117"/>
      <c r="F49" s="118"/>
      <c r="G49" s="114">
        <f t="shared" si="0"/>
        <v>97.499999999999986</v>
      </c>
      <c r="H49" s="276" t="s">
        <v>129</v>
      </c>
      <c r="I49" s="7" t="s">
        <v>90</v>
      </c>
    </row>
    <row r="50" spans="1:9" ht="18" customHeight="1" x14ac:dyDescent="0.25">
      <c r="A50" s="14">
        <f t="shared" si="1"/>
        <v>41</v>
      </c>
      <c r="B50" s="8"/>
      <c r="C50" s="15"/>
      <c r="D50" s="10" t="s">
        <v>19</v>
      </c>
      <c r="E50" s="117"/>
      <c r="F50" s="119"/>
      <c r="G50" s="114">
        <f t="shared" si="0"/>
        <v>97.499999999999986</v>
      </c>
      <c r="H50" s="276" t="s">
        <v>129</v>
      </c>
      <c r="I50" s="7" t="s">
        <v>90</v>
      </c>
    </row>
    <row r="51" spans="1:9" ht="18" customHeight="1" x14ac:dyDescent="0.25">
      <c r="A51" s="14">
        <f t="shared" si="1"/>
        <v>42</v>
      </c>
      <c r="B51" s="8"/>
      <c r="C51" s="15"/>
      <c r="D51" s="10" t="s">
        <v>19</v>
      </c>
      <c r="E51" s="117"/>
      <c r="F51" s="118"/>
      <c r="G51" s="114">
        <f t="shared" si="0"/>
        <v>97.499999999999986</v>
      </c>
      <c r="H51" s="276" t="s">
        <v>129</v>
      </c>
      <c r="I51" s="7" t="s">
        <v>90</v>
      </c>
    </row>
    <row r="52" spans="1:9" ht="18" customHeight="1" x14ac:dyDescent="0.25">
      <c r="A52" s="14">
        <f t="shared" si="1"/>
        <v>43</v>
      </c>
      <c r="B52" s="8"/>
      <c r="C52" s="15"/>
      <c r="D52" s="10" t="s">
        <v>19</v>
      </c>
      <c r="E52" s="117"/>
      <c r="F52" s="118"/>
      <c r="G52" s="114">
        <f t="shared" si="0"/>
        <v>97.499999999999986</v>
      </c>
      <c r="H52" s="276" t="s">
        <v>129</v>
      </c>
      <c r="I52" s="7" t="s">
        <v>90</v>
      </c>
    </row>
    <row r="53" spans="1:9" ht="18" customHeight="1" x14ac:dyDescent="0.25">
      <c r="A53" s="14">
        <f t="shared" si="1"/>
        <v>44</v>
      </c>
      <c r="B53" s="8"/>
      <c r="C53" s="15"/>
      <c r="D53" s="10" t="s">
        <v>19</v>
      </c>
      <c r="E53" s="117"/>
      <c r="F53" s="27"/>
      <c r="G53" s="114">
        <f t="shared" si="0"/>
        <v>97.499999999999986</v>
      </c>
      <c r="H53" s="276" t="s">
        <v>129</v>
      </c>
      <c r="I53" s="7" t="s">
        <v>90</v>
      </c>
    </row>
    <row r="54" spans="1:9" ht="18" customHeight="1" x14ac:dyDescent="0.25">
      <c r="A54" s="14">
        <f t="shared" si="1"/>
        <v>45</v>
      </c>
      <c r="B54" s="8"/>
      <c r="C54" s="15"/>
      <c r="D54" s="10" t="s">
        <v>19</v>
      </c>
      <c r="E54" s="117"/>
      <c r="F54" s="27"/>
      <c r="G54" s="114">
        <f t="shared" si="0"/>
        <v>97.499999999999986</v>
      </c>
      <c r="H54" s="276" t="s">
        <v>129</v>
      </c>
      <c r="I54" s="7" t="s">
        <v>90</v>
      </c>
    </row>
    <row r="55" spans="1:9" ht="18" customHeight="1" x14ac:dyDescent="0.25">
      <c r="A55" s="14">
        <f t="shared" si="1"/>
        <v>46</v>
      </c>
      <c r="B55" s="8"/>
      <c r="C55" s="15"/>
      <c r="D55" s="10" t="s">
        <v>19</v>
      </c>
      <c r="E55" s="117"/>
      <c r="F55" s="27"/>
      <c r="G55" s="114">
        <f t="shared" si="0"/>
        <v>97.499999999999986</v>
      </c>
      <c r="H55" s="276" t="s">
        <v>129</v>
      </c>
      <c r="I55" s="7" t="s">
        <v>90</v>
      </c>
    </row>
    <row r="56" spans="1:9" ht="18" customHeight="1" x14ac:dyDescent="0.25">
      <c r="A56" s="14">
        <f t="shared" si="1"/>
        <v>47</v>
      </c>
      <c r="B56" s="8"/>
      <c r="C56" s="15"/>
      <c r="D56" s="10" t="s">
        <v>19</v>
      </c>
      <c r="E56" s="117"/>
      <c r="F56" s="27"/>
      <c r="G56" s="114">
        <f t="shared" si="0"/>
        <v>97.499999999999986</v>
      </c>
      <c r="H56" s="276" t="s">
        <v>129</v>
      </c>
      <c r="I56" s="7" t="s">
        <v>90</v>
      </c>
    </row>
    <row r="57" spans="1:9" ht="18" customHeight="1" x14ac:dyDescent="0.25">
      <c r="A57" s="14">
        <f t="shared" si="1"/>
        <v>48</v>
      </c>
      <c r="B57" s="8"/>
      <c r="C57" s="15"/>
      <c r="D57" s="10" t="s">
        <v>19</v>
      </c>
      <c r="E57" s="117"/>
      <c r="F57" s="27"/>
      <c r="G57" s="114">
        <f t="shared" si="0"/>
        <v>97.499999999999986</v>
      </c>
      <c r="H57" s="276" t="s">
        <v>129</v>
      </c>
      <c r="I57" s="7" t="s">
        <v>90</v>
      </c>
    </row>
    <row r="58" spans="1:9" ht="18" customHeight="1" x14ac:dyDescent="0.25">
      <c r="A58" s="14">
        <f t="shared" si="1"/>
        <v>49</v>
      </c>
      <c r="B58" s="8"/>
      <c r="C58" s="15"/>
      <c r="D58" s="10" t="s">
        <v>19</v>
      </c>
      <c r="E58" s="117"/>
      <c r="F58" s="119"/>
      <c r="G58" s="114">
        <f t="shared" si="0"/>
        <v>97.499999999999986</v>
      </c>
      <c r="H58" s="276" t="s">
        <v>129</v>
      </c>
      <c r="I58" s="7" t="s">
        <v>90</v>
      </c>
    </row>
    <row r="59" spans="1:9" ht="18" customHeight="1" x14ac:dyDescent="0.25">
      <c r="A59" s="14">
        <f t="shared" si="1"/>
        <v>50</v>
      </c>
      <c r="B59" s="8"/>
      <c r="C59" s="15"/>
      <c r="D59" s="10" t="s">
        <v>19</v>
      </c>
      <c r="E59" s="117"/>
      <c r="F59" s="119"/>
      <c r="G59" s="114">
        <f t="shared" si="0"/>
        <v>97.499999999999986</v>
      </c>
      <c r="H59" s="276" t="s">
        <v>129</v>
      </c>
      <c r="I59" s="7" t="s">
        <v>90</v>
      </c>
    </row>
    <row r="60" spans="1:9" ht="18" customHeight="1" x14ac:dyDescent="0.25">
      <c r="A60" s="14">
        <f t="shared" si="1"/>
        <v>51</v>
      </c>
      <c r="B60" s="8"/>
      <c r="C60" s="15"/>
      <c r="D60" s="10" t="s">
        <v>19</v>
      </c>
      <c r="E60" s="117"/>
      <c r="F60" s="119"/>
      <c r="G60" s="114">
        <f t="shared" si="0"/>
        <v>97.499999999999986</v>
      </c>
      <c r="H60" s="276" t="s">
        <v>129</v>
      </c>
      <c r="I60" s="7" t="s">
        <v>90</v>
      </c>
    </row>
    <row r="61" spans="1:9" ht="18" customHeight="1" x14ac:dyDescent="0.25">
      <c r="A61" s="14">
        <f t="shared" si="1"/>
        <v>52</v>
      </c>
      <c r="B61" s="8"/>
      <c r="C61" s="15"/>
      <c r="D61" s="10" t="s">
        <v>19</v>
      </c>
      <c r="E61" s="117"/>
      <c r="F61" s="27"/>
      <c r="G61" s="114">
        <f t="shared" si="0"/>
        <v>97.499999999999986</v>
      </c>
      <c r="H61" s="276" t="s">
        <v>129</v>
      </c>
      <c r="I61" s="7"/>
    </row>
    <row r="62" spans="1:9" ht="18" customHeight="1" x14ac:dyDescent="0.25">
      <c r="A62" s="14">
        <f t="shared" si="1"/>
        <v>53</v>
      </c>
      <c r="B62" s="8"/>
      <c r="C62" s="15"/>
      <c r="D62" s="10" t="s">
        <v>19</v>
      </c>
      <c r="E62" s="117"/>
      <c r="F62" s="27"/>
      <c r="G62" s="114">
        <f t="shared" si="0"/>
        <v>97.499999999999986</v>
      </c>
      <c r="H62" s="276" t="s">
        <v>129</v>
      </c>
      <c r="I62" s="7"/>
    </row>
    <row r="63" spans="1:9" ht="18" customHeight="1" x14ac:dyDescent="0.25">
      <c r="A63" s="14">
        <f t="shared" si="1"/>
        <v>54</v>
      </c>
      <c r="B63" s="8"/>
      <c r="C63" s="15"/>
      <c r="D63" s="10" t="s">
        <v>19</v>
      </c>
      <c r="E63" s="117"/>
      <c r="F63" s="119"/>
      <c r="G63" s="114">
        <f t="shared" si="0"/>
        <v>97.499999999999986</v>
      </c>
      <c r="H63" s="276" t="s">
        <v>129</v>
      </c>
      <c r="I63" s="7"/>
    </row>
    <row r="64" spans="1:9" ht="18" customHeight="1" x14ac:dyDescent="0.25">
      <c r="A64" s="14">
        <f t="shared" si="1"/>
        <v>55</v>
      </c>
      <c r="B64" s="8"/>
      <c r="C64" s="15"/>
      <c r="D64" s="10" t="s">
        <v>19</v>
      </c>
      <c r="E64" s="117"/>
      <c r="F64" s="27"/>
      <c r="G64" s="114">
        <f t="shared" si="0"/>
        <v>97.499999999999986</v>
      </c>
      <c r="H64" s="276" t="s">
        <v>129</v>
      </c>
      <c r="I64" s="7"/>
    </row>
    <row r="65" spans="1:9" ht="18" customHeight="1" x14ac:dyDescent="0.25">
      <c r="A65" s="14">
        <f t="shared" si="1"/>
        <v>56</v>
      </c>
      <c r="B65" s="8"/>
      <c r="C65" s="15"/>
      <c r="D65" s="10" t="s">
        <v>19</v>
      </c>
      <c r="E65" s="117"/>
      <c r="F65" s="27"/>
      <c r="G65" s="114">
        <f t="shared" si="0"/>
        <v>97.499999999999986</v>
      </c>
      <c r="H65" s="276" t="s">
        <v>129</v>
      </c>
      <c r="I65" s="7"/>
    </row>
    <row r="66" spans="1:9" ht="18" customHeight="1" x14ac:dyDescent="0.25">
      <c r="A66" s="14">
        <f t="shared" si="1"/>
        <v>57</v>
      </c>
      <c r="B66" s="8"/>
      <c r="C66" s="15"/>
      <c r="D66" s="10" t="s">
        <v>19</v>
      </c>
      <c r="E66" s="117"/>
      <c r="F66" s="27"/>
      <c r="G66" s="114">
        <f t="shared" si="0"/>
        <v>97.499999999999986</v>
      </c>
      <c r="H66" s="276" t="s">
        <v>129</v>
      </c>
      <c r="I66" s="7"/>
    </row>
    <row r="67" spans="1:9" ht="18" customHeight="1" x14ac:dyDescent="0.25">
      <c r="A67" s="14">
        <f t="shared" si="1"/>
        <v>58</v>
      </c>
      <c r="B67" s="8"/>
      <c r="C67" s="15"/>
      <c r="D67" s="10" t="s">
        <v>19</v>
      </c>
      <c r="E67" s="117"/>
      <c r="F67" s="27"/>
      <c r="G67" s="114">
        <f t="shared" si="0"/>
        <v>97.499999999999986</v>
      </c>
      <c r="H67" s="276" t="s">
        <v>129</v>
      </c>
      <c r="I67" s="7"/>
    </row>
    <row r="68" spans="1:9" ht="18" customHeight="1" x14ac:dyDescent="0.25">
      <c r="A68" s="14">
        <f t="shared" si="1"/>
        <v>59</v>
      </c>
      <c r="B68" s="8"/>
      <c r="C68" s="15"/>
      <c r="D68" s="10" t="s">
        <v>19</v>
      </c>
      <c r="E68" s="117"/>
      <c r="F68" s="27"/>
      <c r="G68" s="114">
        <f t="shared" si="0"/>
        <v>97.499999999999986</v>
      </c>
      <c r="H68" s="276" t="s">
        <v>129</v>
      </c>
      <c r="I68" s="7"/>
    </row>
    <row r="69" spans="1:9" ht="18" customHeight="1" x14ac:dyDescent="0.25">
      <c r="A69" s="14">
        <f t="shared" si="1"/>
        <v>60</v>
      </c>
      <c r="B69" s="8"/>
      <c r="C69" s="15"/>
      <c r="D69" s="10" t="s">
        <v>19</v>
      </c>
      <c r="E69" s="117"/>
      <c r="F69" s="27"/>
      <c r="G69" s="114">
        <f t="shared" si="0"/>
        <v>97.499999999999986</v>
      </c>
      <c r="H69" s="276" t="s">
        <v>129</v>
      </c>
      <c r="I69" s="7"/>
    </row>
    <row r="70" spans="1:9" ht="18" customHeight="1" x14ac:dyDescent="0.25">
      <c r="A70" s="14">
        <f t="shared" si="1"/>
        <v>61</v>
      </c>
      <c r="B70" s="8"/>
      <c r="C70" s="15"/>
      <c r="D70" s="10" t="s">
        <v>19</v>
      </c>
      <c r="E70" s="117"/>
      <c r="F70" s="27"/>
      <c r="G70" s="114">
        <f t="shared" si="0"/>
        <v>97.499999999999986</v>
      </c>
      <c r="H70" s="276" t="s">
        <v>129</v>
      </c>
      <c r="I70" s="7"/>
    </row>
    <row r="71" spans="1:9" ht="18" customHeight="1" x14ac:dyDescent="0.25">
      <c r="A71" s="14">
        <f t="shared" si="1"/>
        <v>62</v>
      </c>
      <c r="B71" s="8"/>
      <c r="C71" s="15"/>
      <c r="D71" s="10" t="s">
        <v>19</v>
      </c>
      <c r="E71" s="117"/>
      <c r="F71" s="27"/>
      <c r="G71" s="114">
        <f t="shared" si="0"/>
        <v>97.499999999999986</v>
      </c>
      <c r="H71" s="276" t="s">
        <v>129</v>
      </c>
      <c r="I71" s="7"/>
    </row>
    <row r="72" spans="1:9" ht="18" customHeight="1" x14ac:dyDescent="0.25">
      <c r="A72" s="14">
        <f t="shared" si="1"/>
        <v>63</v>
      </c>
      <c r="B72" s="8"/>
      <c r="C72" s="15"/>
      <c r="D72" s="10" t="s">
        <v>19</v>
      </c>
      <c r="E72" s="117"/>
      <c r="F72" s="27"/>
      <c r="G72" s="114">
        <f t="shared" si="0"/>
        <v>97.499999999999986</v>
      </c>
      <c r="H72" s="276" t="s">
        <v>129</v>
      </c>
      <c r="I72" s="7"/>
    </row>
    <row r="73" spans="1:9" ht="18" customHeight="1" x14ac:dyDescent="0.25">
      <c r="A73" s="14">
        <f t="shared" si="1"/>
        <v>64</v>
      </c>
      <c r="B73" s="8"/>
      <c r="C73" s="15"/>
      <c r="D73" s="10" t="s">
        <v>19</v>
      </c>
      <c r="E73" s="117"/>
      <c r="F73" s="27"/>
      <c r="G73" s="114">
        <f t="shared" si="0"/>
        <v>97.499999999999986</v>
      </c>
      <c r="H73" s="276" t="s">
        <v>129</v>
      </c>
      <c r="I73" s="7"/>
    </row>
    <row r="74" spans="1:9" ht="18" customHeight="1" x14ac:dyDescent="0.25">
      <c r="A74" s="14">
        <f t="shared" si="1"/>
        <v>65</v>
      </c>
      <c r="B74" s="8"/>
      <c r="C74" s="15"/>
      <c r="D74" s="10" t="s">
        <v>19</v>
      </c>
      <c r="E74" s="117"/>
      <c r="F74" s="27"/>
      <c r="G74" s="114">
        <f t="shared" si="0"/>
        <v>97.499999999999986</v>
      </c>
      <c r="H74" s="276" t="s">
        <v>129</v>
      </c>
      <c r="I74" s="7"/>
    </row>
    <row r="75" spans="1:9" ht="18" customHeight="1" x14ac:dyDescent="0.25">
      <c r="A75" s="14">
        <f t="shared" si="1"/>
        <v>66</v>
      </c>
      <c r="B75" s="8"/>
      <c r="C75" s="15"/>
      <c r="D75" s="10" t="s">
        <v>19</v>
      </c>
      <c r="E75" s="117"/>
      <c r="F75" s="27"/>
      <c r="G75" s="114">
        <f t="shared" ref="G75:G91" si="2">+G74+E75-F75</f>
        <v>97.499999999999986</v>
      </c>
      <c r="H75" s="276" t="s">
        <v>129</v>
      </c>
      <c r="I75" s="7"/>
    </row>
    <row r="76" spans="1:9" ht="18" customHeight="1" x14ac:dyDescent="0.25">
      <c r="A76" s="14">
        <f t="shared" ref="A76:A91" si="3">+A75+1</f>
        <v>67</v>
      </c>
      <c r="B76" s="8"/>
      <c r="C76" s="15"/>
      <c r="D76" s="10" t="s">
        <v>19</v>
      </c>
      <c r="E76" s="117"/>
      <c r="F76" s="27"/>
      <c r="G76" s="114">
        <f t="shared" si="2"/>
        <v>97.499999999999986</v>
      </c>
      <c r="H76" s="276" t="s">
        <v>129</v>
      </c>
      <c r="I76" s="7"/>
    </row>
    <row r="77" spans="1:9" ht="18" customHeight="1" x14ac:dyDescent="0.25">
      <c r="A77" s="14">
        <f t="shared" si="3"/>
        <v>68</v>
      </c>
      <c r="B77" s="8"/>
      <c r="C77" s="15"/>
      <c r="D77" s="10" t="s">
        <v>19</v>
      </c>
      <c r="E77" s="117"/>
      <c r="F77" s="27"/>
      <c r="G77" s="114">
        <f t="shared" si="2"/>
        <v>97.499999999999986</v>
      </c>
      <c r="H77" s="276" t="s">
        <v>129</v>
      </c>
      <c r="I77" s="7"/>
    </row>
    <row r="78" spans="1:9" ht="18" customHeight="1" x14ac:dyDescent="0.25">
      <c r="A78" s="14">
        <f t="shared" si="3"/>
        <v>69</v>
      </c>
      <c r="B78" s="8"/>
      <c r="C78" s="15"/>
      <c r="D78" s="10" t="s">
        <v>19</v>
      </c>
      <c r="E78" s="117"/>
      <c r="F78" s="27"/>
      <c r="G78" s="114">
        <f t="shared" si="2"/>
        <v>97.499999999999986</v>
      </c>
      <c r="H78" s="276" t="s">
        <v>129</v>
      </c>
      <c r="I78" s="7"/>
    </row>
    <row r="79" spans="1:9" ht="18" customHeight="1" x14ac:dyDescent="0.25">
      <c r="A79" s="14">
        <f t="shared" si="3"/>
        <v>70</v>
      </c>
      <c r="B79" s="8"/>
      <c r="C79" s="15"/>
      <c r="D79" s="10" t="s">
        <v>19</v>
      </c>
      <c r="E79" s="117"/>
      <c r="F79" s="27"/>
      <c r="G79" s="114">
        <f t="shared" si="2"/>
        <v>97.499999999999986</v>
      </c>
      <c r="H79" s="276" t="s">
        <v>129</v>
      </c>
      <c r="I79" s="7"/>
    </row>
    <row r="80" spans="1:9" ht="18" customHeight="1" x14ac:dyDescent="0.25">
      <c r="A80" s="14">
        <f t="shared" si="3"/>
        <v>71</v>
      </c>
      <c r="B80" s="8"/>
      <c r="C80" s="15"/>
      <c r="D80" s="10" t="s">
        <v>19</v>
      </c>
      <c r="E80" s="117"/>
      <c r="F80" s="27"/>
      <c r="G80" s="114">
        <f t="shared" si="2"/>
        <v>97.499999999999986</v>
      </c>
      <c r="H80" s="276" t="s">
        <v>129</v>
      </c>
      <c r="I80" s="7"/>
    </row>
    <row r="81" spans="1:9" ht="18" customHeight="1" x14ac:dyDescent="0.25">
      <c r="A81" s="14">
        <f t="shared" si="3"/>
        <v>72</v>
      </c>
      <c r="B81" s="8"/>
      <c r="C81" s="15"/>
      <c r="D81" s="10" t="s">
        <v>19</v>
      </c>
      <c r="E81" s="117"/>
      <c r="F81" s="27"/>
      <c r="G81" s="114">
        <f t="shared" si="2"/>
        <v>97.499999999999986</v>
      </c>
      <c r="H81" s="276" t="s">
        <v>129</v>
      </c>
      <c r="I81" s="7"/>
    </row>
    <row r="82" spans="1:9" ht="18" customHeight="1" x14ac:dyDescent="0.25">
      <c r="A82" s="14">
        <f t="shared" si="3"/>
        <v>73</v>
      </c>
      <c r="B82" s="8"/>
      <c r="C82" s="15"/>
      <c r="D82" s="10" t="s">
        <v>19</v>
      </c>
      <c r="E82" s="117"/>
      <c r="F82" s="27"/>
      <c r="G82" s="114">
        <f t="shared" si="2"/>
        <v>97.499999999999986</v>
      </c>
      <c r="H82" s="276" t="s">
        <v>129</v>
      </c>
      <c r="I82" s="7"/>
    </row>
    <row r="83" spans="1:9" ht="18" customHeight="1" x14ac:dyDescent="0.25">
      <c r="A83" s="14">
        <f t="shared" si="3"/>
        <v>74</v>
      </c>
      <c r="B83" s="8"/>
      <c r="C83" s="15"/>
      <c r="D83" s="10" t="s">
        <v>19</v>
      </c>
      <c r="E83" s="117"/>
      <c r="F83" s="27"/>
      <c r="G83" s="114">
        <f t="shared" si="2"/>
        <v>97.499999999999986</v>
      </c>
      <c r="H83" s="276" t="s">
        <v>129</v>
      </c>
      <c r="I83" s="7"/>
    </row>
    <row r="84" spans="1:9" ht="18" customHeight="1" x14ac:dyDescent="0.25">
      <c r="A84" s="14">
        <f t="shared" si="3"/>
        <v>75</v>
      </c>
      <c r="B84" s="8"/>
      <c r="C84" s="15"/>
      <c r="D84" s="10" t="s">
        <v>19</v>
      </c>
      <c r="E84" s="117"/>
      <c r="F84" s="27"/>
      <c r="G84" s="114">
        <f t="shared" si="2"/>
        <v>97.499999999999986</v>
      </c>
      <c r="H84" s="276" t="s">
        <v>129</v>
      </c>
      <c r="I84" s="7"/>
    </row>
    <row r="85" spans="1:9" ht="18" customHeight="1" x14ac:dyDescent="0.25">
      <c r="A85" s="14">
        <f t="shared" si="3"/>
        <v>76</v>
      </c>
      <c r="B85" s="8"/>
      <c r="C85" s="15"/>
      <c r="D85" s="10" t="s">
        <v>19</v>
      </c>
      <c r="E85" s="117"/>
      <c r="F85" s="27"/>
      <c r="G85" s="114">
        <f t="shared" si="2"/>
        <v>97.499999999999986</v>
      </c>
      <c r="H85" s="276" t="s">
        <v>129</v>
      </c>
      <c r="I85" s="7"/>
    </row>
    <row r="86" spans="1:9" ht="18" customHeight="1" x14ac:dyDescent="0.25">
      <c r="A86" s="14">
        <f t="shared" si="3"/>
        <v>77</v>
      </c>
      <c r="B86" s="8"/>
      <c r="C86" s="15"/>
      <c r="D86" s="10" t="s">
        <v>19</v>
      </c>
      <c r="E86" s="117"/>
      <c r="F86" s="27"/>
      <c r="G86" s="114">
        <f t="shared" si="2"/>
        <v>97.499999999999986</v>
      </c>
      <c r="H86" s="276" t="s">
        <v>129</v>
      </c>
      <c r="I86" s="7"/>
    </row>
    <row r="87" spans="1:9" ht="18" customHeight="1" x14ac:dyDescent="0.25">
      <c r="A87" s="14">
        <f t="shared" si="3"/>
        <v>78</v>
      </c>
      <c r="B87" s="8"/>
      <c r="C87" s="15"/>
      <c r="D87" s="10" t="s">
        <v>19</v>
      </c>
      <c r="E87" s="117"/>
      <c r="F87" s="27"/>
      <c r="G87" s="114">
        <f t="shared" si="2"/>
        <v>97.499999999999986</v>
      </c>
      <c r="H87" s="276" t="s">
        <v>129</v>
      </c>
      <c r="I87" s="7"/>
    </row>
    <row r="88" spans="1:9" ht="18" customHeight="1" x14ac:dyDescent="0.25">
      <c r="A88" s="14">
        <f t="shared" si="3"/>
        <v>79</v>
      </c>
      <c r="B88" s="8"/>
      <c r="C88" s="15"/>
      <c r="D88" s="10" t="s">
        <v>19</v>
      </c>
      <c r="E88" s="117"/>
      <c r="F88" s="27"/>
      <c r="G88" s="114">
        <f t="shared" si="2"/>
        <v>97.499999999999986</v>
      </c>
      <c r="H88" s="276"/>
      <c r="I88" s="7"/>
    </row>
    <row r="89" spans="1:9" ht="18" customHeight="1" x14ac:dyDescent="0.25">
      <c r="A89" s="14">
        <f t="shared" si="3"/>
        <v>80</v>
      </c>
      <c r="B89" s="8"/>
      <c r="C89" s="15"/>
      <c r="D89" s="10"/>
      <c r="E89" s="117"/>
      <c r="F89" s="27"/>
      <c r="G89" s="114">
        <f t="shared" si="2"/>
        <v>97.499999999999986</v>
      </c>
      <c r="H89" s="28"/>
      <c r="I89" s="29"/>
    </row>
    <row r="90" spans="1:9" ht="18" customHeight="1" x14ac:dyDescent="0.25">
      <c r="A90" s="14">
        <f t="shared" si="3"/>
        <v>81</v>
      </c>
      <c r="B90" s="8"/>
      <c r="C90" s="15"/>
      <c r="D90" s="10"/>
      <c r="E90" s="117"/>
      <c r="F90" s="27"/>
      <c r="G90" s="114">
        <f t="shared" si="2"/>
        <v>97.499999999999986</v>
      </c>
      <c r="H90" s="28"/>
      <c r="I90" s="29"/>
    </row>
    <row r="91" spans="1:9" ht="18" customHeight="1" x14ac:dyDescent="0.25">
      <c r="A91" s="14">
        <f t="shared" si="3"/>
        <v>82</v>
      </c>
      <c r="B91" s="8"/>
      <c r="C91" s="15"/>
      <c r="D91" s="10"/>
      <c r="E91" s="117"/>
      <c r="F91" s="27"/>
      <c r="G91" s="114">
        <f t="shared" si="2"/>
        <v>97.499999999999986</v>
      </c>
      <c r="H91" s="28"/>
      <c r="I91" s="29"/>
    </row>
    <row r="92" spans="1:9" ht="15" customHeight="1" x14ac:dyDescent="0.25">
      <c r="A92" s="7"/>
      <c r="B92" s="33"/>
      <c r="C92" s="34" t="s">
        <v>13</v>
      </c>
      <c r="D92" s="7"/>
      <c r="E92" s="121">
        <f>SUM(E10:E91)</f>
        <v>163</v>
      </c>
      <c r="F92" s="122">
        <f>SUM(F10:F91)</f>
        <v>71.500000000000014</v>
      </c>
      <c r="G92" s="121">
        <f>+E92-F92+G9</f>
        <v>97.499999999999986</v>
      </c>
      <c r="H92" s="35"/>
      <c r="I92" s="36"/>
    </row>
    <row r="93" spans="1:9" ht="15" customHeight="1" x14ac:dyDescent="0.25">
      <c r="F93" s="26"/>
    </row>
    <row r="94" spans="1:9" ht="15" customHeight="1" x14ac:dyDescent="0.25"/>
    <row r="95" spans="1:9" ht="15" customHeight="1" x14ac:dyDescent="0.25"/>
    <row r="96" spans="1:9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E296-575B-4F24-BEF4-205E3A93D0A0}">
  <sheetPr codeName="Sheet25"/>
  <dimension ref="A1:K133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style="110" customWidth="1"/>
    <col min="6" max="6" width="12" customWidth="1"/>
    <col min="7" max="7" width="11.7109375" style="110" customWidth="1"/>
    <col min="8" max="8" width="22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">
        <v>2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s="2"/>
      <c r="B6" s="2"/>
      <c r="C6" s="2"/>
      <c r="D6" s="2"/>
      <c r="E6" s="111"/>
      <c r="F6" s="2"/>
      <c r="G6" s="111"/>
      <c r="H6" s="2"/>
      <c r="I6" s="2"/>
    </row>
    <row r="8" spans="1:10" ht="27.75" customHeight="1" x14ac:dyDescent="0.25">
      <c r="A8" s="4" t="s">
        <v>3</v>
      </c>
      <c r="B8" s="4" t="s">
        <v>4</v>
      </c>
      <c r="C8" s="4" t="s">
        <v>117</v>
      </c>
      <c r="D8" s="4" t="s">
        <v>5</v>
      </c>
      <c r="E8" s="112" t="s">
        <v>6</v>
      </c>
      <c r="F8" s="6" t="s">
        <v>7</v>
      </c>
      <c r="G8" s="112" t="s">
        <v>8</v>
      </c>
      <c r="H8" s="6" t="s">
        <v>9</v>
      </c>
      <c r="I8" s="4" t="s">
        <v>10</v>
      </c>
    </row>
    <row r="9" spans="1:10" ht="18" customHeight="1" x14ac:dyDescent="0.25">
      <c r="A9" s="7"/>
      <c r="B9" s="8"/>
      <c r="C9" s="9"/>
      <c r="D9" s="10"/>
      <c r="E9" s="11"/>
      <c r="F9" s="12"/>
      <c r="G9" s="344"/>
      <c r="H9" s="7"/>
      <c r="I9" s="7"/>
      <c r="J9">
        <f>497+10</f>
        <v>507</v>
      </c>
    </row>
    <row r="10" spans="1:10" ht="18" customHeight="1" x14ac:dyDescent="0.25">
      <c r="A10" s="14">
        <v>1</v>
      </c>
      <c r="B10" s="8">
        <v>45835</v>
      </c>
      <c r="C10" s="15" t="s">
        <v>410</v>
      </c>
      <c r="D10" s="10" t="s">
        <v>19</v>
      </c>
      <c r="E10" s="113">
        <v>10</v>
      </c>
      <c r="F10" s="119">
        <v>1.2</v>
      </c>
      <c r="G10" s="114">
        <f t="shared" ref="G10:G73" si="0">+G9+E10-F10</f>
        <v>8.8000000000000007</v>
      </c>
      <c r="H10" s="276" t="s">
        <v>129</v>
      </c>
      <c r="I10" s="7"/>
    </row>
    <row r="11" spans="1:10" ht="18" customHeight="1" x14ac:dyDescent="0.25">
      <c r="A11" s="14">
        <f t="shared" ref="A11:A74" si="1">+A10+1</f>
        <v>2</v>
      </c>
      <c r="B11" s="8">
        <v>45836</v>
      </c>
      <c r="C11" s="15" t="s">
        <v>410</v>
      </c>
      <c r="D11" s="10" t="s">
        <v>19</v>
      </c>
      <c r="E11" s="113"/>
      <c r="F11" s="23">
        <v>2.5</v>
      </c>
      <c r="G11" s="114">
        <f t="shared" si="0"/>
        <v>6.3000000000000007</v>
      </c>
      <c r="H11" s="276" t="s">
        <v>129</v>
      </c>
      <c r="I11" s="7" t="s">
        <v>90</v>
      </c>
    </row>
    <row r="12" spans="1:10" ht="18" customHeight="1" x14ac:dyDescent="0.25">
      <c r="A12" s="14">
        <f t="shared" si="1"/>
        <v>3</v>
      </c>
      <c r="B12" s="8"/>
      <c r="C12" s="15" t="s">
        <v>410</v>
      </c>
      <c r="D12" s="10" t="s">
        <v>19</v>
      </c>
      <c r="E12" s="113"/>
      <c r="F12" s="346"/>
      <c r="G12" s="114">
        <f t="shared" si="0"/>
        <v>6.3000000000000007</v>
      </c>
      <c r="H12" s="276" t="s">
        <v>129</v>
      </c>
      <c r="I12" s="7" t="s">
        <v>90</v>
      </c>
    </row>
    <row r="13" spans="1:10" ht="18" customHeight="1" x14ac:dyDescent="0.25">
      <c r="A13" s="14">
        <f t="shared" si="1"/>
        <v>4</v>
      </c>
      <c r="B13" s="8"/>
      <c r="C13" s="15" t="s">
        <v>410</v>
      </c>
      <c r="D13" s="10" t="s">
        <v>19</v>
      </c>
      <c r="E13" s="113"/>
      <c r="F13" s="17"/>
      <c r="G13" s="114">
        <f t="shared" si="0"/>
        <v>6.3000000000000007</v>
      </c>
      <c r="H13" s="276" t="s">
        <v>129</v>
      </c>
      <c r="I13" s="7" t="s">
        <v>90</v>
      </c>
    </row>
    <row r="14" spans="1:10" ht="18" customHeight="1" x14ac:dyDescent="0.25">
      <c r="A14" s="14">
        <f t="shared" si="1"/>
        <v>5</v>
      </c>
      <c r="B14" s="44"/>
      <c r="C14" s="15" t="s">
        <v>410</v>
      </c>
      <c r="D14" s="10" t="s">
        <v>19</v>
      </c>
      <c r="E14" s="113"/>
      <c r="F14" s="17"/>
      <c r="G14" s="114">
        <f t="shared" si="0"/>
        <v>6.3000000000000007</v>
      </c>
      <c r="H14" s="276" t="s">
        <v>129</v>
      </c>
      <c r="I14" s="7" t="s">
        <v>253</v>
      </c>
    </row>
    <row r="15" spans="1:10" ht="18" customHeight="1" x14ac:dyDescent="0.25">
      <c r="A15" s="14">
        <f t="shared" si="1"/>
        <v>6</v>
      </c>
      <c r="B15" s="44"/>
      <c r="C15" s="15"/>
      <c r="D15" s="10"/>
      <c r="E15" s="113"/>
      <c r="F15" s="17"/>
      <c r="G15" s="114">
        <f t="shared" si="0"/>
        <v>6.3000000000000007</v>
      </c>
      <c r="H15" s="276" t="s">
        <v>129</v>
      </c>
      <c r="I15" s="7"/>
    </row>
    <row r="16" spans="1:10" ht="18" customHeight="1" x14ac:dyDescent="0.25">
      <c r="A16" s="14">
        <f t="shared" si="1"/>
        <v>7</v>
      </c>
      <c r="B16" s="8"/>
      <c r="C16" s="15"/>
      <c r="D16" s="10" t="s">
        <v>19</v>
      </c>
      <c r="E16" s="113"/>
      <c r="F16" s="115"/>
      <c r="G16" s="114">
        <f t="shared" si="0"/>
        <v>6.3000000000000007</v>
      </c>
      <c r="H16" s="276" t="s">
        <v>129</v>
      </c>
      <c r="I16" s="7" t="s">
        <v>302</v>
      </c>
      <c r="J16" s="26">
        <f>+F16+F18</f>
        <v>0</v>
      </c>
    </row>
    <row r="17" spans="1:11" ht="18" customHeight="1" x14ac:dyDescent="0.25">
      <c r="A17" s="14">
        <f t="shared" si="1"/>
        <v>8</v>
      </c>
      <c r="B17" s="8"/>
      <c r="C17" s="15"/>
      <c r="D17" s="10" t="s">
        <v>19</v>
      </c>
      <c r="E17" s="113"/>
      <c r="F17" s="115"/>
      <c r="G17" s="114">
        <f t="shared" si="0"/>
        <v>6.3000000000000007</v>
      </c>
      <c r="H17" s="276" t="s">
        <v>129</v>
      </c>
      <c r="I17" s="7" t="s">
        <v>90</v>
      </c>
      <c r="J17" s="26"/>
    </row>
    <row r="18" spans="1:11" ht="18" customHeight="1" x14ac:dyDescent="0.25">
      <c r="A18" s="14">
        <f t="shared" si="1"/>
        <v>9</v>
      </c>
      <c r="B18" s="8"/>
      <c r="C18" s="15"/>
      <c r="D18" s="10" t="s">
        <v>19</v>
      </c>
      <c r="E18" s="113"/>
      <c r="F18" s="152"/>
      <c r="G18" s="114">
        <f t="shared" si="0"/>
        <v>6.3000000000000007</v>
      </c>
      <c r="H18" s="276" t="s">
        <v>129</v>
      </c>
      <c r="I18" s="7" t="s">
        <v>90</v>
      </c>
      <c r="J18" s="26"/>
    </row>
    <row r="19" spans="1:11" ht="18" customHeight="1" x14ac:dyDescent="0.25">
      <c r="A19" s="14">
        <f t="shared" si="1"/>
        <v>10</v>
      </c>
      <c r="B19" s="8"/>
      <c r="C19" s="15"/>
      <c r="D19" s="10" t="s">
        <v>19</v>
      </c>
      <c r="E19" s="113"/>
      <c r="F19" s="152"/>
      <c r="G19" s="114">
        <f t="shared" si="0"/>
        <v>6.3000000000000007</v>
      </c>
      <c r="H19" s="276" t="s">
        <v>129</v>
      </c>
      <c r="I19" s="7" t="s">
        <v>90</v>
      </c>
    </row>
    <row r="20" spans="1:11" ht="18" customHeight="1" x14ac:dyDescent="0.25">
      <c r="A20" s="14">
        <f t="shared" si="1"/>
        <v>11</v>
      </c>
      <c r="B20" s="8"/>
      <c r="C20" s="15"/>
      <c r="D20" s="10" t="s">
        <v>19</v>
      </c>
      <c r="E20" s="113"/>
      <c r="F20" s="368"/>
      <c r="G20" s="114">
        <f t="shared" si="0"/>
        <v>6.3000000000000007</v>
      </c>
      <c r="H20" s="276" t="s">
        <v>129</v>
      </c>
      <c r="I20" s="7" t="s">
        <v>90</v>
      </c>
    </row>
    <row r="21" spans="1:11" ht="18" customHeight="1" x14ac:dyDescent="0.25">
      <c r="A21" s="14">
        <f t="shared" si="1"/>
        <v>12</v>
      </c>
      <c r="B21" s="8"/>
      <c r="C21" s="15"/>
      <c r="D21" s="10" t="s">
        <v>19</v>
      </c>
      <c r="E21" s="113"/>
      <c r="F21" s="152"/>
      <c r="G21" s="114">
        <f t="shared" si="0"/>
        <v>6.3000000000000007</v>
      </c>
      <c r="H21" s="276" t="s">
        <v>129</v>
      </c>
      <c r="I21" s="7" t="s">
        <v>90</v>
      </c>
    </row>
    <row r="22" spans="1:11" ht="18" customHeight="1" x14ac:dyDescent="0.25">
      <c r="A22" s="14">
        <f t="shared" si="1"/>
        <v>13</v>
      </c>
      <c r="B22" s="8"/>
      <c r="C22" s="15"/>
      <c r="D22" s="10" t="s">
        <v>19</v>
      </c>
      <c r="E22" s="11"/>
      <c r="F22" s="27"/>
      <c r="G22" s="388">
        <f t="shared" si="0"/>
        <v>6.3000000000000007</v>
      </c>
      <c r="H22" s="276" t="s">
        <v>129</v>
      </c>
      <c r="I22" s="7" t="s">
        <v>303</v>
      </c>
    </row>
    <row r="23" spans="1:11" ht="18" customHeight="1" x14ac:dyDescent="0.25">
      <c r="A23" s="14">
        <f t="shared" si="1"/>
        <v>14</v>
      </c>
      <c r="B23" s="8"/>
      <c r="C23" s="15"/>
      <c r="D23" s="10" t="s">
        <v>19</v>
      </c>
      <c r="E23" s="113"/>
      <c r="F23" s="116"/>
      <c r="G23" s="114">
        <f t="shared" si="0"/>
        <v>6.3000000000000007</v>
      </c>
      <c r="H23" s="276" t="s">
        <v>129</v>
      </c>
      <c r="I23" s="7" t="s">
        <v>90</v>
      </c>
    </row>
    <row r="24" spans="1:11" ht="18" customHeight="1" x14ac:dyDescent="0.25">
      <c r="A24" s="14">
        <f t="shared" si="1"/>
        <v>15</v>
      </c>
      <c r="B24" s="8"/>
      <c r="C24" s="15"/>
      <c r="D24" s="10" t="s">
        <v>19</v>
      </c>
      <c r="E24" s="113"/>
      <c r="F24" s="27"/>
      <c r="G24" s="114">
        <f t="shared" si="0"/>
        <v>6.3000000000000007</v>
      </c>
      <c r="H24" s="276" t="s">
        <v>129</v>
      </c>
      <c r="I24" s="7" t="s">
        <v>90</v>
      </c>
      <c r="J24" s="115"/>
      <c r="K24" s="26"/>
    </row>
    <row r="25" spans="1:11" ht="18" customHeight="1" x14ac:dyDescent="0.25">
      <c r="A25" s="14">
        <f t="shared" si="1"/>
        <v>16</v>
      </c>
      <c r="B25" s="8"/>
      <c r="C25" s="15"/>
      <c r="D25" s="10" t="s">
        <v>19</v>
      </c>
      <c r="E25" s="113"/>
      <c r="F25" s="27"/>
      <c r="G25" s="114">
        <f t="shared" si="0"/>
        <v>6.3000000000000007</v>
      </c>
      <c r="H25" s="276" t="s">
        <v>129</v>
      </c>
      <c r="I25" s="7" t="s">
        <v>90</v>
      </c>
      <c r="J25" s="17"/>
      <c r="K25" s="26"/>
    </row>
    <row r="26" spans="1:11" ht="18" customHeight="1" x14ac:dyDescent="0.25">
      <c r="A26" s="14">
        <f t="shared" si="1"/>
        <v>17</v>
      </c>
      <c r="B26" s="8"/>
      <c r="C26" s="15"/>
      <c r="D26" s="10" t="s">
        <v>19</v>
      </c>
      <c r="E26" s="117"/>
      <c r="F26" s="118"/>
      <c r="G26" s="114">
        <f t="shared" si="0"/>
        <v>6.3000000000000007</v>
      </c>
      <c r="H26" s="276" t="s">
        <v>129</v>
      </c>
      <c r="I26" s="7" t="s">
        <v>90</v>
      </c>
      <c r="J26" s="17"/>
      <c r="K26" s="26"/>
    </row>
    <row r="27" spans="1:11" ht="18" customHeight="1" x14ac:dyDescent="0.25">
      <c r="A27" s="14">
        <f t="shared" si="1"/>
        <v>18</v>
      </c>
      <c r="B27" s="8"/>
      <c r="C27" s="15"/>
      <c r="D27" s="10" t="s">
        <v>19</v>
      </c>
      <c r="E27" s="117"/>
      <c r="F27" s="118"/>
      <c r="G27" s="114">
        <f t="shared" si="0"/>
        <v>6.3000000000000007</v>
      </c>
      <c r="H27" s="276" t="s">
        <v>129</v>
      </c>
      <c r="I27" s="7" t="s">
        <v>90</v>
      </c>
      <c r="J27" s="17"/>
      <c r="K27" s="26"/>
    </row>
    <row r="28" spans="1:11" ht="18" customHeight="1" x14ac:dyDescent="0.25">
      <c r="A28" s="14">
        <f t="shared" si="1"/>
        <v>19</v>
      </c>
      <c r="B28" s="8"/>
      <c r="C28" s="15"/>
      <c r="D28" s="10" t="s">
        <v>19</v>
      </c>
      <c r="E28" s="117"/>
      <c r="F28" s="119"/>
      <c r="G28" s="114">
        <f t="shared" si="0"/>
        <v>6.3000000000000007</v>
      </c>
      <c r="H28" s="276" t="s">
        <v>129</v>
      </c>
      <c r="I28" s="7" t="s">
        <v>90</v>
      </c>
      <c r="J28" s="17"/>
    </row>
    <row r="29" spans="1:11" ht="18" customHeight="1" x14ac:dyDescent="0.25">
      <c r="A29" s="14">
        <f t="shared" si="1"/>
        <v>20</v>
      </c>
      <c r="B29" s="8"/>
      <c r="C29" s="15"/>
      <c r="D29" s="10" t="s">
        <v>19</v>
      </c>
      <c r="E29" s="117"/>
      <c r="F29" s="119"/>
      <c r="G29" s="114">
        <f t="shared" si="0"/>
        <v>6.3000000000000007</v>
      </c>
      <c r="H29" s="276" t="s">
        <v>129</v>
      </c>
      <c r="I29" s="7" t="s">
        <v>90</v>
      </c>
      <c r="J29" s="27"/>
      <c r="K29" s="26"/>
    </row>
    <row r="30" spans="1:11" ht="18" customHeight="1" x14ac:dyDescent="0.25">
      <c r="A30" s="14">
        <f t="shared" si="1"/>
        <v>21</v>
      </c>
      <c r="B30" s="8"/>
      <c r="C30" s="15"/>
      <c r="D30" s="10" t="s">
        <v>19</v>
      </c>
      <c r="E30" s="117"/>
      <c r="F30" s="119"/>
      <c r="G30" s="114">
        <f t="shared" si="0"/>
        <v>6.3000000000000007</v>
      </c>
      <c r="H30" s="276" t="s">
        <v>129</v>
      </c>
      <c r="I30" s="7" t="s">
        <v>90</v>
      </c>
      <c r="J30" s="31"/>
    </row>
    <row r="31" spans="1:11" ht="18" customHeight="1" x14ac:dyDescent="0.25">
      <c r="A31" s="14">
        <f t="shared" si="1"/>
        <v>22</v>
      </c>
      <c r="B31" s="8"/>
      <c r="C31" s="15"/>
      <c r="D31" s="10" t="s">
        <v>19</v>
      </c>
      <c r="E31" s="117"/>
      <c r="F31" s="119"/>
      <c r="G31" s="114">
        <f t="shared" si="0"/>
        <v>6.3000000000000007</v>
      </c>
      <c r="H31" s="276" t="s">
        <v>129</v>
      </c>
      <c r="I31" s="7" t="s">
        <v>90</v>
      </c>
      <c r="J31" s="120"/>
    </row>
    <row r="32" spans="1:11" ht="18" customHeight="1" x14ac:dyDescent="0.25">
      <c r="A32" s="14">
        <f t="shared" si="1"/>
        <v>23</v>
      </c>
      <c r="B32" s="8"/>
      <c r="C32" s="15"/>
      <c r="D32" s="10" t="s">
        <v>19</v>
      </c>
      <c r="E32" s="117"/>
      <c r="F32" s="27"/>
      <c r="G32" s="114">
        <f t="shared" si="0"/>
        <v>6.3000000000000007</v>
      </c>
      <c r="H32" s="276" t="s">
        <v>129</v>
      </c>
      <c r="I32" s="7" t="s">
        <v>90</v>
      </c>
    </row>
    <row r="33" spans="1:9" ht="18" customHeight="1" x14ac:dyDescent="0.25">
      <c r="A33" s="14">
        <f t="shared" si="1"/>
        <v>24</v>
      </c>
      <c r="B33" s="8"/>
      <c r="C33" s="15"/>
      <c r="D33" s="10" t="s">
        <v>19</v>
      </c>
      <c r="E33" s="117"/>
      <c r="F33" s="27"/>
      <c r="G33" s="114">
        <f t="shared" si="0"/>
        <v>6.3000000000000007</v>
      </c>
      <c r="H33" s="276" t="s">
        <v>129</v>
      </c>
      <c r="I33" s="7" t="s">
        <v>90</v>
      </c>
    </row>
    <row r="34" spans="1:9" ht="18" customHeight="1" x14ac:dyDescent="0.25">
      <c r="A34" s="14">
        <f t="shared" si="1"/>
        <v>25</v>
      </c>
      <c r="B34" s="8"/>
      <c r="C34" s="15"/>
      <c r="D34" s="10" t="s">
        <v>19</v>
      </c>
      <c r="E34" s="117"/>
      <c r="F34" s="27"/>
      <c r="G34" s="114">
        <f t="shared" si="0"/>
        <v>6.3000000000000007</v>
      </c>
      <c r="H34" s="276" t="s">
        <v>129</v>
      </c>
      <c r="I34" s="7" t="s">
        <v>90</v>
      </c>
    </row>
    <row r="35" spans="1:9" ht="18" customHeight="1" x14ac:dyDescent="0.25">
      <c r="A35" s="14">
        <f t="shared" si="1"/>
        <v>26</v>
      </c>
      <c r="B35" s="8"/>
      <c r="C35" s="15"/>
      <c r="D35" s="10" t="s">
        <v>19</v>
      </c>
      <c r="E35" s="117"/>
      <c r="F35" s="119"/>
      <c r="G35" s="114">
        <f t="shared" si="0"/>
        <v>6.3000000000000007</v>
      </c>
      <c r="H35" s="276" t="s">
        <v>129</v>
      </c>
      <c r="I35" s="7" t="s">
        <v>90</v>
      </c>
    </row>
    <row r="36" spans="1:9" ht="18" customHeight="1" x14ac:dyDescent="0.25">
      <c r="A36" s="14">
        <f t="shared" si="1"/>
        <v>27</v>
      </c>
      <c r="B36" s="8"/>
      <c r="C36" s="15"/>
      <c r="D36" s="10" t="s">
        <v>19</v>
      </c>
      <c r="E36" s="117"/>
      <c r="F36" s="27"/>
      <c r="G36" s="114">
        <f t="shared" si="0"/>
        <v>6.3000000000000007</v>
      </c>
      <c r="H36" s="276" t="s">
        <v>129</v>
      </c>
      <c r="I36" s="7"/>
    </row>
    <row r="37" spans="1:9" ht="18" customHeight="1" x14ac:dyDescent="0.25">
      <c r="A37" s="14">
        <f t="shared" si="1"/>
        <v>28</v>
      </c>
      <c r="B37" s="8"/>
      <c r="C37" s="15"/>
      <c r="D37" s="10" t="s">
        <v>19</v>
      </c>
      <c r="E37" s="117"/>
      <c r="F37" s="27"/>
      <c r="G37" s="114">
        <f t="shared" si="0"/>
        <v>6.3000000000000007</v>
      </c>
      <c r="H37" s="276" t="s">
        <v>129</v>
      </c>
      <c r="I37" s="7" t="s">
        <v>90</v>
      </c>
    </row>
    <row r="38" spans="1:9" ht="18" customHeight="1" x14ac:dyDescent="0.25">
      <c r="A38" s="14">
        <f t="shared" si="1"/>
        <v>29</v>
      </c>
      <c r="B38" s="8"/>
      <c r="C38" s="15"/>
      <c r="D38" s="10" t="s">
        <v>19</v>
      </c>
      <c r="E38" s="117"/>
      <c r="F38" s="27"/>
      <c r="G38" s="114">
        <f t="shared" si="0"/>
        <v>6.3000000000000007</v>
      </c>
      <c r="H38" s="276" t="s">
        <v>129</v>
      </c>
      <c r="I38" s="7" t="s">
        <v>90</v>
      </c>
    </row>
    <row r="39" spans="1:9" ht="18" customHeight="1" x14ac:dyDescent="0.25">
      <c r="A39" s="14">
        <f t="shared" si="1"/>
        <v>30</v>
      </c>
      <c r="B39" s="8"/>
      <c r="C39" s="15"/>
      <c r="D39" s="10" t="s">
        <v>19</v>
      </c>
      <c r="E39" s="117"/>
      <c r="F39" s="27"/>
      <c r="G39" s="114">
        <f t="shared" si="0"/>
        <v>6.3000000000000007</v>
      </c>
      <c r="H39" s="276" t="s">
        <v>129</v>
      </c>
      <c r="I39" s="7" t="s">
        <v>90</v>
      </c>
    </row>
    <row r="40" spans="1:9" ht="18" customHeight="1" x14ac:dyDescent="0.25">
      <c r="A40" s="14">
        <f t="shared" si="1"/>
        <v>31</v>
      </c>
      <c r="B40" s="8"/>
      <c r="C40" s="15"/>
      <c r="D40" s="10" t="s">
        <v>19</v>
      </c>
      <c r="E40" s="117"/>
      <c r="F40" s="119"/>
      <c r="G40" s="114">
        <f t="shared" si="0"/>
        <v>6.3000000000000007</v>
      </c>
      <c r="H40" s="276" t="s">
        <v>129</v>
      </c>
      <c r="I40" s="7" t="s">
        <v>90</v>
      </c>
    </row>
    <row r="41" spans="1:9" ht="18" customHeight="1" x14ac:dyDescent="0.25">
      <c r="A41" s="14">
        <f t="shared" si="1"/>
        <v>32</v>
      </c>
      <c r="B41" s="8"/>
      <c r="C41" s="15"/>
      <c r="D41" s="10" t="s">
        <v>19</v>
      </c>
      <c r="E41" s="117"/>
      <c r="F41" s="119"/>
      <c r="G41" s="114">
        <f t="shared" si="0"/>
        <v>6.3000000000000007</v>
      </c>
      <c r="H41" s="276" t="s">
        <v>129</v>
      </c>
      <c r="I41" s="7" t="s">
        <v>90</v>
      </c>
    </row>
    <row r="42" spans="1:9" ht="18" customHeight="1" x14ac:dyDescent="0.25">
      <c r="A42" s="14">
        <f t="shared" si="1"/>
        <v>33</v>
      </c>
      <c r="B42" s="8"/>
      <c r="C42" s="15"/>
      <c r="D42" s="10" t="s">
        <v>19</v>
      </c>
      <c r="E42" s="117"/>
      <c r="F42" s="27"/>
      <c r="G42" s="114">
        <f t="shared" si="0"/>
        <v>6.3000000000000007</v>
      </c>
      <c r="H42" s="276" t="s">
        <v>129</v>
      </c>
      <c r="I42" s="7" t="s">
        <v>90</v>
      </c>
    </row>
    <row r="43" spans="1:9" ht="18" customHeight="1" x14ac:dyDescent="0.25">
      <c r="A43" s="14">
        <f t="shared" si="1"/>
        <v>34</v>
      </c>
      <c r="B43" s="8"/>
      <c r="C43" s="15"/>
      <c r="D43" s="10" t="s">
        <v>19</v>
      </c>
      <c r="E43" s="117"/>
      <c r="F43" s="27"/>
      <c r="G43" s="114">
        <f t="shared" si="0"/>
        <v>6.3000000000000007</v>
      </c>
      <c r="H43" s="276" t="s">
        <v>129</v>
      </c>
      <c r="I43" s="7" t="s">
        <v>90</v>
      </c>
    </row>
    <row r="44" spans="1:9" ht="18" customHeight="1" x14ac:dyDescent="0.25">
      <c r="A44" s="14">
        <f t="shared" si="1"/>
        <v>35</v>
      </c>
      <c r="B44" s="8"/>
      <c r="C44" s="15"/>
      <c r="D44" s="10" t="s">
        <v>19</v>
      </c>
      <c r="E44" s="117"/>
      <c r="F44" s="119"/>
      <c r="G44" s="114">
        <f t="shared" si="0"/>
        <v>6.3000000000000007</v>
      </c>
      <c r="H44" s="276" t="s">
        <v>129</v>
      </c>
      <c r="I44" s="7" t="s">
        <v>90</v>
      </c>
    </row>
    <row r="45" spans="1:9" ht="18" customHeight="1" x14ac:dyDescent="0.25">
      <c r="A45" s="14">
        <f t="shared" si="1"/>
        <v>36</v>
      </c>
      <c r="B45" s="8"/>
      <c r="C45" s="15"/>
      <c r="D45" s="10" t="s">
        <v>19</v>
      </c>
      <c r="F45" s="27"/>
      <c r="G45" s="114">
        <f t="shared" si="0"/>
        <v>6.3000000000000007</v>
      </c>
      <c r="H45" s="276" t="s">
        <v>129</v>
      </c>
      <c r="I45" s="7" t="s">
        <v>90</v>
      </c>
    </row>
    <row r="46" spans="1:9" ht="18" customHeight="1" x14ac:dyDescent="0.25">
      <c r="A46" s="14">
        <f t="shared" si="1"/>
        <v>37</v>
      </c>
      <c r="B46" s="8"/>
      <c r="C46" s="15"/>
      <c r="D46" s="10" t="s">
        <v>19</v>
      </c>
      <c r="E46" s="117"/>
      <c r="F46" s="118"/>
      <c r="G46" s="114">
        <f t="shared" si="0"/>
        <v>6.3000000000000007</v>
      </c>
      <c r="H46" s="276" t="s">
        <v>129</v>
      </c>
      <c r="I46" s="7" t="s">
        <v>90</v>
      </c>
    </row>
    <row r="47" spans="1:9" ht="18" customHeight="1" x14ac:dyDescent="0.25">
      <c r="A47" s="14">
        <f t="shared" si="1"/>
        <v>38</v>
      </c>
      <c r="B47" s="8"/>
      <c r="C47" s="15"/>
      <c r="D47" s="10" t="s">
        <v>19</v>
      </c>
      <c r="E47" s="117"/>
      <c r="F47" s="118"/>
      <c r="G47" s="114">
        <f t="shared" si="0"/>
        <v>6.3000000000000007</v>
      </c>
      <c r="H47" s="276" t="s">
        <v>129</v>
      </c>
      <c r="I47" s="7" t="s">
        <v>90</v>
      </c>
    </row>
    <row r="48" spans="1:9" ht="18" customHeight="1" x14ac:dyDescent="0.25">
      <c r="A48" s="14">
        <f t="shared" si="1"/>
        <v>39</v>
      </c>
      <c r="B48" s="8"/>
      <c r="C48" s="15"/>
      <c r="D48" s="10" t="s">
        <v>19</v>
      </c>
      <c r="E48" s="117"/>
      <c r="F48" s="118"/>
      <c r="G48" s="114">
        <f t="shared" si="0"/>
        <v>6.3000000000000007</v>
      </c>
      <c r="H48" s="276" t="s">
        <v>129</v>
      </c>
      <c r="I48" s="7" t="s">
        <v>90</v>
      </c>
    </row>
    <row r="49" spans="1:9" ht="18" customHeight="1" x14ac:dyDescent="0.25">
      <c r="A49" s="14">
        <f t="shared" si="1"/>
        <v>40</v>
      </c>
      <c r="B49" s="8"/>
      <c r="C49" s="15"/>
      <c r="D49" s="10" t="s">
        <v>19</v>
      </c>
      <c r="E49" s="117"/>
      <c r="F49" s="118"/>
      <c r="G49" s="114">
        <f t="shared" si="0"/>
        <v>6.3000000000000007</v>
      </c>
      <c r="H49" s="276" t="s">
        <v>129</v>
      </c>
      <c r="I49" s="7" t="s">
        <v>90</v>
      </c>
    </row>
    <row r="50" spans="1:9" ht="18" customHeight="1" x14ac:dyDescent="0.25">
      <c r="A50" s="14">
        <f t="shared" si="1"/>
        <v>41</v>
      </c>
      <c r="B50" s="8"/>
      <c r="C50" s="15"/>
      <c r="D50" s="10" t="s">
        <v>19</v>
      </c>
      <c r="E50" s="117"/>
      <c r="F50" s="119"/>
      <c r="G50" s="114">
        <f t="shared" si="0"/>
        <v>6.3000000000000007</v>
      </c>
      <c r="H50" s="276" t="s">
        <v>129</v>
      </c>
      <c r="I50" s="7" t="s">
        <v>90</v>
      </c>
    </row>
    <row r="51" spans="1:9" ht="18" customHeight="1" x14ac:dyDescent="0.25">
      <c r="A51" s="14">
        <f t="shared" si="1"/>
        <v>42</v>
      </c>
      <c r="B51" s="8"/>
      <c r="C51" s="15"/>
      <c r="D51" s="10" t="s">
        <v>19</v>
      </c>
      <c r="E51" s="117"/>
      <c r="F51" s="118"/>
      <c r="G51" s="114">
        <f t="shared" si="0"/>
        <v>6.3000000000000007</v>
      </c>
      <c r="H51" s="276" t="s">
        <v>129</v>
      </c>
      <c r="I51" s="7" t="s">
        <v>90</v>
      </c>
    </row>
    <row r="52" spans="1:9" ht="18" customHeight="1" x14ac:dyDescent="0.25">
      <c r="A52" s="14">
        <f t="shared" si="1"/>
        <v>43</v>
      </c>
      <c r="B52" s="8"/>
      <c r="C52" s="15"/>
      <c r="D52" s="10" t="s">
        <v>19</v>
      </c>
      <c r="E52" s="117"/>
      <c r="F52" s="118"/>
      <c r="G52" s="114">
        <f t="shared" si="0"/>
        <v>6.3000000000000007</v>
      </c>
      <c r="H52" s="276" t="s">
        <v>129</v>
      </c>
      <c r="I52" s="7" t="s">
        <v>90</v>
      </c>
    </row>
    <row r="53" spans="1:9" ht="18" customHeight="1" x14ac:dyDescent="0.25">
      <c r="A53" s="14">
        <f t="shared" si="1"/>
        <v>44</v>
      </c>
      <c r="B53" s="8"/>
      <c r="C53" s="15"/>
      <c r="D53" s="10" t="s">
        <v>19</v>
      </c>
      <c r="E53" s="117"/>
      <c r="F53" s="27"/>
      <c r="G53" s="114">
        <f t="shared" si="0"/>
        <v>6.3000000000000007</v>
      </c>
      <c r="H53" s="276" t="s">
        <v>129</v>
      </c>
      <c r="I53" s="7" t="s">
        <v>90</v>
      </c>
    </row>
    <row r="54" spans="1:9" ht="18" customHeight="1" x14ac:dyDescent="0.25">
      <c r="A54" s="14">
        <f t="shared" si="1"/>
        <v>45</v>
      </c>
      <c r="B54" s="8"/>
      <c r="C54" s="15"/>
      <c r="D54" s="10" t="s">
        <v>19</v>
      </c>
      <c r="E54" s="117"/>
      <c r="F54" s="27"/>
      <c r="G54" s="114">
        <f t="shared" si="0"/>
        <v>6.3000000000000007</v>
      </c>
      <c r="H54" s="276" t="s">
        <v>129</v>
      </c>
      <c r="I54" s="7" t="s">
        <v>90</v>
      </c>
    </row>
    <row r="55" spans="1:9" ht="18" customHeight="1" x14ac:dyDescent="0.25">
      <c r="A55" s="14">
        <f t="shared" si="1"/>
        <v>46</v>
      </c>
      <c r="B55" s="8"/>
      <c r="C55" s="15"/>
      <c r="D55" s="10" t="s">
        <v>19</v>
      </c>
      <c r="E55" s="117"/>
      <c r="F55" s="27"/>
      <c r="G55" s="114">
        <f t="shared" si="0"/>
        <v>6.3000000000000007</v>
      </c>
      <c r="H55" s="276" t="s">
        <v>129</v>
      </c>
      <c r="I55" s="7" t="s">
        <v>90</v>
      </c>
    </row>
    <row r="56" spans="1:9" ht="18" customHeight="1" x14ac:dyDescent="0.25">
      <c r="A56" s="14">
        <f t="shared" si="1"/>
        <v>47</v>
      </c>
      <c r="B56" s="8"/>
      <c r="C56" s="15"/>
      <c r="D56" s="10" t="s">
        <v>19</v>
      </c>
      <c r="E56" s="117"/>
      <c r="F56" s="27"/>
      <c r="G56" s="114">
        <f t="shared" si="0"/>
        <v>6.3000000000000007</v>
      </c>
      <c r="H56" s="276" t="s">
        <v>129</v>
      </c>
      <c r="I56" s="7" t="s">
        <v>90</v>
      </c>
    </row>
    <row r="57" spans="1:9" ht="18" customHeight="1" x14ac:dyDescent="0.25">
      <c r="A57" s="14">
        <f t="shared" si="1"/>
        <v>48</v>
      </c>
      <c r="B57" s="8"/>
      <c r="C57" s="15"/>
      <c r="D57" s="10" t="s">
        <v>19</v>
      </c>
      <c r="E57" s="117"/>
      <c r="F57" s="27"/>
      <c r="G57" s="114">
        <f t="shared" si="0"/>
        <v>6.3000000000000007</v>
      </c>
      <c r="H57" s="276" t="s">
        <v>129</v>
      </c>
      <c r="I57" s="7" t="s">
        <v>90</v>
      </c>
    </row>
    <row r="58" spans="1:9" ht="18" customHeight="1" x14ac:dyDescent="0.25">
      <c r="A58" s="14">
        <f t="shared" si="1"/>
        <v>49</v>
      </c>
      <c r="B58" s="8"/>
      <c r="C58" s="15"/>
      <c r="D58" s="10" t="s">
        <v>19</v>
      </c>
      <c r="E58" s="117"/>
      <c r="F58" s="119"/>
      <c r="G58" s="114">
        <f t="shared" si="0"/>
        <v>6.3000000000000007</v>
      </c>
      <c r="H58" s="276" t="s">
        <v>129</v>
      </c>
      <c r="I58" s="7" t="s">
        <v>90</v>
      </c>
    </row>
    <row r="59" spans="1:9" ht="18" customHeight="1" x14ac:dyDescent="0.25">
      <c r="A59" s="14">
        <f t="shared" si="1"/>
        <v>50</v>
      </c>
      <c r="B59" s="8"/>
      <c r="C59" s="15"/>
      <c r="D59" s="10" t="s">
        <v>19</v>
      </c>
      <c r="E59" s="117"/>
      <c r="F59" s="119"/>
      <c r="G59" s="114">
        <f t="shared" si="0"/>
        <v>6.3000000000000007</v>
      </c>
      <c r="H59" s="276" t="s">
        <v>129</v>
      </c>
      <c r="I59" s="7" t="s">
        <v>90</v>
      </c>
    </row>
    <row r="60" spans="1:9" ht="18" customHeight="1" x14ac:dyDescent="0.25">
      <c r="A60" s="14">
        <f t="shared" si="1"/>
        <v>51</v>
      </c>
      <c r="B60" s="8"/>
      <c r="C60" s="15"/>
      <c r="D60" s="10" t="s">
        <v>19</v>
      </c>
      <c r="E60" s="117"/>
      <c r="F60" s="119"/>
      <c r="G60" s="114">
        <f t="shared" si="0"/>
        <v>6.3000000000000007</v>
      </c>
      <c r="H60" s="276" t="s">
        <v>129</v>
      </c>
      <c r="I60" s="7" t="s">
        <v>90</v>
      </c>
    </row>
    <row r="61" spans="1:9" ht="18" customHeight="1" x14ac:dyDescent="0.25">
      <c r="A61" s="14">
        <f t="shared" si="1"/>
        <v>52</v>
      </c>
      <c r="B61" s="8"/>
      <c r="C61" s="15"/>
      <c r="D61" s="10" t="s">
        <v>19</v>
      </c>
      <c r="E61" s="117"/>
      <c r="F61" s="27"/>
      <c r="G61" s="114">
        <f t="shared" si="0"/>
        <v>6.3000000000000007</v>
      </c>
      <c r="H61" s="276" t="s">
        <v>129</v>
      </c>
      <c r="I61" s="7"/>
    </row>
    <row r="62" spans="1:9" ht="18" customHeight="1" x14ac:dyDescent="0.25">
      <c r="A62" s="14">
        <f t="shared" si="1"/>
        <v>53</v>
      </c>
      <c r="B62" s="8"/>
      <c r="C62" s="15"/>
      <c r="D62" s="10" t="s">
        <v>19</v>
      </c>
      <c r="E62" s="117"/>
      <c r="F62" s="27"/>
      <c r="G62" s="114">
        <f t="shared" si="0"/>
        <v>6.3000000000000007</v>
      </c>
      <c r="H62" s="276" t="s">
        <v>129</v>
      </c>
      <c r="I62" s="7"/>
    </row>
    <row r="63" spans="1:9" ht="18" customHeight="1" x14ac:dyDescent="0.25">
      <c r="A63" s="14">
        <f t="shared" si="1"/>
        <v>54</v>
      </c>
      <c r="B63" s="8"/>
      <c r="C63" s="15"/>
      <c r="D63" s="10" t="s">
        <v>19</v>
      </c>
      <c r="E63" s="117"/>
      <c r="F63" s="119"/>
      <c r="G63" s="114">
        <f t="shared" si="0"/>
        <v>6.3000000000000007</v>
      </c>
      <c r="H63" s="276" t="s">
        <v>129</v>
      </c>
      <c r="I63" s="7"/>
    </row>
    <row r="64" spans="1:9" ht="18" customHeight="1" x14ac:dyDescent="0.25">
      <c r="A64" s="14">
        <f t="shared" si="1"/>
        <v>55</v>
      </c>
      <c r="B64" s="8"/>
      <c r="C64" s="15"/>
      <c r="D64" s="10" t="s">
        <v>19</v>
      </c>
      <c r="E64" s="117"/>
      <c r="F64" s="27"/>
      <c r="G64" s="114">
        <f t="shared" si="0"/>
        <v>6.3000000000000007</v>
      </c>
      <c r="H64" s="276" t="s">
        <v>129</v>
      </c>
      <c r="I64" s="7"/>
    </row>
    <row r="65" spans="1:9" ht="18" customHeight="1" x14ac:dyDescent="0.25">
      <c r="A65" s="14">
        <f t="shared" si="1"/>
        <v>56</v>
      </c>
      <c r="B65" s="8"/>
      <c r="C65" s="15"/>
      <c r="D65" s="10" t="s">
        <v>19</v>
      </c>
      <c r="E65" s="117"/>
      <c r="F65" s="27"/>
      <c r="G65" s="114">
        <f t="shared" si="0"/>
        <v>6.3000000000000007</v>
      </c>
      <c r="H65" s="276" t="s">
        <v>129</v>
      </c>
      <c r="I65" s="7"/>
    </row>
    <row r="66" spans="1:9" ht="18" customHeight="1" x14ac:dyDescent="0.25">
      <c r="A66" s="14">
        <f t="shared" si="1"/>
        <v>57</v>
      </c>
      <c r="B66" s="8"/>
      <c r="C66" s="15"/>
      <c r="D66" s="10" t="s">
        <v>19</v>
      </c>
      <c r="E66" s="117"/>
      <c r="F66" s="27"/>
      <c r="G66" s="114">
        <f t="shared" si="0"/>
        <v>6.3000000000000007</v>
      </c>
      <c r="H66" s="276" t="s">
        <v>129</v>
      </c>
      <c r="I66" s="7"/>
    </row>
    <row r="67" spans="1:9" ht="18" customHeight="1" x14ac:dyDescent="0.25">
      <c r="A67" s="14">
        <f t="shared" si="1"/>
        <v>58</v>
      </c>
      <c r="B67" s="8"/>
      <c r="C67" s="15"/>
      <c r="D67" s="10" t="s">
        <v>19</v>
      </c>
      <c r="E67" s="117"/>
      <c r="F67" s="27"/>
      <c r="G67" s="114">
        <f t="shared" si="0"/>
        <v>6.3000000000000007</v>
      </c>
      <c r="H67" s="276" t="s">
        <v>129</v>
      </c>
      <c r="I67" s="7"/>
    </row>
    <row r="68" spans="1:9" ht="18" customHeight="1" x14ac:dyDescent="0.25">
      <c r="A68" s="14">
        <f t="shared" si="1"/>
        <v>59</v>
      </c>
      <c r="B68" s="8"/>
      <c r="C68" s="15"/>
      <c r="D68" s="10" t="s">
        <v>19</v>
      </c>
      <c r="E68" s="117"/>
      <c r="F68" s="27"/>
      <c r="G68" s="114">
        <f t="shared" si="0"/>
        <v>6.3000000000000007</v>
      </c>
      <c r="H68" s="276" t="s">
        <v>129</v>
      </c>
      <c r="I68" s="7"/>
    </row>
    <row r="69" spans="1:9" ht="18" customHeight="1" x14ac:dyDescent="0.25">
      <c r="A69" s="14">
        <f t="shared" si="1"/>
        <v>60</v>
      </c>
      <c r="B69" s="8"/>
      <c r="C69" s="15"/>
      <c r="D69" s="10" t="s">
        <v>19</v>
      </c>
      <c r="E69" s="117"/>
      <c r="F69" s="27"/>
      <c r="G69" s="114">
        <f t="shared" si="0"/>
        <v>6.3000000000000007</v>
      </c>
      <c r="H69" s="276" t="s">
        <v>129</v>
      </c>
      <c r="I69" s="7"/>
    </row>
    <row r="70" spans="1:9" ht="18" customHeight="1" x14ac:dyDescent="0.25">
      <c r="A70" s="14">
        <f t="shared" si="1"/>
        <v>61</v>
      </c>
      <c r="B70" s="8"/>
      <c r="C70" s="15"/>
      <c r="D70" s="10" t="s">
        <v>19</v>
      </c>
      <c r="E70" s="117"/>
      <c r="F70" s="27"/>
      <c r="G70" s="114">
        <f t="shared" si="0"/>
        <v>6.3000000000000007</v>
      </c>
      <c r="H70" s="276" t="s">
        <v>129</v>
      </c>
      <c r="I70" s="7"/>
    </row>
    <row r="71" spans="1:9" ht="18" customHeight="1" x14ac:dyDescent="0.25">
      <c r="A71" s="14">
        <f t="shared" si="1"/>
        <v>62</v>
      </c>
      <c r="B71" s="8"/>
      <c r="C71" s="15"/>
      <c r="D71" s="10" t="s">
        <v>19</v>
      </c>
      <c r="E71" s="117"/>
      <c r="F71" s="27"/>
      <c r="G71" s="114">
        <f t="shared" si="0"/>
        <v>6.3000000000000007</v>
      </c>
      <c r="H71" s="276" t="s">
        <v>129</v>
      </c>
      <c r="I71" s="7"/>
    </row>
    <row r="72" spans="1:9" ht="18" customHeight="1" x14ac:dyDescent="0.25">
      <c r="A72" s="14">
        <f t="shared" si="1"/>
        <v>63</v>
      </c>
      <c r="B72" s="8"/>
      <c r="C72" s="15"/>
      <c r="D72" s="10" t="s">
        <v>19</v>
      </c>
      <c r="E72" s="117"/>
      <c r="F72" s="27"/>
      <c r="G72" s="114">
        <f t="shared" si="0"/>
        <v>6.3000000000000007</v>
      </c>
      <c r="H72" s="276" t="s">
        <v>129</v>
      </c>
      <c r="I72" s="7"/>
    </row>
    <row r="73" spans="1:9" ht="18" customHeight="1" x14ac:dyDescent="0.25">
      <c r="A73" s="14">
        <f t="shared" si="1"/>
        <v>64</v>
      </c>
      <c r="B73" s="8"/>
      <c r="C73" s="15"/>
      <c r="D73" s="10" t="s">
        <v>19</v>
      </c>
      <c r="E73" s="117"/>
      <c r="F73" s="27"/>
      <c r="G73" s="114">
        <f t="shared" si="0"/>
        <v>6.3000000000000007</v>
      </c>
      <c r="H73" s="276" t="s">
        <v>129</v>
      </c>
      <c r="I73" s="7"/>
    </row>
    <row r="74" spans="1:9" ht="18" customHeight="1" x14ac:dyDescent="0.25">
      <c r="A74" s="14">
        <f t="shared" si="1"/>
        <v>65</v>
      </c>
      <c r="B74" s="8"/>
      <c r="C74" s="15"/>
      <c r="D74" s="10" t="s">
        <v>19</v>
      </c>
      <c r="E74" s="117"/>
      <c r="F74" s="27"/>
      <c r="G74" s="114">
        <f t="shared" ref="G74:G91" si="2">+G73+E74-F74</f>
        <v>6.3000000000000007</v>
      </c>
      <c r="H74" s="276" t="s">
        <v>129</v>
      </c>
      <c r="I74" s="7"/>
    </row>
    <row r="75" spans="1:9" ht="18" customHeight="1" x14ac:dyDescent="0.25">
      <c r="A75" s="14">
        <f t="shared" ref="A75:A91" si="3">+A74+1</f>
        <v>66</v>
      </c>
      <c r="B75" s="8"/>
      <c r="C75" s="15"/>
      <c r="D75" s="10" t="s">
        <v>19</v>
      </c>
      <c r="E75" s="117"/>
      <c r="F75" s="27"/>
      <c r="G75" s="114">
        <f t="shared" si="2"/>
        <v>6.3000000000000007</v>
      </c>
      <c r="H75" s="276" t="s">
        <v>129</v>
      </c>
      <c r="I75" s="7"/>
    </row>
    <row r="76" spans="1:9" ht="18" customHeight="1" x14ac:dyDescent="0.25">
      <c r="A76" s="14">
        <f t="shared" si="3"/>
        <v>67</v>
      </c>
      <c r="B76" s="8"/>
      <c r="C76" s="15"/>
      <c r="D76" s="10" t="s">
        <v>19</v>
      </c>
      <c r="E76" s="117"/>
      <c r="F76" s="27"/>
      <c r="G76" s="114">
        <f t="shared" si="2"/>
        <v>6.3000000000000007</v>
      </c>
      <c r="H76" s="276" t="s">
        <v>129</v>
      </c>
      <c r="I76" s="7"/>
    </row>
    <row r="77" spans="1:9" ht="18" customHeight="1" x14ac:dyDescent="0.25">
      <c r="A77" s="14">
        <f t="shared" si="3"/>
        <v>68</v>
      </c>
      <c r="B77" s="8"/>
      <c r="C77" s="15"/>
      <c r="D77" s="10" t="s">
        <v>19</v>
      </c>
      <c r="E77" s="117"/>
      <c r="F77" s="27"/>
      <c r="G77" s="114">
        <f t="shared" si="2"/>
        <v>6.3000000000000007</v>
      </c>
      <c r="H77" s="276" t="s">
        <v>129</v>
      </c>
      <c r="I77" s="7"/>
    </row>
    <row r="78" spans="1:9" ht="18" customHeight="1" x14ac:dyDescent="0.25">
      <c r="A78" s="14">
        <f t="shared" si="3"/>
        <v>69</v>
      </c>
      <c r="B78" s="8"/>
      <c r="C78" s="15"/>
      <c r="D78" s="10" t="s">
        <v>19</v>
      </c>
      <c r="E78" s="117"/>
      <c r="F78" s="27"/>
      <c r="G78" s="114">
        <f t="shared" si="2"/>
        <v>6.3000000000000007</v>
      </c>
      <c r="H78" s="276" t="s">
        <v>129</v>
      </c>
      <c r="I78" s="7"/>
    </row>
    <row r="79" spans="1:9" ht="18" customHeight="1" x14ac:dyDescent="0.25">
      <c r="A79" s="14">
        <f t="shared" si="3"/>
        <v>70</v>
      </c>
      <c r="B79" s="8"/>
      <c r="C79" s="15"/>
      <c r="D79" s="10" t="s">
        <v>19</v>
      </c>
      <c r="E79" s="117"/>
      <c r="F79" s="27"/>
      <c r="G79" s="114">
        <f t="shared" si="2"/>
        <v>6.3000000000000007</v>
      </c>
      <c r="H79" s="276" t="s">
        <v>129</v>
      </c>
      <c r="I79" s="7"/>
    </row>
    <row r="80" spans="1:9" ht="18" customHeight="1" x14ac:dyDescent="0.25">
      <c r="A80" s="14">
        <f t="shared" si="3"/>
        <v>71</v>
      </c>
      <c r="B80" s="8"/>
      <c r="C80" s="15"/>
      <c r="D80" s="10" t="s">
        <v>19</v>
      </c>
      <c r="E80" s="117"/>
      <c r="F80" s="27"/>
      <c r="G80" s="114">
        <f t="shared" si="2"/>
        <v>6.3000000000000007</v>
      </c>
      <c r="H80" s="276" t="s">
        <v>129</v>
      </c>
      <c r="I80" s="7"/>
    </row>
    <row r="81" spans="1:9" ht="18" customHeight="1" x14ac:dyDescent="0.25">
      <c r="A81" s="14">
        <f t="shared" si="3"/>
        <v>72</v>
      </c>
      <c r="B81" s="8"/>
      <c r="C81" s="15"/>
      <c r="D81" s="10" t="s">
        <v>19</v>
      </c>
      <c r="E81" s="117"/>
      <c r="F81" s="27"/>
      <c r="G81" s="114">
        <f t="shared" si="2"/>
        <v>6.3000000000000007</v>
      </c>
      <c r="H81" s="276" t="s">
        <v>129</v>
      </c>
      <c r="I81" s="7"/>
    </row>
    <row r="82" spans="1:9" ht="18" customHeight="1" x14ac:dyDescent="0.25">
      <c r="A82" s="14">
        <f t="shared" si="3"/>
        <v>73</v>
      </c>
      <c r="B82" s="8"/>
      <c r="C82" s="15"/>
      <c r="D82" s="10" t="s">
        <v>19</v>
      </c>
      <c r="E82" s="117"/>
      <c r="F82" s="27"/>
      <c r="G82" s="114">
        <f t="shared" si="2"/>
        <v>6.3000000000000007</v>
      </c>
      <c r="H82" s="276" t="s">
        <v>129</v>
      </c>
      <c r="I82" s="7"/>
    </row>
    <row r="83" spans="1:9" ht="18" customHeight="1" x14ac:dyDescent="0.25">
      <c r="A83" s="14">
        <f t="shared" si="3"/>
        <v>74</v>
      </c>
      <c r="B83" s="8"/>
      <c r="C83" s="15"/>
      <c r="D83" s="10" t="s">
        <v>19</v>
      </c>
      <c r="E83" s="117"/>
      <c r="F83" s="27"/>
      <c r="G83" s="114">
        <f t="shared" si="2"/>
        <v>6.3000000000000007</v>
      </c>
      <c r="H83" s="276" t="s">
        <v>129</v>
      </c>
      <c r="I83" s="7"/>
    </row>
    <row r="84" spans="1:9" ht="18" customHeight="1" x14ac:dyDescent="0.25">
      <c r="A84" s="14">
        <f t="shared" si="3"/>
        <v>75</v>
      </c>
      <c r="B84" s="8"/>
      <c r="C84" s="15"/>
      <c r="D84" s="10" t="s">
        <v>19</v>
      </c>
      <c r="E84" s="117"/>
      <c r="F84" s="27"/>
      <c r="G84" s="114">
        <f t="shared" si="2"/>
        <v>6.3000000000000007</v>
      </c>
      <c r="H84" s="276" t="s">
        <v>129</v>
      </c>
      <c r="I84" s="7"/>
    </row>
    <row r="85" spans="1:9" ht="18" customHeight="1" x14ac:dyDescent="0.25">
      <c r="A85" s="14">
        <f t="shared" si="3"/>
        <v>76</v>
      </c>
      <c r="B85" s="8"/>
      <c r="C85" s="15"/>
      <c r="D85" s="10" t="s">
        <v>19</v>
      </c>
      <c r="E85" s="117"/>
      <c r="F85" s="27"/>
      <c r="G85" s="114">
        <f t="shared" si="2"/>
        <v>6.3000000000000007</v>
      </c>
      <c r="H85" s="276" t="s">
        <v>129</v>
      </c>
      <c r="I85" s="7"/>
    </row>
    <row r="86" spans="1:9" ht="18" customHeight="1" x14ac:dyDescent="0.25">
      <c r="A86" s="14">
        <f t="shared" si="3"/>
        <v>77</v>
      </c>
      <c r="B86" s="8"/>
      <c r="C86" s="15"/>
      <c r="D86" s="10" t="s">
        <v>19</v>
      </c>
      <c r="E86" s="117"/>
      <c r="F86" s="27"/>
      <c r="G86" s="114">
        <f t="shared" si="2"/>
        <v>6.3000000000000007</v>
      </c>
      <c r="H86" s="276" t="s">
        <v>129</v>
      </c>
      <c r="I86" s="7"/>
    </row>
    <row r="87" spans="1:9" ht="18" customHeight="1" x14ac:dyDescent="0.25">
      <c r="A87" s="14">
        <f t="shared" si="3"/>
        <v>78</v>
      </c>
      <c r="B87" s="8"/>
      <c r="C87" s="15"/>
      <c r="D87" s="10" t="s">
        <v>19</v>
      </c>
      <c r="E87" s="117"/>
      <c r="F87" s="27"/>
      <c r="G87" s="114">
        <f t="shared" si="2"/>
        <v>6.3000000000000007</v>
      </c>
      <c r="H87" s="276" t="s">
        <v>129</v>
      </c>
      <c r="I87" s="7"/>
    </row>
    <row r="88" spans="1:9" ht="18" customHeight="1" x14ac:dyDescent="0.25">
      <c r="A88" s="14">
        <f t="shared" si="3"/>
        <v>79</v>
      </c>
      <c r="B88" s="8"/>
      <c r="C88" s="15"/>
      <c r="D88" s="10" t="s">
        <v>19</v>
      </c>
      <c r="E88" s="117"/>
      <c r="F88" s="27"/>
      <c r="G88" s="114">
        <f t="shared" si="2"/>
        <v>6.3000000000000007</v>
      </c>
      <c r="H88" s="276"/>
      <c r="I88" s="7"/>
    </row>
    <row r="89" spans="1:9" ht="18" customHeight="1" x14ac:dyDescent="0.25">
      <c r="A89" s="14">
        <f t="shared" si="3"/>
        <v>80</v>
      </c>
      <c r="B89" s="8"/>
      <c r="C89" s="15"/>
      <c r="D89" s="10"/>
      <c r="E89" s="117"/>
      <c r="F89" s="27"/>
      <c r="G89" s="114">
        <f t="shared" si="2"/>
        <v>6.3000000000000007</v>
      </c>
      <c r="H89" s="28"/>
      <c r="I89" s="29"/>
    </row>
    <row r="90" spans="1:9" ht="18" customHeight="1" x14ac:dyDescent="0.25">
      <c r="A90" s="14">
        <f t="shared" si="3"/>
        <v>81</v>
      </c>
      <c r="B90" s="8"/>
      <c r="C90" s="15"/>
      <c r="D90" s="10"/>
      <c r="E90" s="117"/>
      <c r="F90" s="27"/>
      <c r="G90" s="114">
        <f t="shared" si="2"/>
        <v>6.3000000000000007</v>
      </c>
      <c r="H90" s="28"/>
      <c r="I90" s="29"/>
    </row>
    <row r="91" spans="1:9" ht="18" customHeight="1" x14ac:dyDescent="0.25">
      <c r="A91" s="14">
        <f t="shared" si="3"/>
        <v>82</v>
      </c>
      <c r="B91" s="8"/>
      <c r="C91" s="15"/>
      <c r="D91" s="10"/>
      <c r="E91" s="117"/>
      <c r="F91" s="27"/>
      <c r="G91" s="114">
        <f t="shared" si="2"/>
        <v>6.3000000000000007</v>
      </c>
      <c r="H91" s="28"/>
      <c r="I91" s="29"/>
    </row>
    <row r="92" spans="1:9" ht="15" customHeight="1" x14ac:dyDescent="0.25">
      <c r="A92" s="7"/>
      <c r="B92" s="33"/>
      <c r="C92" s="34" t="s">
        <v>13</v>
      </c>
      <c r="D92" s="7"/>
      <c r="E92" s="121">
        <f>SUM(E10:E91)</f>
        <v>10</v>
      </c>
      <c r="F92" s="122">
        <f>SUM(F10:F91)</f>
        <v>3.7</v>
      </c>
      <c r="G92" s="121">
        <f>+E92-F92+G9</f>
        <v>6.3</v>
      </c>
      <c r="H92" s="35"/>
      <c r="I92" s="36"/>
    </row>
    <row r="93" spans="1:9" ht="15" customHeight="1" x14ac:dyDescent="0.25">
      <c r="F93" s="26"/>
    </row>
    <row r="94" spans="1:9" ht="15" customHeight="1" x14ac:dyDescent="0.25"/>
    <row r="95" spans="1:9" ht="15" customHeight="1" x14ac:dyDescent="0.25"/>
    <row r="96" spans="1:9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</sheetData>
  <mergeCells count="1">
    <mergeCell ref="A4:I5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6"/>
  <dimension ref="A1:J41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4.28515625" customWidth="1"/>
    <col min="8" max="8" width="16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+'[1]Nilong NKCB'!A4:I5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3"/>
      <c r="G8" s="7">
        <v>44.9</v>
      </c>
      <c r="H8" s="7"/>
      <c r="I8" s="7"/>
    </row>
    <row r="9" spans="1:10" ht="18" customHeight="1" x14ac:dyDescent="0.25">
      <c r="A9" s="14">
        <v>1</v>
      </c>
      <c r="B9" s="39">
        <v>45665</v>
      </c>
      <c r="C9" s="15" t="s">
        <v>109</v>
      </c>
      <c r="D9" s="14" t="s">
        <v>23</v>
      </c>
      <c r="E9" s="51"/>
      <c r="F9" s="118">
        <v>1.8</v>
      </c>
      <c r="G9" s="124">
        <f t="shared" ref="G9:G40" si="0">+G8+E9-F9</f>
        <v>43.1</v>
      </c>
      <c r="H9" s="28" t="s">
        <v>130</v>
      </c>
      <c r="I9" s="7" t="s">
        <v>90</v>
      </c>
    </row>
    <row r="10" spans="1:10" ht="18" customHeight="1" x14ac:dyDescent="0.25">
      <c r="A10" s="14">
        <f t="shared" ref="A10:A40" si="1">+A9+1</f>
        <v>2</v>
      </c>
      <c r="B10" s="39">
        <v>45666</v>
      </c>
      <c r="C10" s="15" t="s">
        <v>109</v>
      </c>
      <c r="D10" s="14" t="s">
        <v>23</v>
      </c>
      <c r="E10" s="113"/>
      <c r="F10" s="118">
        <v>0.4</v>
      </c>
      <c r="G10" s="124">
        <f t="shared" si="0"/>
        <v>42.7</v>
      </c>
      <c r="H10" s="28" t="s">
        <v>130</v>
      </c>
      <c r="I10" s="7" t="s">
        <v>90</v>
      </c>
    </row>
    <row r="11" spans="1:10" ht="18" customHeight="1" x14ac:dyDescent="0.25">
      <c r="A11" s="14">
        <f t="shared" si="1"/>
        <v>3</v>
      </c>
      <c r="B11" s="39">
        <v>45877</v>
      </c>
      <c r="C11" s="15" t="s">
        <v>109</v>
      </c>
      <c r="D11" s="14" t="s">
        <v>23</v>
      </c>
      <c r="E11" s="16"/>
      <c r="F11" s="125">
        <v>1.9</v>
      </c>
      <c r="G11" s="124">
        <f t="shared" si="0"/>
        <v>40.800000000000004</v>
      </c>
      <c r="H11" s="28" t="s">
        <v>130</v>
      </c>
      <c r="I11" s="7" t="s">
        <v>90</v>
      </c>
    </row>
    <row r="12" spans="1:10" ht="18" customHeight="1" x14ac:dyDescent="0.25">
      <c r="A12" s="14">
        <f t="shared" si="1"/>
        <v>4</v>
      </c>
      <c r="B12" s="39">
        <v>45878</v>
      </c>
      <c r="C12" s="15" t="s">
        <v>109</v>
      </c>
      <c r="D12" s="14" t="s">
        <v>23</v>
      </c>
      <c r="E12" s="16"/>
      <c r="F12" s="125">
        <v>0.5</v>
      </c>
      <c r="G12" s="124">
        <f t="shared" si="0"/>
        <v>40.300000000000004</v>
      </c>
      <c r="H12" s="28" t="s">
        <v>130</v>
      </c>
      <c r="I12" s="7" t="s">
        <v>90</v>
      </c>
    </row>
    <row r="13" spans="1:10" ht="18" customHeight="1" x14ac:dyDescent="0.25">
      <c r="A13" s="14">
        <f t="shared" si="1"/>
        <v>5</v>
      </c>
      <c r="B13" s="39"/>
      <c r="C13" s="15" t="s">
        <v>109</v>
      </c>
      <c r="D13" s="14" t="s">
        <v>23</v>
      </c>
      <c r="E13" s="126"/>
      <c r="F13" s="127"/>
      <c r="G13" s="124">
        <f t="shared" si="0"/>
        <v>40.300000000000004</v>
      </c>
      <c r="H13" s="28" t="s">
        <v>130</v>
      </c>
      <c r="I13" s="7" t="s">
        <v>90</v>
      </c>
    </row>
    <row r="14" spans="1:10" ht="18" customHeight="1" x14ac:dyDescent="0.25">
      <c r="A14" s="14">
        <f t="shared" si="1"/>
        <v>6</v>
      </c>
      <c r="B14" s="39"/>
      <c r="C14" s="15"/>
      <c r="D14" s="14"/>
      <c r="E14" s="11"/>
      <c r="F14" s="127"/>
      <c r="G14" s="124">
        <f t="shared" si="0"/>
        <v>40.300000000000004</v>
      </c>
      <c r="H14" s="28"/>
      <c r="I14" s="128"/>
      <c r="J14" s="26"/>
    </row>
    <row r="15" spans="1:10" ht="18" customHeight="1" x14ac:dyDescent="0.25">
      <c r="A15" s="14">
        <f t="shared" si="1"/>
        <v>7</v>
      </c>
      <c r="B15" s="39"/>
      <c r="C15" s="15"/>
      <c r="D15" s="14"/>
      <c r="E15" s="113"/>
      <c r="F15" s="125"/>
      <c r="G15" s="124">
        <f t="shared" si="0"/>
        <v>40.300000000000004</v>
      </c>
      <c r="H15" s="28"/>
      <c r="I15" s="128"/>
    </row>
    <row r="16" spans="1:10" ht="18" customHeight="1" x14ac:dyDescent="0.25">
      <c r="A16" s="14">
        <f t="shared" si="1"/>
        <v>8</v>
      </c>
      <c r="B16" s="39"/>
      <c r="C16" s="15"/>
      <c r="D16" s="14"/>
      <c r="E16" s="129"/>
      <c r="F16" s="125"/>
      <c r="G16" s="124">
        <f t="shared" si="0"/>
        <v>40.300000000000004</v>
      </c>
      <c r="H16" s="28"/>
      <c r="I16" s="128"/>
    </row>
    <row r="17" spans="1:9" ht="18" customHeight="1" x14ac:dyDescent="0.25">
      <c r="A17" s="14">
        <f t="shared" si="1"/>
        <v>9</v>
      </c>
      <c r="B17" s="39"/>
      <c r="C17" s="15"/>
      <c r="D17" s="14"/>
      <c r="E17" s="16"/>
      <c r="F17" s="130"/>
      <c r="G17" s="124">
        <f t="shared" si="0"/>
        <v>40.300000000000004</v>
      </c>
      <c r="H17" s="28"/>
      <c r="I17" s="128"/>
    </row>
    <row r="18" spans="1:9" ht="18" customHeight="1" x14ac:dyDescent="0.25">
      <c r="A18" s="14">
        <f t="shared" si="1"/>
        <v>10</v>
      </c>
      <c r="B18" s="39"/>
      <c r="C18" s="15"/>
      <c r="D18" s="14"/>
      <c r="E18" s="16"/>
      <c r="F18" s="118"/>
      <c r="G18" s="124">
        <f t="shared" si="0"/>
        <v>40.300000000000004</v>
      </c>
      <c r="H18" s="28"/>
      <c r="I18" s="128"/>
    </row>
    <row r="19" spans="1:9" ht="18" customHeight="1" x14ac:dyDescent="0.25">
      <c r="A19" s="14">
        <f t="shared" si="1"/>
        <v>11</v>
      </c>
      <c r="B19" s="39"/>
      <c r="C19" s="15"/>
      <c r="D19" s="14"/>
      <c r="E19" s="16"/>
      <c r="F19" s="118"/>
      <c r="G19" s="131">
        <f t="shared" si="0"/>
        <v>40.300000000000004</v>
      </c>
      <c r="H19" s="28"/>
      <c r="I19" s="128"/>
    </row>
    <row r="20" spans="1:9" ht="18" customHeight="1" x14ac:dyDescent="0.25">
      <c r="A20" s="14">
        <f t="shared" si="1"/>
        <v>12</v>
      </c>
      <c r="B20" s="39"/>
      <c r="C20" s="15"/>
      <c r="D20" s="14"/>
      <c r="E20" s="16"/>
      <c r="F20" s="118"/>
      <c r="G20" s="131">
        <f t="shared" si="0"/>
        <v>40.300000000000004</v>
      </c>
      <c r="H20" s="28"/>
      <c r="I20" s="128"/>
    </row>
    <row r="21" spans="1:9" ht="18" customHeight="1" x14ac:dyDescent="0.25">
      <c r="A21" s="14">
        <f t="shared" si="1"/>
        <v>13</v>
      </c>
      <c r="B21" s="39"/>
      <c r="C21" s="15"/>
      <c r="D21" s="14"/>
      <c r="E21" s="16"/>
      <c r="F21" s="118"/>
      <c r="G21" s="131">
        <f t="shared" si="0"/>
        <v>40.300000000000004</v>
      </c>
      <c r="H21" s="28"/>
      <c r="I21" s="128"/>
    </row>
    <row r="22" spans="1:9" ht="18" customHeight="1" x14ac:dyDescent="0.25">
      <c r="A22" s="14">
        <f t="shared" si="1"/>
        <v>14</v>
      </c>
      <c r="B22" s="39"/>
      <c r="C22" s="15"/>
      <c r="D22" s="14"/>
      <c r="E22" s="132"/>
      <c r="F22" s="118"/>
      <c r="G22" s="131">
        <f t="shared" si="0"/>
        <v>40.300000000000004</v>
      </c>
      <c r="H22" s="28"/>
      <c r="I22" s="128"/>
    </row>
    <row r="23" spans="1:9" ht="18" customHeight="1" x14ac:dyDescent="0.25">
      <c r="A23" s="14">
        <f t="shared" si="1"/>
        <v>15</v>
      </c>
      <c r="B23" s="39"/>
      <c r="C23" s="15"/>
      <c r="D23" s="14"/>
      <c r="E23" s="16"/>
      <c r="F23" s="118"/>
      <c r="G23" s="131">
        <f t="shared" si="0"/>
        <v>40.300000000000004</v>
      </c>
      <c r="H23" s="28"/>
      <c r="I23" s="128"/>
    </row>
    <row r="24" spans="1:9" ht="18" customHeight="1" x14ac:dyDescent="0.25">
      <c r="A24" s="14">
        <f t="shared" si="1"/>
        <v>16</v>
      </c>
      <c r="B24" s="39"/>
      <c r="C24" s="15"/>
      <c r="D24" s="14"/>
      <c r="E24" s="16"/>
      <c r="F24" s="118"/>
      <c r="G24" s="131">
        <f t="shared" si="0"/>
        <v>40.300000000000004</v>
      </c>
      <c r="H24" s="28"/>
      <c r="I24" s="128"/>
    </row>
    <row r="25" spans="1:9" ht="18" customHeight="1" x14ac:dyDescent="0.25">
      <c r="A25" s="14">
        <f t="shared" si="1"/>
        <v>17</v>
      </c>
      <c r="B25" s="39"/>
      <c r="C25" s="15"/>
      <c r="D25" s="14"/>
      <c r="E25" s="132"/>
      <c r="F25" s="118"/>
      <c r="G25" s="131">
        <f t="shared" si="0"/>
        <v>40.300000000000004</v>
      </c>
      <c r="H25" s="28"/>
      <c r="I25" s="128"/>
    </row>
    <row r="26" spans="1:9" ht="18" customHeight="1" x14ac:dyDescent="0.25">
      <c r="A26" s="14">
        <f t="shared" si="1"/>
        <v>18</v>
      </c>
      <c r="B26" s="39"/>
      <c r="C26" s="15"/>
      <c r="D26" s="14"/>
      <c r="E26" s="113"/>
      <c r="F26" s="118"/>
      <c r="G26" s="131">
        <f t="shared" si="0"/>
        <v>40.300000000000004</v>
      </c>
      <c r="H26" s="28"/>
      <c r="I26" s="128"/>
    </row>
    <row r="27" spans="1:9" ht="18" customHeight="1" x14ac:dyDescent="0.25">
      <c r="A27" s="14">
        <f t="shared" si="1"/>
        <v>19</v>
      </c>
      <c r="B27" s="8"/>
      <c r="C27" s="15"/>
      <c r="D27" s="14"/>
      <c r="E27" s="16"/>
      <c r="F27" s="118"/>
      <c r="G27" s="131">
        <f t="shared" si="0"/>
        <v>40.300000000000004</v>
      </c>
      <c r="H27" s="28"/>
      <c r="I27" s="128"/>
    </row>
    <row r="28" spans="1:9" ht="18" customHeight="1" x14ac:dyDescent="0.25">
      <c r="A28" s="14"/>
      <c r="B28" s="8"/>
      <c r="C28" s="15"/>
      <c r="D28" s="14"/>
      <c r="E28" s="16"/>
      <c r="F28" s="118"/>
      <c r="G28" s="131">
        <f t="shared" si="0"/>
        <v>40.300000000000004</v>
      </c>
      <c r="H28" s="28"/>
      <c r="I28" s="29"/>
    </row>
    <row r="29" spans="1:9" ht="18" customHeight="1" x14ac:dyDescent="0.25">
      <c r="A29" s="14"/>
      <c r="B29" s="8"/>
      <c r="C29" s="15"/>
      <c r="D29" s="14"/>
      <c r="E29" s="16"/>
      <c r="F29" s="118"/>
      <c r="G29" s="131">
        <f t="shared" si="0"/>
        <v>40.300000000000004</v>
      </c>
      <c r="H29" s="28"/>
      <c r="I29" s="29"/>
    </row>
    <row r="30" spans="1:9" ht="18" customHeight="1" x14ac:dyDescent="0.25">
      <c r="A30" s="14"/>
      <c r="B30" s="8"/>
      <c r="C30" s="15"/>
      <c r="D30" s="14"/>
      <c r="E30" s="16"/>
      <c r="F30" s="118"/>
      <c r="G30" s="131">
        <f t="shared" si="0"/>
        <v>40.300000000000004</v>
      </c>
      <c r="H30" s="28"/>
      <c r="I30" s="29"/>
    </row>
    <row r="31" spans="1:9" ht="18" customHeight="1" x14ac:dyDescent="0.25">
      <c r="A31" s="14"/>
      <c r="B31" s="8"/>
      <c r="C31" s="15"/>
      <c r="D31" s="14"/>
      <c r="E31" s="16"/>
      <c r="F31" s="118"/>
      <c r="G31" s="131">
        <f t="shared" si="0"/>
        <v>40.300000000000004</v>
      </c>
      <c r="H31" s="28"/>
      <c r="I31" s="29"/>
    </row>
    <row r="32" spans="1:9" ht="18" customHeight="1" x14ac:dyDescent="0.25">
      <c r="A32" s="14"/>
      <c r="B32" s="8"/>
      <c r="C32" s="15"/>
      <c r="D32" s="14"/>
      <c r="E32" s="16"/>
      <c r="F32" s="118"/>
      <c r="G32" s="131">
        <f t="shared" si="0"/>
        <v>40.300000000000004</v>
      </c>
      <c r="H32" s="28"/>
      <c r="I32" s="29"/>
    </row>
    <row r="33" spans="1:9" ht="18" customHeight="1" x14ac:dyDescent="0.25">
      <c r="A33" s="14"/>
      <c r="B33" s="8"/>
      <c r="C33" s="15"/>
      <c r="D33" s="14"/>
      <c r="E33" s="16"/>
      <c r="F33" s="118"/>
      <c r="G33" s="131">
        <f t="shared" si="0"/>
        <v>40.300000000000004</v>
      </c>
      <c r="H33" s="28"/>
      <c r="I33" s="29"/>
    </row>
    <row r="34" spans="1:9" ht="18" customHeight="1" x14ac:dyDescent="0.25">
      <c r="A34" s="14">
        <f>+A27+1</f>
        <v>20</v>
      </c>
      <c r="B34" s="8"/>
      <c r="C34" s="15"/>
      <c r="D34" s="14"/>
      <c r="E34" s="16"/>
      <c r="F34" s="118"/>
      <c r="G34" s="131">
        <f t="shared" si="0"/>
        <v>40.300000000000004</v>
      </c>
      <c r="H34" s="28"/>
      <c r="I34" s="29"/>
    </row>
    <row r="35" spans="1:9" ht="18" customHeight="1" x14ac:dyDescent="0.25">
      <c r="A35" s="14">
        <f t="shared" si="1"/>
        <v>21</v>
      </c>
      <c r="B35" s="8"/>
      <c r="C35" s="15"/>
      <c r="D35" s="14"/>
      <c r="E35" s="16"/>
      <c r="F35" s="118"/>
      <c r="G35" s="131">
        <f t="shared" si="0"/>
        <v>40.300000000000004</v>
      </c>
      <c r="H35" s="28"/>
      <c r="I35" s="29"/>
    </row>
    <row r="36" spans="1:9" ht="18" customHeight="1" x14ac:dyDescent="0.25">
      <c r="A36" s="14">
        <f t="shared" si="1"/>
        <v>22</v>
      </c>
      <c r="B36" s="8"/>
      <c r="C36" s="15"/>
      <c r="D36" s="14"/>
      <c r="E36" s="16"/>
      <c r="F36" s="118"/>
      <c r="G36" s="131">
        <f t="shared" si="0"/>
        <v>40.300000000000004</v>
      </c>
      <c r="H36" s="28"/>
      <c r="I36" s="29"/>
    </row>
    <row r="37" spans="1:9" ht="18" customHeight="1" x14ac:dyDescent="0.25">
      <c r="A37" s="14">
        <f t="shared" si="1"/>
        <v>23</v>
      </c>
      <c r="B37" s="8"/>
      <c r="C37" s="15"/>
      <c r="D37" s="14"/>
      <c r="E37" s="16"/>
      <c r="F37" s="118"/>
      <c r="G37" s="131">
        <f t="shared" si="0"/>
        <v>40.300000000000004</v>
      </c>
      <c r="H37" s="28"/>
      <c r="I37" s="29"/>
    </row>
    <row r="38" spans="1:9" ht="18" customHeight="1" x14ac:dyDescent="0.25">
      <c r="A38" s="14">
        <f t="shared" si="1"/>
        <v>24</v>
      </c>
      <c r="B38" s="37"/>
      <c r="C38" s="15"/>
      <c r="D38" s="133"/>
      <c r="E38" s="16"/>
      <c r="F38" s="118"/>
      <c r="G38" s="131">
        <f t="shared" si="0"/>
        <v>40.300000000000004</v>
      </c>
      <c r="H38" s="28"/>
      <c r="I38" s="29"/>
    </row>
    <row r="39" spans="1:9" ht="18" customHeight="1" x14ac:dyDescent="0.25">
      <c r="A39" s="14">
        <f t="shared" si="1"/>
        <v>25</v>
      </c>
      <c r="B39" s="8"/>
      <c r="C39" s="15"/>
      <c r="D39" s="133"/>
      <c r="E39" s="30"/>
      <c r="F39" s="118"/>
      <c r="G39" s="131">
        <f t="shared" si="0"/>
        <v>40.300000000000004</v>
      </c>
      <c r="H39" s="28"/>
      <c r="I39" s="29"/>
    </row>
    <row r="40" spans="1:9" ht="18" customHeight="1" x14ac:dyDescent="0.25">
      <c r="A40" s="14">
        <f t="shared" si="1"/>
        <v>26</v>
      </c>
      <c r="B40" s="37"/>
      <c r="C40" s="15"/>
      <c r="D40" s="133"/>
      <c r="E40" s="16"/>
      <c r="F40" s="118"/>
      <c r="G40" s="131">
        <f t="shared" si="0"/>
        <v>40.300000000000004</v>
      </c>
      <c r="H40" s="28"/>
      <c r="I40" s="29"/>
    </row>
    <row r="41" spans="1:9" x14ac:dyDescent="0.25">
      <c r="A41" s="7"/>
      <c r="B41" s="7"/>
      <c r="C41" s="34" t="s">
        <v>13</v>
      </c>
      <c r="D41" s="7"/>
      <c r="E41" s="36">
        <f>SUM(E9:E40)</f>
        <v>0</v>
      </c>
      <c r="F41" s="121">
        <f>SUM(F9:F40)</f>
        <v>4.5999999999999996</v>
      </c>
      <c r="G41" s="36">
        <f>+E41-F41+G8</f>
        <v>40.299999999999997</v>
      </c>
      <c r="H41" s="35"/>
      <c r="I41" s="36"/>
    </row>
  </sheetData>
  <mergeCells count="1">
    <mergeCell ref="A4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7"/>
  <dimension ref="A1:J34"/>
  <sheetViews>
    <sheetView topLeftCell="A7" workbookViewId="0">
      <selection activeCell="H27" sqref="H27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4.28515625" customWidth="1"/>
    <col min="8" max="8" width="20.5703125" bestFit="1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+'[1]Nilong NKCB'!A4:I5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x14ac:dyDescent="0.25">
      <c r="A8" s="7"/>
      <c r="B8" s="8">
        <v>45658</v>
      </c>
      <c r="C8" s="9" t="s">
        <v>15</v>
      </c>
      <c r="D8" s="10"/>
      <c r="E8" s="11"/>
      <c r="F8" s="12"/>
      <c r="G8" s="7">
        <v>360.9</v>
      </c>
      <c r="H8" s="7"/>
      <c r="I8" s="7"/>
    </row>
    <row r="9" spans="1:10" x14ac:dyDescent="0.25">
      <c r="A9" s="14">
        <v>1</v>
      </c>
      <c r="B9" s="39">
        <v>45664</v>
      </c>
      <c r="C9" s="15" t="s">
        <v>116</v>
      </c>
      <c r="D9" s="14" t="s">
        <v>19</v>
      </c>
      <c r="E9" s="129"/>
      <c r="F9" s="118">
        <v>0.2</v>
      </c>
      <c r="G9" s="124">
        <f t="shared" ref="G9:G33" si="0">+G8+E9-F9</f>
        <v>360.7</v>
      </c>
      <c r="H9" s="28" t="s">
        <v>94</v>
      </c>
      <c r="I9" s="7" t="s">
        <v>90</v>
      </c>
    </row>
    <row r="10" spans="1:10" x14ac:dyDescent="0.25">
      <c r="A10" s="14">
        <f t="shared" ref="A10:A33" si="1">+A9+1</f>
        <v>2</v>
      </c>
      <c r="B10" s="39">
        <v>45665</v>
      </c>
      <c r="C10" s="15" t="s">
        <v>116</v>
      </c>
      <c r="D10" s="14" t="s">
        <v>19</v>
      </c>
      <c r="E10" s="16"/>
      <c r="F10" s="119">
        <v>1</v>
      </c>
      <c r="G10" s="124">
        <f t="shared" si="0"/>
        <v>359.7</v>
      </c>
      <c r="H10" s="28" t="s">
        <v>94</v>
      </c>
      <c r="I10" s="7" t="s">
        <v>90</v>
      </c>
    </row>
    <row r="11" spans="1:10" x14ac:dyDescent="0.25">
      <c r="A11" s="14">
        <f t="shared" si="1"/>
        <v>3</v>
      </c>
      <c r="B11" s="39">
        <v>45666</v>
      </c>
      <c r="C11" s="15" t="s">
        <v>116</v>
      </c>
      <c r="D11" s="14" t="s">
        <v>19</v>
      </c>
      <c r="E11" s="113"/>
      <c r="F11" s="17">
        <v>0.8</v>
      </c>
      <c r="G11" s="124">
        <f t="shared" si="0"/>
        <v>358.9</v>
      </c>
      <c r="H11" s="28" t="s">
        <v>94</v>
      </c>
      <c r="I11" s="7" t="s">
        <v>90</v>
      </c>
    </row>
    <row r="12" spans="1:10" x14ac:dyDescent="0.25">
      <c r="A12" s="14">
        <f t="shared" si="1"/>
        <v>4</v>
      </c>
      <c r="B12" s="39">
        <v>45866</v>
      </c>
      <c r="C12" s="15" t="s">
        <v>116</v>
      </c>
      <c r="D12" s="14" t="s">
        <v>19</v>
      </c>
      <c r="E12" s="113"/>
      <c r="F12" s="125">
        <v>1</v>
      </c>
      <c r="G12" s="124">
        <f t="shared" si="0"/>
        <v>357.9</v>
      </c>
      <c r="H12" s="28" t="s">
        <v>94</v>
      </c>
      <c r="I12" s="7" t="s">
        <v>90</v>
      </c>
    </row>
    <row r="13" spans="1:10" x14ac:dyDescent="0.25">
      <c r="A13" s="14">
        <f t="shared" si="1"/>
        <v>5</v>
      </c>
      <c r="B13" s="39">
        <v>45867</v>
      </c>
      <c r="C13" s="15" t="s">
        <v>116</v>
      </c>
      <c r="D13" s="14" t="s">
        <v>19</v>
      </c>
      <c r="E13" s="145"/>
      <c r="F13" s="127">
        <v>1.7</v>
      </c>
      <c r="G13" s="124">
        <f t="shared" si="0"/>
        <v>356.2</v>
      </c>
      <c r="H13" s="28" t="s">
        <v>94</v>
      </c>
      <c r="I13" s="7" t="s">
        <v>90</v>
      </c>
    </row>
    <row r="14" spans="1:10" x14ac:dyDescent="0.25">
      <c r="A14" s="14">
        <f t="shared" si="1"/>
        <v>6</v>
      </c>
      <c r="B14" s="39">
        <v>45877</v>
      </c>
      <c r="C14" s="15" t="s">
        <v>116</v>
      </c>
      <c r="D14" s="14" t="s">
        <v>19</v>
      </c>
      <c r="E14" s="11"/>
      <c r="F14" s="274">
        <v>0.8</v>
      </c>
      <c r="G14" s="124">
        <f t="shared" si="0"/>
        <v>355.4</v>
      </c>
      <c r="H14" s="28" t="s">
        <v>94</v>
      </c>
      <c r="I14" s="7" t="s">
        <v>90</v>
      </c>
      <c r="J14" s="26"/>
    </row>
    <row r="15" spans="1:10" x14ac:dyDescent="0.25">
      <c r="A15" s="14" t="e">
        <f>+#REF!+1</f>
        <v>#REF!</v>
      </c>
      <c r="B15" s="39">
        <v>45889</v>
      </c>
      <c r="C15" s="15" t="s">
        <v>116</v>
      </c>
      <c r="D15" s="14" t="s">
        <v>19</v>
      </c>
      <c r="E15" s="129"/>
      <c r="F15" s="17">
        <v>1</v>
      </c>
      <c r="G15" s="124">
        <f t="shared" si="0"/>
        <v>354.4</v>
      </c>
      <c r="H15" s="28"/>
      <c r="I15" s="7"/>
    </row>
    <row r="16" spans="1:10" x14ac:dyDescent="0.25">
      <c r="A16" s="14" t="e">
        <f t="shared" si="1"/>
        <v>#REF!</v>
      </c>
      <c r="B16" s="39">
        <v>45890</v>
      </c>
      <c r="C16" s="15" t="s">
        <v>116</v>
      </c>
      <c r="D16" s="14" t="s">
        <v>19</v>
      </c>
      <c r="E16" s="132"/>
      <c r="F16" s="275">
        <v>2.5</v>
      </c>
      <c r="G16" s="124">
        <f t="shared" si="0"/>
        <v>351.9</v>
      </c>
      <c r="H16" s="28"/>
      <c r="I16" s="7"/>
    </row>
    <row r="17" spans="1:9" x14ac:dyDescent="0.25">
      <c r="A17" s="14" t="e">
        <f t="shared" si="1"/>
        <v>#REF!</v>
      </c>
      <c r="B17" s="39">
        <v>45898</v>
      </c>
      <c r="C17" s="15" t="s">
        <v>116</v>
      </c>
      <c r="D17" s="14" t="s">
        <v>19</v>
      </c>
      <c r="E17" s="16"/>
      <c r="F17" s="119">
        <v>0.3</v>
      </c>
      <c r="G17" s="124">
        <f t="shared" si="0"/>
        <v>351.59999999999997</v>
      </c>
      <c r="H17" s="28"/>
      <c r="I17" s="7"/>
    </row>
    <row r="18" spans="1:9" x14ac:dyDescent="0.25">
      <c r="A18" s="14" t="e">
        <f t="shared" si="1"/>
        <v>#REF!</v>
      </c>
      <c r="B18" s="39"/>
      <c r="C18" s="15" t="s">
        <v>116</v>
      </c>
      <c r="D18" s="14" t="s">
        <v>19</v>
      </c>
      <c r="E18" s="132"/>
      <c r="F18" s="119"/>
      <c r="G18" s="124">
        <f t="shared" si="0"/>
        <v>351.59999999999997</v>
      </c>
      <c r="H18" s="28"/>
      <c r="I18" s="7"/>
    </row>
    <row r="19" spans="1:9" x14ac:dyDescent="0.25">
      <c r="A19" s="14" t="e">
        <f t="shared" si="1"/>
        <v>#REF!</v>
      </c>
      <c r="B19" s="39"/>
      <c r="C19" s="15" t="s">
        <v>116</v>
      </c>
      <c r="D19" s="14" t="s">
        <v>19</v>
      </c>
      <c r="E19" s="16"/>
      <c r="F19" s="119"/>
      <c r="G19" s="124">
        <f t="shared" si="0"/>
        <v>351.59999999999997</v>
      </c>
      <c r="H19" s="28"/>
      <c r="I19" s="7"/>
    </row>
    <row r="20" spans="1:9" x14ac:dyDescent="0.25">
      <c r="A20" s="14" t="e">
        <f t="shared" si="1"/>
        <v>#REF!</v>
      </c>
      <c r="B20" s="39"/>
      <c r="C20" s="15" t="s">
        <v>116</v>
      </c>
      <c r="D20" s="14" t="s">
        <v>19</v>
      </c>
      <c r="E20" s="16"/>
      <c r="F20" s="119"/>
      <c r="G20" s="124">
        <f t="shared" si="0"/>
        <v>351.59999999999997</v>
      </c>
      <c r="H20" s="28"/>
      <c r="I20" s="7"/>
    </row>
    <row r="21" spans="1:9" x14ac:dyDescent="0.25">
      <c r="A21" s="14" t="e">
        <f t="shared" si="1"/>
        <v>#REF!</v>
      </c>
      <c r="B21" s="39"/>
      <c r="C21" s="15"/>
      <c r="D21" s="14"/>
      <c r="E21" s="16"/>
      <c r="F21" s="27"/>
      <c r="G21" s="124">
        <f t="shared" si="0"/>
        <v>351.59999999999997</v>
      </c>
      <c r="H21" s="28"/>
      <c r="I21" s="29"/>
    </row>
    <row r="22" spans="1:9" x14ac:dyDescent="0.25">
      <c r="A22" s="14" t="e">
        <f t="shared" si="1"/>
        <v>#REF!</v>
      </c>
      <c r="B22" s="39"/>
      <c r="C22" s="15"/>
      <c r="D22" s="14"/>
      <c r="E22" s="16"/>
      <c r="F22" s="27"/>
      <c r="G22" s="124">
        <f t="shared" si="0"/>
        <v>351.59999999999997</v>
      </c>
      <c r="H22" s="28"/>
      <c r="I22" s="29"/>
    </row>
    <row r="23" spans="1:9" x14ac:dyDescent="0.25">
      <c r="A23" s="14" t="e">
        <f t="shared" si="1"/>
        <v>#REF!</v>
      </c>
      <c r="B23" s="39"/>
      <c r="C23" s="15"/>
      <c r="D23" s="14"/>
      <c r="E23" s="16"/>
      <c r="F23" s="27"/>
      <c r="G23" s="124">
        <f t="shared" si="0"/>
        <v>351.59999999999997</v>
      </c>
      <c r="H23" s="28"/>
      <c r="I23" s="29"/>
    </row>
    <row r="24" spans="1:9" x14ac:dyDescent="0.25">
      <c r="A24" s="14" t="e">
        <f t="shared" si="1"/>
        <v>#REF!</v>
      </c>
      <c r="B24" s="39"/>
      <c r="C24" s="15"/>
      <c r="D24" s="14"/>
      <c r="E24" s="16"/>
      <c r="F24" s="27"/>
      <c r="G24" s="124">
        <f t="shared" si="0"/>
        <v>351.59999999999997</v>
      </c>
      <c r="H24" s="28"/>
      <c r="I24" s="29"/>
    </row>
    <row r="25" spans="1:9" x14ac:dyDescent="0.25">
      <c r="A25" s="14" t="e">
        <f t="shared" si="1"/>
        <v>#REF!</v>
      </c>
      <c r="B25" s="39"/>
      <c r="C25" s="15"/>
      <c r="D25" s="14"/>
      <c r="E25" s="16"/>
      <c r="F25" s="27"/>
      <c r="G25" s="124">
        <f t="shared" si="0"/>
        <v>351.59999999999997</v>
      </c>
      <c r="H25" s="28"/>
      <c r="I25" s="29"/>
    </row>
    <row r="26" spans="1:9" x14ac:dyDescent="0.25">
      <c r="A26" s="14" t="e">
        <f t="shared" si="1"/>
        <v>#REF!</v>
      </c>
      <c r="B26" s="8"/>
      <c r="C26" s="15"/>
      <c r="D26" s="14"/>
      <c r="E26" s="16"/>
      <c r="F26" s="27"/>
      <c r="G26" s="124">
        <f t="shared" si="0"/>
        <v>351.59999999999997</v>
      </c>
      <c r="H26" s="28"/>
      <c r="I26" s="29"/>
    </row>
    <row r="27" spans="1:9" x14ac:dyDescent="0.25">
      <c r="A27" s="14" t="e">
        <f t="shared" si="1"/>
        <v>#REF!</v>
      </c>
      <c r="B27" s="8"/>
      <c r="C27" s="15"/>
      <c r="D27" s="14"/>
      <c r="E27" s="16"/>
      <c r="F27" s="27"/>
      <c r="G27" s="124">
        <f t="shared" si="0"/>
        <v>351.59999999999997</v>
      </c>
      <c r="H27" s="28"/>
      <c r="I27" s="29"/>
    </row>
    <row r="28" spans="1:9" x14ac:dyDescent="0.25">
      <c r="A28" s="14" t="e">
        <f t="shared" si="1"/>
        <v>#REF!</v>
      </c>
      <c r="B28" s="8"/>
      <c r="C28" s="15"/>
      <c r="D28" s="14"/>
      <c r="E28" s="16"/>
      <c r="F28" s="27"/>
      <c r="G28" s="124">
        <f t="shared" si="0"/>
        <v>351.59999999999997</v>
      </c>
      <c r="H28" s="28"/>
      <c r="I28" s="29"/>
    </row>
    <row r="29" spans="1:9" x14ac:dyDescent="0.25">
      <c r="A29" s="14" t="e">
        <f t="shared" si="1"/>
        <v>#REF!</v>
      </c>
      <c r="B29" s="8"/>
      <c r="C29" s="15"/>
      <c r="D29" s="14"/>
      <c r="E29" s="16"/>
      <c r="F29" s="27"/>
      <c r="G29" s="124">
        <f t="shared" si="0"/>
        <v>351.59999999999997</v>
      </c>
      <c r="H29" s="28"/>
      <c r="I29" s="29"/>
    </row>
    <row r="30" spans="1:9" x14ac:dyDescent="0.25">
      <c r="A30" s="14" t="e">
        <f t="shared" si="1"/>
        <v>#REF!</v>
      </c>
      <c r="B30" s="8"/>
      <c r="C30" s="15"/>
      <c r="D30" s="14"/>
      <c r="E30" s="16"/>
      <c r="F30" s="119"/>
      <c r="G30" s="124">
        <f t="shared" si="0"/>
        <v>351.59999999999997</v>
      </c>
      <c r="H30" s="28"/>
      <c r="I30" s="29"/>
    </row>
    <row r="31" spans="1:9" x14ac:dyDescent="0.25">
      <c r="A31" s="14" t="e">
        <f t="shared" si="1"/>
        <v>#REF!</v>
      </c>
      <c r="B31" s="37"/>
      <c r="C31" s="15"/>
      <c r="D31" s="133"/>
      <c r="E31" s="16"/>
      <c r="F31" s="119"/>
      <c r="G31" s="124">
        <f t="shared" si="0"/>
        <v>351.59999999999997</v>
      </c>
      <c r="H31" s="28"/>
      <c r="I31" s="29"/>
    </row>
    <row r="32" spans="1:9" x14ac:dyDescent="0.25">
      <c r="A32" s="14" t="e">
        <f t="shared" si="1"/>
        <v>#REF!</v>
      </c>
      <c r="B32" s="8"/>
      <c r="C32" s="15"/>
      <c r="D32" s="133"/>
      <c r="E32" s="30"/>
      <c r="F32" s="119"/>
      <c r="G32" s="124">
        <f t="shared" si="0"/>
        <v>351.59999999999997</v>
      </c>
      <c r="H32" s="28"/>
      <c r="I32" s="29"/>
    </row>
    <row r="33" spans="1:9" x14ac:dyDescent="0.25">
      <c r="A33" s="14" t="e">
        <f t="shared" si="1"/>
        <v>#REF!</v>
      </c>
      <c r="B33" s="37"/>
      <c r="C33" s="15"/>
      <c r="D33" s="133"/>
      <c r="E33" s="16"/>
      <c r="F33" s="119"/>
      <c r="G33" s="124">
        <f t="shared" si="0"/>
        <v>351.59999999999997</v>
      </c>
      <c r="H33" s="28"/>
      <c r="I33" s="29"/>
    </row>
    <row r="34" spans="1:9" x14ac:dyDescent="0.25">
      <c r="A34" s="7"/>
      <c r="B34" s="7"/>
      <c r="C34" s="34" t="s">
        <v>13</v>
      </c>
      <c r="D34" s="7"/>
      <c r="E34" s="36">
        <f>SUM(E9:E33)</f>
        <v>0</v>
      </c>
      <c r="F34" s="164">
        <f>SUM(F9:F33)</f>
        <v>9.3000000000000007</v>
      </c>
      <c r="G34" s="36">
        <f>+E34-F34+G8</f>
        <v>351.59999999999997</v>
      </c>
      <c r="H34" s="35"/>
      <c r="I34" s="36"/>
    </row>
  </sheetData>
  <mergeCells count="1">
    <mergeCell ref="A4:I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8"/>
  <dimension ref="A1:J35"/>
  <sheetViews>
    <sheetView workbookViewId="0">
      <selection activeCell="F10" sqref="F10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0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0" x14ac:dyDescent="0.25">
      <c r="A8" s="7"/>
      <c r="B8" s="8">
        <v>45658</v>
      </c>
      <c r="C8" s="9" t="s">
        <v>15</v>
      </c>
      <c r="D8" s="10"/>
      <c r="E8" s="11"/>
      <c r="F8" s="123"/>
      <c r="G8" s="7">
        <v>366</v>
      </c>
      <c r="H8" s="7"/>
      <c r="I8" s="7"/>
    </row>
    <row r="9" spans="1:10" x14ac:dyDescent="0.25">
      <c r="A9" s="14">
        <v>1</v>
      </c>
      <c r="B9" s="39">
        <v>45665</v>
      </c>
      <c r="C9" s="15" t="s">
        <v>115</v>
      </c>
      <c r="D9" s="14" t="s">
        <v>19</v>
      </c>
      <c r="E9" s="51"/>
      <c r="F9" s="118"/>
      <c r="G9" s="124">
        <f t="shared" ref="G9:G34" si="0">+G8+E9-F9</f>
        <v>366</v>
      </c>
      <c r="H9" s="28" t="s">
        <v>151</v>
      </c>
      <c r="I9" s="7" t="s">
        <v>152</v>
      </c>
    </row>
    <row r="10" spans="1:10" x14ac:dyDescent="0.25">
      <c r="A10" s="14">
        <f t="shared" ref="A10:A34" si="1">+A9+1</f>
        <v>2</v>
      </c>
      <c r="B10" s="39"/>
      <c r="C10" s="15" t="s">
        <v>115</v>
      </c>
      <c r="D10" s="14" t="s">
        <v>19</v>
      </c>
      <c r="E10" s="16"/>
      <c r="F10" s="118"/>
      <c r="G10" s="124">
        <f t="shared" si="0"/>
        <v>366</v>
      </c>
      <c r="H10" s="28" t="s">
        <v>101</v>
      </c>
      <c r="I10" s="7" t="s">
        <v>90</v>
      </c>
    </row>
    <row r="11" spans="1:10" x14ac:dyDescent="0.25">
      <c r="A11" s="14">
        <f t="shared" si="1"/>
        <v>3</v>
      </c>
      <c r="B11" s="39"/>
      <c r="C11" s="15" t="s">
        <v>115</v>
      </c>
      <c r="D11" s="14" t="s">
        <v>19</v>
      </c>
      <c r="E11" s="113"/>
      <c r="F11" s="125"/>
      <c r="G11" s="124">
        <f t="shared" si="0"/>
        <v>366</v>
      </c>
      <c r="H11" s="28" t="s">
        <v>101</v>
      </c>
      <c r="I11" s="7" t="s">
        <v>90</v>
      </c>
    </row>
    <row r="12" spans="1:10" x14ac:dyDescent="0.25">
      <c r="A12" s="14">
        <f t="shared" si="1"/>
        <v>4</v>
      </c>
      <c r="B12" s="39"/>
      <c r="C12" s="15" t="s">
        <v>115</v>
      </c>
      <c r="D12" s="14" t="s">
        <v>19</v>
      </c>
      <c r="E12" s="132"/>
      <c r="F12" s="125"/>
      <c r="G12" s="124">
        <f t="shared" si="0"/>
        <v>366</v>
      </c>
      <c r="H12" s="28"/>
      <c r="I12" s="7"/>
    </row>
    <row r="13" spans="1:10" x14ac:dyDescent="0.25">
      <c r="A13" s="14">
        <f t="shared" si="1"/>
        <v>5</v>
      </c>
      <c r="B13" s="39"/>
      <c r="C13" s="15" t="s">
        <v>115</v>
      </c>
      <c r="D13" s="14" t="s">
        <v>19</v>
      </c>
      <c r="E13" s="135"/>
      <c r="F13" s="127"/>
      <c r="G13" s="124">
        <f t="shared" si="0"/>
        <v>366</v>
      </c>
      <c r="H13" s="28"/>
      <c r="I13" s="7"/>
    </row>
    <row r="14" spans="1:10" x14ac:dyDescent="0.25">
      <c r="A14" s="14">
        <f t="shared" si="1"/>
        <v>6</v>
      </c>
      <c r="B14" s="39"/>
      <c r="C14" s="15" t="s">
        <v>115</v>
      </c>
      <c r="D14" s="14" t="s">
        <v>19</v>
      </c>
      <c r="E14" s="11"/>
      <c r="F14" s="127"/>
      <c r="G14" s="124">
        <f t="shared" si="0"/>
        <v>366</v>
      </c>
      <c r="H14" s="28"/>
      <c r="I14" s="7"/>
      <c r="J14" s="26"/>
    </row>
    <row r="15" spans="1:10" x14ac:dyDescent="0.25">
      <c r="A15" s="14">
        <f t="shared" si="1"/>
        <v>7</v>
      </c>
      <c r="B15" s="39"/>
      <c r="C15" s="15" t="s">
        <v>115</v>
      </c>
      <c r="D15" s="14" t="s">
        <v>19</v>
      </c>
      <c r="E15" s="113"/>
      <c r="F15" s="125"/>
      <c r="G15" s="124">
        <f t="shared" si="0"/>
        <v>366</v>
      </c>
      <c r="H15" s="28"/>
      <c r="I15" s="7"/>
    </row>
    <row r="16" spans="1:10" x14ac:dyDescent="0.25">
      <c r="A16" s="14">
        <f t="shared" si="1"/>
        <v>8</v>
      </c>
      <c r="B16" s="39"/>
      <c r="C16" s="15" t="s">
        <v>115</v>
      </c>
      <c r="D16" s="14" t="s">
        <v>19</v>
      </c>
      <c r="E16" s="129"/>
      <c r="F16" s="125"/>
      <c r="G16" s="124">
        <f t="shared" si="0"/>
        <v>366</v>
      </c>
      <c r="H16" s="28"/>
      <c r="I16" s="7"/>
    </row>
    <row r="17" spans="1:9" x14ac:dyDescent="0.25">
      <c r="A17" s="14">
        <f t="shared" si="1"/>
        <v>9</v>
      </c>
      <c r="B17" s="39"/>
      <c r="C17" s="15" t="s">
        <v>115</v>
      </c>
      <c r="D17" s="14" t="s">
        <v>19</v>
      </c>
      <c r="E17" s="113"/>
      <c r="F17" s="130"/>
      <c r="G17" s="124">
        <f t="shared" si="0"/>
        <v>366</v>
      </c>
      <c r="H17" s="28"/>
      <c r="I17" s="7"/>
    </row>
    <row r="18" spans="1:9" x14ac:dyDescent="0.25">
      <c r="A18" s="14">
        <f t="shared" si="1"/>
        <v>10</v>
      </c>
      <c r="B18" s="39"/>
      <c r="C18" s="15" t="s">
        <v>115</v>
      </c>
      <c r="D18" s="14" t="s">
        <v>19</v>
      </c>
      <c r="E18" s="16"/>
      <c r="F18" s="118"/>
      <c r="G18" s="124">
        <f t="shared" si="0"/>
        <v>366</v>
      </c>
      <c r="H18" s="28"/>
      <c r="I18" s="7"/>
    </row>
    <row r="19" spans="1:9" x14ac:dyDescent="0.25">
      <c r="A19" s="14">
        <f t="shared" si="1"/>
        <v>11</v>
      </c>
      <c r="B19" s="39"/>
      <c r="C19" s="15" t="s">
        <v>115</v>
      </c>
      <c r="D19" s="14" t="s">
        <v>19</v>
      </c>
      <c r="E19" s="113"/>
      <c r="F19" s="118"/>
      <c r="G19" s="131">
        <f t="shared" si="0"/>
        <v>366</v>
      </c>
      <c r="H19" s="28"/>
      <c r="I19" s="29"/>
    </row>
    <row r="20" spans="1:9" x14ac:dyDescent="0.25">
      <c r="A20" s="14">
        <f t="shared" si="1"/>
        <v>12</v>
      </c>
      <c r="B20" s="39"/>
      <c r="C20" s="15" t="s">
        <v>115</v>
      </c>
      <c r="D20" s="14" t="s">
        <v>19</v>
      </c>
      <c r="E20" s="16"/>
      <c r="F20" s="118"/>
      <c r="G20" s="131">
        <f t="shared" si="0"/>
        <v>366</v>
      </c>
      <c r="H20" s="28"/>
      <c r="I20" s="29"/>
    </row>
    <row r="21" spans="1:9" x14ac:dyDescent="0.25">
      <c r="A21" s="14">
        <f t="shared" si="1"/>
        <v>13</v>
      </c>
      <c r="B21" s="39"/>
      <c r="C21" s="15" t="s">
        <v>115</v>
      </c>
      <c r="D21" s="14" t="s">
        <v>19</v>
      </c>
      <c r="E21" s="113"/>
      <c r="F21" s="118"/>
      <c r="G21" s="131">
        <f t="shared" si="0"/>
        <v>366</v>
      </c>
      <c r="H21" s="28"/>
      <c r="I21" s="29"/>
    </row>
    <row r="22" spans="1:9" x14ac:dyDescent="0.25">
      <c r="A22" s="14">
        <f t="shared" si="1"/>
        <v>14</v>
      </c>
      <c r="B22" s="39"/>
      <c r="C22" s="15" t="s">
        <v>115</v>
      </c>
      <c r="D22" s="14"/>
      <c r="E22" s="16"/>
      <c r="F22" s="118"/>
      <c r="G22" s="131">
        <f t="shared" si="0"/>
        <v>366</v>
      </c>
      <c r="H22" s="28"/>
      <c r="I22" s="29"/>
    </row>
    <row r="23" spans="1:9" x14ac:dyDescent="0.25">
      <c r="A23" s="14">
        <f t="shared" si="1"/>
        <v>15</v>
      </c>
      <c r="B23" s="39"/>
      <c r="C23" s="15" t="s">
        <v>115</v>
      </c>
      <c r="D23" s="14"/>
      <c r="E23" s="16"/>
      <c r="F23" s="118"/>
      <c r="G23" s="131">
        <f t="shared" si="0"/>
        <v>366</v>
      </c>
      <c r="H23" s="28"/>
      <c r="I23" s="29"/>
    </row>
    <row r="24" spans="1:9" x14ac:dyDescent="0.25">
      <c r="A24" s="14">
        <f t="shared" si="1"/>
        <v>16</v>
      </c>
      <c r="B24" s="39"/>
      <c r="C24" s="15" t="s">
        <v>115</v>
      </c>
      <c r="D24" s="14"/>
      <c r="E24" s="16"/>
      <c r="F24" s="118"/>
      <c r="G24" s="131">
        <f t="shared" si="0"/>
        <v>366</v>
      </c>
      <c r="H24" s="28"/>
      <c r="I24" s="29"/>
    </row>
    <row r="25" spans="1:9" x14ac:dyDescent="0.25">
      <c r="A25" s="14">
        <f t="shared" si="1"/>
        <v>17</v>
      </c>
      <c r="B25" s="39"/>
      <c r="C25" s="15" t="s">
        <v>115</v>
      </c>
      <c r="D25" s="14"/>
      <c r="E25" s="16"/>
      <c r="F25" s="118"/>
      <c r="G25" s="131">
        <f t="shared" si="0"/>
        <v>366</v>
      </c>
      <c r="H25" s="28"/>
      <c r="I25" s="29"/>
    </row>
    <row r="26" spans="1:9" x14ac:dyDescent="0.25">
      <c r="A26" s="14">
        <f t="shared" si="1"/>
        <v>18</v>
      </c>
      <c r="B26" s="39"/>
      <c r="C26" s="15" t="s">
        <v>115</v>
      </c>
      <c r="D26" s="14"/>
      <c r="E26" s="16"/>
      <c r="F26" s="118"/>
      <c r="G26" s="131">
        <f t="shared" si="0"/>
        <v>366</v>
      </c>
      <c r="H26" s="28"/>
      <c r="I26" s="29"/>
    </row>
    <row r="27" spans="1:9" x14ac:dyDescent="0.25">
      <c r="A27" s="14">
        <f t="shared" si="1"/>
        <v>19</v>
      </c>
      <c r="B27" s="8"/>
      <c r="C27" s="15" t="s">
        <v>115</v>
      </c>
      <c r="D27" s="14"/>
      <c r="E27" s="16"/>
      <c r="F27" s="118"/>
      <c r="G27" s="131">
        <f t="shared" si="0"/>
        <v>366</v>
      </c>
      <c r="H27" s="28"/>
      <c r="I27" s="29"/>
    </row>
    <row r="28" spans="1:9" x14ac:dyDescent="0.25">
      <c r="A28" s="14">
        <f t="shared" si="1"/>
        <v>20</v>
      </c>
      <c r="B28" s="8"/>
      <c r="C28" s="15" t="s">
        <v>115</v>
      </c>
      <c r="D28" s="14"/>
      <c r="E28" s="16"/>
      <c r="F28" s="118"/>
      <c r="G28" s="131">
        <f t="shared" si="0"/>
        <v>366</v>
      </c>
      <c r="H28" s="28"/>
      <c r="I28" s="29"/>
    </row>
    <row r="29" spans="1:9" x14ac:dyDescent="0.25">
      <c r="A29" s="14">
        <f t="shared" si="1"/>
        <v>21</v>
      </c>
      <c r="B29" s="8"/>
      <c r="C29" s="15" t="s">
        <v>115</v>
      </c>
      <c r="D29" s="14"/>
      <c r="E29" s="16"/>
      <c r="F29" s="118"/>
      <c r="G29" s="131">
        <f t="shared" si="0"/>
        <v>366</v>
      </c>
      <c r="H29" s="28"/>
      <c r="I29" s="29"/>
    </row>
    <row r="30" spans="1:9" x14ac:dyDescent="0.25">
      <c r="A30" s="14">
        <f t="shared" si="1"/>
        <v>22</v>
      </c>
      <c r="B30" s="8"/>
      <c r="C30" s="15" t="s">
        <v>115</v>
      </c>
      <c r="D30" s="14"/>
      <c r="E30" s="16"/>
      <c r="F30" s="118"/>
      <c r="G30" s="131">
        <f t="shared" si="0"/>
        <v>366</v>
      </c>
      <c r="H30" s="28"/>
      <c r="I30" s="29"/>
    </row>
    <row r="31" spans="1:9" x14ac:dyDescent="0.25">
      <c r="A31" s="14">
        <f t="shared" si="1"/>
        <v>23</v>
      </c>
      <c r="B31" s="8"/>
      <c r="C31" s="15" t="s">
        <v>115</v>
      </c>
      <c r="D31" s="14"/>
      <c r="E31" s="16"/>
      <c r="F31" s="118"/>
      <c r="G31" s="131">
        <f t="shared" si="0"/>
        <v>366</v>
      </c>
      <c r="H31" s="28"/>
      <c r="I31" s="29"/>
    </row>
    <row r="32" spans="1:9" x14ac:dyDescent="0.25">
      <c r="A32" s="14">
        <f t="shared" si="1"/>
        <v>24</v>
      </c>
      <c r="B32" s="37"/>
      <c r="C32" s="15" t="s">
        <v>115</v>
      </c>
      <c r="D32" s="133"/>
      <c r="E32" s="16"/>
      <c r="F32" s="118"/>
      <c r="G32" s="131">
        <f t="shared" si="0"/>
        <v>366</v>
      </c>
      <c r="H32" s="28"/>
      <c r="I32" s="29"/>
    </row>
    <row r="33" spans="1:9" x14ac:dyDescent="0.25">
      <c r="A33" s="14">
        <f t="shared" si="1"/>
        <v>25</v>
      </c>
      <c r="B33" s="8"/>
      <c r="C33" s="15" t="s">
        <v>115</v>
      </c>
      <c r="D33" s="133"/>
      <c r="E33" s="30"/>
      <c r="F33" s="118"/>
      <c r="G33" s="131">
        <f t="shared" si="0"/>
        <v>366</v>
      </c>
      <c r="H33" s="28"/>
      <c r="I33" s="29"/>
    </row>
    <row r="34" spans="1:9" x14ac:dyDescent="0.25">
      <c r="A34" s="14">
        <f t="shared" si="1"/>
        <v>26</v>
      </c>
      <c r="B34" s="37"/>
      <c r="C34" s="15"/>
      <c r="D34" s="133"/>
      <c r="E34" s="16"/>
      <c r="F34" s="118"/>
      <c r="G34" s="131">
        <f t="shared" si="0"/>
        <v>366</v>
      </c>
      <c r="H34" s="28"/>
      <c r="I34" s="29"/>
    </row>
    <row r="35" spans="1:9" x14ac:dyDescent="0.25">
      <c r="A35" s="7"/>
      <c r="B35" s="7"/>
      <c r="C35" s="34" t="s">
        <v>13</v>
      </c>
      <c r="D35" s="7"/>
      <c r="E35" s="36">
        <f>SUM(E9:E34)</f>
        <v>0</v>
      </c>
      <c r="F35" s="121">
        <f>SUM(F9:F34)</f>
        <v>0</v>
      </c>
      <c r="G35" s="36">
        <f>+E35-F35+G8</f>
        <v>366</v>
      </c>
      <c r="H35" s="35"/>
      <c r="I35" s="3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24FD-2A1B-43FE-B41F-DA74242F5A82}">
  <sheetPr codeName="Sheet29"/>
  <dimension ref="A1:K35"/>
  <sheetViews>
    <sheetView topLeftCell="A3" workbookViewId="0">
      <selection activeCell="E8" sqref="E8:F12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1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1" x14ac:dyDescent="0.25">
      <c r="A8" s="7"/>
      <c r="B8" s="8">
        <v>45658</v>
      </c>
      <c r="C8" s="9" t="s">
        <v>15</v>
      </c>
      <c r="D8" s="10"/>
      <c r="E8" s="11"/>
      <c r="F8" s="123"/>
      <c r="G8" s="7">
        <v>342.3</v>
      </c>
      <c r="H8" s="7"/>
      <c r="I8" s="7"/>
    </row>
    <row r="9" spans="1:11" x14ac:dyDescent="0.25">
      <c r="A9" s="14">
        <v>1</v>
      </c>
      <c r="B9" s="39"/>
      <c r="C9" s="341" t="s">
        <v>137</v>
      </c>
      <c r="D9" s="14" t="s">
        <v>19</v>
      </c>
      <c r="E9" s="51"/>
      <c r="F9" s="118"/>
      <c r="G9" s="124">
        <f t="shared" ref="G9:G34" si="0">+G8+E9-F9</f>
        <v>342.3</v>
      </c>
      <c r="H9" s="28" t="s">
        <v>129</v>
      </c>
      <c r="I9" s="7" t="s">
        <v>90</v>
      </c>
    </row>
    <row r="10" spans="1:11" x14ac:dyDescent="0.25">
      <c r="A10" s="14">
        <f t="shared" ref="A10:A34" si="1">+A9+1</f>
        <v>2</v>
      </c>
      <c r="B10" s="39"/>
      <c r="C10" s="341" t="s">
        <v>137</v>
      </c>
      <c r="D10" s="14" t="s">
        <v>19</v>
      </c>
      <c r="E10" s="16"/>
      <c r="F10" s="118"/>
      <c r="G10" s="124">
        <f t="shared" si="0"/>
        <v>342.3</v>
      </c>
      <c r="H10" s="28"/>
      <c r="I10" s="7"/>
    </row>
    <row r="11" spans="1:11" x14ac:dyDescent="0.25">
      <c r="A11" s="14">
        <f t="shared" si="1"/>
        <v>3</v>
      </c>
      <c r="B11" s="39"/>
      <c r="C11" s="341" t="s">
        <v>137</v>
      </c>
      <c r="D11" s="14" t="s">
        <v>19</v>
      </c>
      <c r="E11" s="113"/>
      <c r="F11" s="125"/>
      <c r="G11" s="124">
        <f t="shared" si="0"/>
        <v>342.3</v>
      </c>
      <c r="H11" s="28"/>
      <c r="I11" s="7"/>
    </row>
    <row r="12" spans="1:11" x14ac:dyDescent="0.25">
      <c r="A12" s="14">
        <f t="shared" si="1"/>
        <v>4</v>
      </c>
      <c r="B12" s="39"/>
      <c r="C12" s="15"/>
      <c r="D12" s="14" t="s">
        <v>19</v>
      </c>
      <c r="E12" s="132"/>
      <c r="F12" s="125"/>
      <c r="G12" s="124">
        <f t="shared" si="0"/>
        <v>342.3</v>
      </c>
      <c r="H12" s="28"/>
      <c r="I12" s="7"/>
    </row>
    <row r="13" spans="1:11" x14ac:dyDescent="0.25">
      <c r="A13" s="14">
        <f t="shared" si="1"/>
        <v>5</v>
      </c>
      <c r="B13" s="39"/>
      <c r="C13" s="15"/>
      <c r="D13" s="14" t="s">
        <v>19</v>
      </c>
      <c r="E13" s="126"/>
      <c r="F13" s="127"/>
      <c r="G13" s="124">
        <f t="shared" si="0"/>
        <v>342.3</v>
      </c>
      <c r="H13" s="28"/>
      <c r="I13" s="7"/>
    </row>
    <row r="14" spans="1:11" x14ac:dyDescent="0.25">
      <c r="A14" s="14">
        <f t="shared" si="1"/>
        <v>6</v>
      </c>
      <c r="B14" s="39"/>
      <c r="C14" s="15"/>
      <c r="D14" s="14" t="s">
        <v>19</v>
      </c>
      <c r="E14" s="11"/>
      <c r="F14" s="127"/>
      <c r="G14" s="124">
        <f t="shared" si="0"/>
        <v>342.3</v>
      </c>
      <c r="H14" s="28"/>
      <c r="I14" s="7"/>
      <c r="J14" s="26"/>
      <c r="K14">
        <f>351/30</f>
        <v>11.7</v>
      </c>
    </row>
    <row r="15" spans="1:11" x14ac:dyDescent="0.25">
      <c r="A15" s="14">
        <f t="shared" si="1"/>
        <v>7</v>
      </c>
      <c r="B15" s="39"/>
      <c r="C15" s="15"/>
      <c r="D15" s="14" t="s">
        <v>19</v>
      </c>
      <c r="E15" s="113"/>
      <c r="F15" s="125"/>
      <c r="G15" s="124">
        <f t="shared" si="0"/>
        <v>342.3</v>
      </c>
      <c r="H15" s="28"/>
      <c r="I15" s="7"/>
    </row>
    <row r="16" spans="1:11" x14ac:dyDescent="0.25">
      <c r="A16" s="14">
        <f t="shared" si="1"/>
        <v>8</v>
      </c>
      <c r="B16" s="39"/>
      <c r="C16" s="15"/>
      <c r="D16" s="14" t="s">
        <v>19</v>
      </c>
      <c r="E16" s="129"/>
      <c r="F16" s="125"/>
      <c r="G16" s="124">
        <f t="shared" si="0"/>
        <v>342.3</v>
      </c>
      <c r="H16" s="28"/>
      <c r="I16" s="7"/>
      <c r="K16">
        <f>11*30+21.4</f>
        <v>351.4</v>
      </c>
    </row>
    <row r="17" spans="1:9" x14ac:dyDescent="0.25">
      <c r="A17" s="14">
        <f t="shared" si="1"/>
        <v>9</v>
      </c>
      <c r="B17" s="39"/>
      <c r="C17" s="15"/>
      <c r="D17" s="14" t="s">
        <v>19</v>
      </c>
      <c r="E17" s="113"/>
      <c r="F17" s="130"/>
      <c r="G17" s="124">
        <f t="shared" si="0"/>
        <v>342.3</v>
      </c>
      <c r="H17" s="28"/>
      <c r="I17" s="7"/>
    </row>
    <row r="18" spans="1:9" x14ac:dyDescent="0.25">
      <c r="A18" s="14">
        <f t="shared" si="1"/>
        <v>10</v>
      </c>
      <c r="B18" s="39"/>
      <c r="C18" s="15"/>
      <c r="D18" s="14" t="s">
        <v>19</v>
      </c>
      <c r="E18" s="16"/>
      <c r="F18" s="118"/>
      <c r="G18" s="124">
        <f t="shared" si="0"/>
        <v>342.3</v>
      </c>
      <c r="H18" s="28"/>
      <c r="I18" s="7"/>
    </row>
    <row r="19" spans="1:9" x14ac:dyDescent="0.25">
      <c r="A19" s="14">
        <f t="shared" si="1"/>
        <v>11</v>
      </c>
      <c r="B19" s="39"/>
      <c r="C19" s="15"/>
      <c r="D19" s="14" t="s">
        <v>19</v>
      </c>
      <c r="E19" s="113"/>
      <c r="F19" s="118"/>
      <c r="G19" s="131">
        <f t="shared" si="0"/>
        <v>342.3</v>
      </c>
      <c r="H19" s="28"/>
      <c r="I19" s="29"/>
    </row>
    <row r="20" spans="1:9" x14ac:dyDescent="0.25">
      <c r="A20" s="14">
        <f t="shared" si="1"/>
        <v>12</v>
      </c>
      <c r="B20" s="39"/>
      <c r="C20" s="15"/>
      <c r="D20" s="14" t="s">
        <v>19</v>
      </c>
      <c r="E20" s="16"/>
      <c r="F20" s="118"/>
      <c r="G20" s="131">
        <f t="shared" si="0"/>
        <v>342.3</v>
      </c>
      <c r="H20" s="28"/>
      <c r="I20" s="29"/>
    </row>
    <row r="21" spans="1:9" x14ac:dyDescent="0.25">
      <c r="A21" s="14">
        <f t="shared" si="1"/>
        <v>13</v>
      </c>
      <c r="B21" s="39"/>
      <c r="C21" s="15"/>
      <c r="D21" s="14" t="s">
        <v>19</v>
      </c>
      <c r="E21" s="113"/>
      <c r="F21" s="118"/>
      <c r="G21" s="131">
        <f t="shared" si="0"/>
        <v>342.3</v>
      </c>
      <c r="H21" s="28"/>
      <c r="I21" s="29"/>
    </row>
    <row r="22" spans="1:9" x14ac:dyDescent="0.25">
      <c r="A22" s="14">
        <f t="shared" si="1"/>
        <v>14</v>
      </c>
      <c r="B22" s="39"/>
      <c r="C22" s="15"/>
      <c r="D22" s="14"/>
      <c r="E22" s="16"/>
      <c r="F22" s="118"/>
      <c r="G22" s="131">
        <f t="shared" si="0"/>
        <v>342.3</v>
      </c>
      <c r="H22" s="28"/>
      <c r="I22" s="29"/>
    </row>
    <row r="23" spans="1:9" x14ac:dyDescent="0.25">
      <c r="A23" s="14">
        <f t="shared" si="1"/>
        <v>15</v>
      </c>
      <c r="B23" s="39"/>
      <c r="C23" s="15"/>
      <c r="D23" s="14"/>
      <c r="E23" s="16"/>
      <c r="F23" s="118"/>
      <c r="G23" s="131">
        <f t="shared" si="0"/>
        <v>342.3</v>
      </c>
      <c r="H23" s="28"/>
      <c r="I23" s="29"/>
    </row>
    <row r="24" spans="1:9" x14ac:dyDescent="0.25">
      <c r="A24" s="14">
        <f t="shared" si="1"/>
        <v>16</v>
      </c>
      <c r="B24" s="39"/>
      <c r="C24" s="15"/>
      <c r="D24" s="14"/>
      <c r="E24" s="16"/>
      <c r="F24" s="118"/>
      <c r="G24" s="131">
        <f t="shared" si="0"/>
        <v>342.3</v>
      </c>
      <c r="H24" s="28"/>
      <c r="I24" s="29"/>
    </row>
    <row r="25" spans="1:9" x14ac:dyDescent="0.25">
      <c r="A25" s="14">
        <f t="shared" si="1"/>
        <v>17</v>
      </c>
      <c r="B25" s="39"/>
      <c r="C25" s="15"/>
      <c r="D25" s="14"/>
      <c r="E25" s="16"/>
      <c r="F25" s="118"/>
      <c r="G25" s="131">
        <f t="shared" si="0"/>
        <v>342.3</v>
      </c>
      <c r="H25" s="28"/>
      <c r="I25" s="29"/>
    </row>
    <row r="26" spans="1:9" x14ac:dyDescent="0.25">
      <c r="A26" s="14">
        <f t="shared" si="1"/>
        <v>18</v>
      </c>
      <c r="B26" s="39"/>
      <c r="C26" s="15"/>
      <c r="D26" s="14"/>
      <c r="E26" s="16"/>
      <c r="F26" s="118"/>
      <c r="G26" s="131">
        <f t="shared" si="0"/>
        <v>342.3</v>
      </c>
      <c r="H26" s="28"/>
      <c r="I26" s="29"/>
    </row>
    <row r="27" spans="1:9" x14ac:dyDescent="0.25">
      <c r="A27" s="14">
        <f t="shared" si="1"/>
        <v>19</v>
      </c>
      <c r="B27" s="8"/>
      <c r="C27" s="15"/>
      <c r="D27" s="14"/>
      <c r="E27" s="16"/>
      <c r="F27" s="118"/>
      <c r="G27" s="131">
        <f t="shared" si="0"/>
        <v>342.3</v>
      </c>
      <c r="H27" s="28"/>
      <c r="I27" s="29"/>
    </row>
    <row r="28" spans="1:9" x14ac:dyDescent="0.25">
      <c r="A28" s="14">
        <f t="shared" si="1"/>
        <v>20</v>
      </c>
      <c r="B28" s="8"/>
      <c r="C28" s="15"/>
      <c r="D28" s="14"/>
      <c r="E28" s="16"/>
      <c r="F28" s="118"/>
      <c r="G28" s="131">
        <f t="shared" si="0"/>
        <v>342.3</v>
      </c>
      <c r="H28" s="28"/>
      <c r="I28" s="29"/>
    </row>
    <row r="29" spans="1:9" x14ac:dyDescent="0.25">
      <c r="A29" s="14">
        <f t="shared" si="1"/>
        <v>21</v>
      </c>
      <c r="B29" s="8"/>
      <c r="C29" s="15"/>
      <c r="D29" s="14"/>
      <c r="E29" s="16"/>
      <c r="F29" s="118"/>
      <c r="G29" s="131">
        <f t="shared" si="0"/>
        <v>342.3</v>
      </c>
      <c r="H29" s="28"/>
      <c r="I29" s="29"/>
    </row>
    <row r="30" spans="1:9" x14ac:dyDescent="0.25">
      <c r="A30" s="14">
        <f t="shared" si="1"/>
        <v>22</v>
      </c>
      <c r="B30" s="8"/>
      <c r="C30" s="15"/>
      <c r="D30" s="14"/>
      <c r="E30" s="16"/>
      <c r="F30" s="118"/>
      <c r="G30" s="131">
        <f t="shared" si="0"/>
        <v>342.3</v>
      </c>
      <c r="H30" s="28"/>
      <c r="I30" s="29"/>
    </row>
    <row r="31" spans="1:9" x14ac:dyDescent="0.25">
      <c r="A31" s="14">
        <f t="shared" si="1"/>
        <v>23</v>
      </c>
      <c r="B31" s="8"/>
      <c r="C31" s="15"/>
      <c r="D31" s="14"/>
      <c r="E31" s="16"/>
      <c r="F31" s="118"/>
      <c r="G31" s="131">
        <f t="shared" si="0"/>
        <v>342.3</v>
      </c>
      <c r="H31" s="28"/>
      <c r="I31" s="29"/>
    </row>
    <row r="32" spans="1:9" x14ac:dyDescent="0.25">
      <c r="A32" s="14">
        <f t="shared" si="1"/>
        <v>24</v>
      </c>
      <c r="B32" s="37"/>
      <c r="C32" s="15"/>
      <c r="D32" s="133"/>
      <c r="E32" s="16"/>
      <c r="F32" s="118"/>
      <c r="G32" s="131">
        <f t="shared" si="0"/>
        <v>342.3</v>
      </c>
      <c r="H32" s="28"/>
      <c r="I32" s="29"/>
    </row>
    <row r="33" spans="1:9" x14ac:dyDescent="0.25">
      <c r="A33" s="14">
        <f t="shared" si="1"/>
        <v>25</v>
      </c>
      <c r="B33" s="8"/>
      <c r="C33" s="15"/>
      <c r="D33" s="133"/>
      <c r="E33" s="30"/>
      <c r="F33" s="118"/>
      <c r="G33" s="131">
        <f t="shared" si="0"/>
        <v>342.3</v>
      </c>
      <c r="H33" s="28"/>
      <c r="I33" s="29"/>
    </row>
    <row r="34" spans="1:9" x14ac:dyDescent="0.25">
      <c r="A34" s="14">
        <f t="shared" si="1"/>
        <v>26</v>
      </c>
      <c r="B34" s="37"/>
      <c r="C34" s="15"/>
      <c r="D34" s="133"/>
      <c r="E34" s="16"/>
      <c r="F34" s="118"/>
      <c r="G34" s="131">
        <f t="shared" si="0"/>
        <v>342.3</v>
      </c>
      <c r="H34" s="28"/>
      <c r="I34" s="29"/>
    </row>
    <row r="35" spans="1:9" x14ac:dyDescent="0.25">
      <c r="A35" s="7"/>
      <c r="B35" s="7"/>
      <c r="C35" s="34" t="s">
        <v>13</v>
      </c>
      <c r="D35" s="7"/>
      <c r="E35" s="36">
        <f>SUM(E9:E34)</f>
        <v>0</v>
      </c>
      <c r="F35" s="121">
        <f>SUM(F9:F34)</f>
        <v>0</v>
      </c>
      <c r="G35" s="36">
        <f>+E35-F35+G8</f>
        <v>342.3</v>
      </c>
      <c r="H35" s="35"/>
      <c r="I3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82B3-66A4-4A84-BCF2-61B200C65FCE}">
  <sheetPr codeName="Sheet30"/>
  <dimension ref="A1:K58"/>
  <sheetViews>
    <sheetView topLeftCell="A21" zoomScaleNormal="100" workbookViewId="0">
      <selection activeCell="L48" sqref="L48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1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1" x14ac:dyDescent="0.25">
      <c r="A8" s="7"/>
      <c r="B8" s="8">
        <v>45658</v>
      </c>
      <c r="C8" s="9"/>
      <c r="D8" s="10"/>
      <c r="E8" s="11"/>
      <c r="F8" s="123"/>
      <c r="G8" s="7">
        <v>73.5</v>
      </c>
      <c r="H8" s="7"/>
      <c r="I8" s="7"/>
    </row>
    <row r="9" spans="1:11" x14ac:dyDescent="0.25">
      <c r="A9" s="14">
        <v>1</v>
      </c>
      <c r="B9" s="39">
        <v>45679</v>
      </c>
      <c r="C9" s="341" t="s">
        <v>157</v>
      </c>
      <c r="D9" s="14" t="s">
        <v>19</v>
      </c>
      <c r="E9" s="51"/>
      <c r="F9" s="118">
        <v>6</v>
      </c>
      <c r="G9" s="124">
        <f t="shared" ref="G9:G57" si="0">+G8+E9-F9</f>
        <v>67.5</v>
      </c>
      <c r="H9" s="28" t="s">
        <v>94</v>
      </c>
      <c r="I9" s="7" t="s">
        <v>90</v>
      </c>
      <c r="J9" t="s">
        <v>158</v>
      </c>
    </row>
    <row r="10" spans="1:11" x14ac:dyDescent="0.25">
      <c r="A10" s="14">
        <f t="shared" ref="A10:A58" si="1">+A9+1</f>
        <v>2</v>
      </c>
      <c r="B10" s="39">
        <v>45680</v>
      </c>
      <c r="C10" s="341" t="s">
        <v>157</v>
      </c>
      <c r="D10" s="14" t="s">
        <v>19</v>
      </c>
      <c r="E10" s="16"/>
      <c r="F10" s="118">
        <v>10.199999999999999</v>
      </c>
      <c r="G10" s="124">
        <f t="shared" si="0"/>
        <v>57.3</v>
      </c>
      <c r="H10" s="28"/>
      <c r="I10" s="7"/>
      <c r="J10" t="s">
        <v>161</v>
      </c>
    </row>
    <row r="11" spans="1:11" x14ac:dyDescent="0.25">
      <c r="A11" s="14">
        <f t="shared" si="1"/>
        <v>3</v>
      </c>
      <c r="B11" s="39">
        <v>45681</v>
      </c>
      <c r="C11" s="341" t="s">
        <v>157</v>
      </c>
      <c r="D11" s="14" t="s">
        <v>19</v>
      </c>
      <c r="E11" s="113"/>
      <c r="F11" s="125">
        <v>1</v>
      </c>
      <c r="G11" s="124">
        <f t="shared" si="0"/>
        <v>56.3</v>
      </c>
      <c r="H11" s="28"/>
      <c r="I11" s="7"/>
    </row>
    <row r="12" spans="1:11" x14ac:dyDescent="0.25">
      <c r="A12" s="14">
        <f t="shared" si="1"/>
        <v>4</v>
      </c>
      <c r="B12" s="39">
        <v>45730</v>
      </c>
      <c r="C12" s="341" t="s">
        <v>157</v>
      </c>
      <c r="D12" s="14" t="s">
        <v>19</v>
      </c>
      <c r="E12" s="132"/>
      <c r="F12" s="125">
        <v>12.8</v>
      </c>
      <c r="G12" s="124">
        <f t="shared" si="0"/>
        <v>43.5</v>
      </c>
      <c r="H12" s="28"/>
      <c r="I12" s="7"/>
    </row>
    <row r="13" spans="1:11" x14ac:dyDescent="0.25">
      <c r="A13" s="14">
        <f t="shared" si="1"/>
        <v>5</v>
      </c>
      <c r="B13" s="39">
        <v>45731</v>
      </c>
      <c r="C13" s="341" t="s">
        <v>157</v>
      </c>
      <c r="D13" s="14" t="s">
        <v>19</v>
      </c>
      <c r="E13" s="126"/>
      <c r="F13" s="127">
        <v>6.6</v>
      </c>
      <c r="G13" s="124">
        <f t="shared" si="0"/>
        <v>36.9</v>
      </c>
      <c r="H13" s="28"/>
      <c r="I13" s="7"/>
    </row>
    <row r="14" spans="1:11" x14ac:dyDescent="0.25">
      <c r="A14" s="14">
        <f t="shared" si="1"/>
        <v>6</v>
      </c>
      <c r="B14" s="39">
        <v>45752</v>
      </c>
      <c r="C14" s="341" t="s">
        <v>157</v>
      </c>
      <c r="D14" s="14" t="s">
        <v>19</v>
      </c>
      <c r="E14" s="11"/>
      <c r="F14" s="127">
        <v>1.1000000000000001</v>
      </c>
      <c r="G14" s="124">
        <f t="shared" si="0"/>
        <v>35.799999999999997</v>
      </c>
      <c r="H14" s="28"/>
      <c r="I14" s="7"/>
      <c r="J14" s="26"/>
      <c r="K14">
        <f>351/30</f>
        <v>11.7</v>
      </c>
    </row>
    <row r="15" spans="1:11" x14ac:dyDescent="0.25">
      <c r="A15" s="14">
        <f t="shared" si="1"/>
        <v>7</v>
      </c>
      <c r="B15" s="39">
        <v>45755</v>
      </c>
      <c r="C15" s="341" t="s">
        <v>157</v>
      </c>
      <c r="D15" s="14" t="s">
        <v>19</v>
      </c>
      <c r="E15" s="113"/>
      <c r="F15" s="125">
        <v>14</v>
      </c>
      <c r="G15" s="124">
        <f t="shared" si="0"/>
        <v>21.799999999999997</v>
      </c>
      <c r="H15" s="28"/>
      <c r="I15" s="7"/>
    </row>
    <row r="16" spans="1:11" x14ac:dyDescent="0.25">
      <c r="A16" s="14">
        <f t="shared" si="1"/>
        <v>8</v>
      </c>
      <c r="B16" s="39">
        <v>45756</v>
      </c>
      <c r="C16" s="341" t="s">
        <v>157</v>
      </c>
      <c r="D16" s="14" t="s">
        <v>19</v>
      </c>
      <c r="E16" s="129"/>
      <c r="F16" s="125">
        <v>19.100000000000001</v>
      </c>
      <c r="G16" s="124">
        <f t="shared" si="0"/>
        <v>2.6999999999999957</v>
      </c>
      <c r="H16" s="28"/>
      <c r="I16" s="7"/>
      <c r="K16">
        <f>11*30+21.4</f>
        <v>351.4</v>
      </c>
    </row>
    <row r="17" spans="1:9" x14ac:dyDescent="0.25">
      <c r="A17" s="158">
        <f t="shared" si="1"/>
        <v>9</v>
      </c>
      <c r="B17" s="159">
        <v>45785</v>
      </c>
      <c r="C17" s="401" t="s">
        <v>157</v>
      </c>
      <c r="D17" s="158" t="s">
        <v>19</v>
      </c>
      <c r="E17" s="412">
        <v>219</v>
      </c>
      <c r="F17" s="413"/>
      <c r="G17" s="389">
        <f t="shared" si="0"/>
        <v>221.7</v>
      </c>
      <c r="H17" s="239"/>
      <c r="I17" s="271" t="s">
        <v>389</v>
      </c>
    </row>
    <row r="18" spans="1:9" x14ac:dyDescent="0.25">
      <c r="A18" s="14">
        <f t="shared" si="1"/>
        <v>10</v>
      </c>
      <c r="B18" s="39">
        <v>45787</v>
      </c>
      <c r="C18" s="341" t="s">
        <v>157</v>
      </c>
      <c r="D18" s="14" t="s">
        <v>19</v>
      </c>
      <c r="E18" s="16"/>
      <c r="F18" s="118">
        <v>2.2000000000000002</v>
      </c>
      <c r="G18" s="124">
        <f t="shared" si="0"/>
        <v>219.5</v>
      </c>
      <c r="H18" s="28"/>
      <c r="I18" s="7"/>
    </row>
    <row r="19" spans="1:9" x14ac:dyDescent="0.25">
      <c r="A19" s="14">
        <f t="shared" si="1"/>
        <v>11</v>
      </c>
      <c r="B19" s="39">
        <v>45789</v>
      </c>
      <c r="C19" s="341" t="s">
        <v>157</v>
      </c>
      <c r="D19" s="14" t="s">
        <v>19</v>
      </c>
      <c r="E19" s="113"/>
      <c r="F19" s="118">
        <v>11.1</v>
      </c>
      <c r="G19" s="131">
        <f t="shared" si="0"/>
        <v>208.4</v>
      </c>
      <c r="H19" s="28"/>
      <c r="I19" s="7"/>
    </row>
    <row r="20" spans="1:9" x14ac:dyDescent="0.25">
      <c r="A20" s="14">
        <f t="shared" si="1"/>
        <v>12</v>
      </c>
      <c r="B20" s="39">
        <v>45790</v>
      </c>
      <c r="C20" s="341" t="s">
        <v>157</v>
      </c>
      <c r="D20" s="14" t="s">
        <v>19</v>
      </c>
      <c r="E20" s="16"/>
      <c r="F20" s="118">
        <v>8.8000000000000007</v>
      </c>
      <c r="G20" s="131">
        <f t="shared" si="0"/>
        <v>199.6</v>
      </c>
      <c r="H20" s="28"/>
      <c r="I20" s="7"/>
    </row>
    <row r="21" spans="1:9" x14ac:dyDescent="0.25">
      <c r="A21" s="14">
        <f t="shared" si="1"/>
        <v>13</v>
      </c>
      <c r="B21" s="39">
        <v>45794</v>
      </c>
      <c r="C21" s="341" t="s">
        <v>157</v>
      </c>
      <c r="D21" s="14" t="s">
        <v>19</v>
      </c>
      <c r="E21" s="113"/>
      <c r="F21" s="118">
        <v>1.7</v>
      </c>
      <c r="G21" s="131">
        <f t="shared" si="0"/>
        <v>197.9</v>
      </c>
      <c r="H21" s="28"/>
      <c r="I21" s="7"/>
    </row>
    <row r="22" spans="1:9" x14ac:dyDescent="0.25">
      <c r="A22" s="14">
        <f t="shared" si="1"/>
        <v>14</v>
      </c>
      <c r="B22" s="39">
        <v>45801</v>
      </c>
      <c r="C22" s="341" t="s">
        <v>157</v>
      </c>
      <c r="D22" s="14" t="s">
        <v>19</v>
      </c>
      <c r="E22" s="16"/>
      <c r="F22" s="118">
        <v>9.3000000000000007</v>
      </c>
      <c r="G22" s="131">
        <f t="shared" si="0"/>
        <v>188.6</v>
      </c>
      <c r="H22" s="28"/>
      <c r="I22" s="7"/>
    </row>
    <row r="23" spans="1:9" x14ac:dyDescent="0.25">
      <c r="A23" s="14">
        <f t="shared" si="1"/>
        <v>15</v>
      </c>
      <c r="B23" s="39">
        <v>45803</v>
      </c>
      <c r="C23" s="341" t="s">
        <v>157</v>
      </c>
      <c r="D23" s="14" t="s">
        <v>19</v>
      </c>
      <c r="E23" s="16"/>
      <c r="F23" s="118">
        <v>24.6</v>
      </c>
      <c r="G23" s="131">
        <f t="shared" si="0"/>
        <v>164</v>
      </c>
      <c r="H23" s="28"/>
      <c r="I23" s="7"/>
    </row>
    <row r="24" spans="1:9" x14ac:dyDescent="0.25">
      <c r="A24" s="14">
        <f t="shared" si="1"/>
        <v>16</v>
      </c>
      <c r="B24" s="39">
        <v>45804</v>
      </c>
      <c r="C24" s="341" t="s">
        <v>157</v>
      </c>
      <c r="D24" s="14" t="s">
        <v>19</v>
      </c>
      <c r="E24" s="16"/>
      <c r="F24" s="118">
        <v>2.8</v>
      </c>
      <c r="G24" s="131">
        <f t="shared" si="0"/>
        <v>161.19999999999999</v>
      </c>
      <c r="H24" s="28"/>
      <c r="I24" s="7"/>
    </row>
    <row r="25" spans="1:9" x14ac:dyDescent="0.25">
      <c r="A25" s="14">
        <f t="shared" si="1"/>
        <v>17</v>
      </c>
      <c r="B25" s="39">
        <v>45833</v>
      </c>
      <c r="C25" s="341" t="s">
        <v>157</v>
      </c>
      <c r="D25" s="14" t="s">
        <v>19</v>
      </c>
      <c r="E25" s="16"/>
      <c r="F25" s="118">
        <v>13.8</v>
      </c>
      <c r="G25" s="131">
        <f t="shared" si="0"/>
        <v>147.39999999999998</v>
      </c>
      <c r="H25" s="28"/>
      <c r="I25" s="7"/>
    </row>
    <row r="26" spans="1:9" x14ac:dyDescent="0.25">
      <c r="A26" s="14">
        <f t="shared" si="1"/>
        <v>18</v>
      </c>
      <c r="B26" s="39">
        <v>45834</v>
      </c>
      <c r="C26" s="341" t="s">
        <v>157</v>
      </c>
      <c r="D26" s="14" t="s">
        <v>19</v>
      </c>
      <c r="E26" s="16"/>
      <c r="F26" s="118">
        <v>19.7</v>
      </c>
      <c r="G26" s="390">
        <f t="shared" si="0"/>
        <v>127.69999999999997</v>
      </c>
      <c r="H26" s="363" t="s">
        <v>421</v>
      </c>
      <c r="I26" s="363" t="s">
        <v>421</v>
      </c>
    </row>
    <row r="27" spans="1:9" x14ac:dyDescent="0.25">
      <c r="A27" s="14">
        <f t="shared" si="1"/>
        <v>19</v>
      </c>
      <c r="B27" s="8">
        <v>45840</v>
      </c>
      <c r="C27" s="341" t="s">
        <v>157</v>
      </c>
      <c r="D27" s="14" t="s">
        <v>19</v>
      </c>
      <c r="E27" s="16"/>
      <c r="F27" s="118">
        <v>2.1</v>
      </c>
      <c r="G27" s="131">
        <f t="shared" si="0"/>
        <v>125.59999999999998</v>
      </c>
      <c r="H27" s="28"/>
      <c r="I27" s="7"/>
    </row>
    <row r="28" spans="1:9" x14ac:dyDescent="0.25">
      <c r="A28" s="14">
        <f t="shared" si="1"/>
        <v>20</v>
      </c>
      <c r="B28" s="8">
        <v>45841</v>
      </c>
      <c r="C28" s="341" t="s">
        <v>157</v>
      </c>
      <c r="D28" s="14" t="s">
        <v>19</v>
      </c>
      <c r="E28" s="16"/>
      <c r="F28" s="116">
        <v>16.5</v>
      </c>
      <c r="G28" s="131">
        <f t="shared" si="0"/>
        <v>109.09999999999998</v>
      </c>
      <c r="H28" s="28"/>
      <c r="I28" s="7"/>
    </row>
    <row r="29" spans="1:9" x14ac:dyDescent="0.25">
      <c r="A29" s="14">
        <f t="shared" si="1"/>
        <v>21</v>
      </c>
      <c r="B29" s="8">
        <v>45853</v>
      </c>
      <c r="C29" s="341" t="s">
        <v>157</v>
      </c>
      <c r="D29" s="14" t="s">
        <v>19</v>
      </c>
      <c r="E29" s="16"/>
      <c r="F29" s="118">
        <v>10.3</v>
      </c>
      <c r="G29" s="131">
        <f t="shared" si="0"/>
        <v>98.799999999999983</v>
      </c>
      <c r="H29" s="28"/>
      <c r="I29" s="7"/>
    </row>
    <row r="30" spans="1:9" x14ac:dyDescent="0.25">
      <c r="A30" s="14">
        <f t="shared" si="1"/>
        <v>22</v>
      </c>
      <c r="B30" s="8">
        <v>45854</v>
      </c>
      <c r="C30" s="341" t="s">
        <v>157</v>
      </c>
      <c r="D30" s="14" t="s">
        <v>19</v>
      </c>
      <c r="E30" s="16"/>
      <c r="F30" s="118">
        <v>20.8</v>
      </c>
      <c r="G30" s="131">
        <f t="shared" si="0"/>
        <v>77.999999999999986</v>
      </c>
      <c r="H30" s="28"/>
      <c r="I30" s="7"/>
    </row>
    <row r="31" spans="1:9" x14ac:dyDescent="0.25">
      <c r="A31" s="14">
        <f t="shared" si="1"/>
        <v>23</v>
      </c>
      <c r="B31" s="8">
        <v>45855</v>
      </c>
      <c r="C31" s="341" t="s">
        <v>157</v>
      </c>
      <c r="D31" s="14" t="s">
        <v>19</v>
      </c>
      <c r="E31" s="16"/>
      <c r="F31" s="118">
        <v>6.4</v>
      </c>
      <c r="G31" s="131">
        <f t="shared" si="0"/>
        <v>71.59999999999998</v>
      </c>
      <c r="H31" s="28"/>
      <c r="I31" s="7"/>
    </row>
    <row r="32" spans="1:9" x14ac:dyDescent="0.25">
      <c r="A32" s="14">
        <f t="shared" si="1"/>
        <v>24</v>
      </c>
      <c r="B32" s="37">
        <v>45856</v>
      </c>
      <c r="C32" s="341" t="s">
        <v>157</v>
      </c>
      <c r="D32" s="14" t="s">
        <v>19</v>
      </c>
      <c r="E32" s="16"/>
      <c r="F32" s="118">
        <v>7.2</v>
      </c>
      <c r="G32" s="131">
        <f t="shared" si="0"/>
        <v>64.399999999999977</v>
      </c>
      <c r="H32" s="28"/>
      <c r="I32" s="7"/>
    </row>
    <row r="33" spans="1:11" x14ac:dyDescent="0.25">
      <c r="A33" s="14">
        <f t="shared" si="1"/>
        <v>25</v>
      </c>
      <c r="B33" s="37">
        <v>45857</v>
      </c>
      <c r="C33" s="341" t="s">
        <v>157</v>
      </c>
      <c r="D33" s="14" t="s">
        <v>19</v>
      </c>
      <c r="E33" s="16"/>
      <c r="F33" s="118">
        <v>8</v>
      </c>
      <c r="G33" s="131">
        <f t="shared" si="0"/>
        <v>56.399999999999977</v>
      </c>
      <c r="H33" s="28"/>
      <c r="I33" s="7"/>
    </row>
    <row r="34" spans="1:11" x14ac:dyDescent="0.25">
      <c r="A34" s="14">
        <f t="shared" si="1"/>
        <v>26</v>
      </c>
      <c r="B34" s="37">
        <v>45873</v>
      </c>
      <c r="C34" s="341" t="s">
        <v>157</v>
      </c>
      <c r="D34" s="14" t="s">
        <v>19</v>
      </c>
      <c r="E34" s="16"/>
      <c r="F34" s="118">
        <v>23.5</v>
      </c>
      <c r="G34" s="131">
        <f t="shared" si="0"/>
        <v>32.899999999999977</v>
      </c>
      <c r="H34" s="28"/>
      <c r="I34" s="7"/>
    </row>
    <row r="35" spans="1:11" x14ac:dyDescent="0.25">
      <c r="A35" s="14">
        <f t="shared" si="1"/>
        <v>27</v>
      </c>
      <c r="B35" s="37">
        <v>45875</v>
      </c>
      <c r="C35" s="15"/>
      <c r="D35" s="133"/>
      <c r="E35" s="132"/>
      <c r="F35" s="118">
        <v>7</v>
      </c>
      <c r="G35" s="131">
        <f t="shared" si="0"/>
        <v>25.899999999999977</v>
      </c>
      <c r="H35" s="28"/>
      <c r="I35" s="29"/>
    </row>
    <row r="36" spans="1:11" x14ac:dyDescent="0.25">
      <c r="A36" s="14">
        <f t="shared" si="1"/>
        <v>28</v>
      </c>
      <c r="B36" s="37">
        <v>45880</v>
      </c>
      <c r="C36" s="15"/>
      <c r="D36" s="133"/>
      <c r="E36" s="16">
        <v>165</v>
      </c>
      <c r="F36" s="118">
        <v>11.4</v>
      </c>
      <c r="G36" s="131">
        <f t="shared" si="0"/>
        <v>179.49999999999997</v>
      </c>
      <c r="H36" s="28"/>
      <c r="I36" s="29"/>
    </row>
    <row r="37" spans="1:11" x14ac:dyDescent="0.25">
      <c r="A37" s="14">
        <f t="shared" si="1"/>
        <v>29</v>
      </c>
      <c r="B37" s="37">
        <v>45881</v>
      </c>
      <c r="C37" s="15"/>
      <c r="D37" s="133"/>
      <c r="E37" s="16"/>
      <c r="F37" s="118">
        <v>17.899999999999999</v>
      </c>
      <c r="G37" s="131">
        <f t="shared" si="0"/>
        <v>161.59999999999997</v>
      </c>
      <c r="H37" s="28"/>
      <c r="I37" s="29"/>
    </row>
    <row r="38" spans="1:11" x14ac:dyDescent="0.25">
      <c r="A38" s="14">
        <f t="shared" si="1"/>
        <v>30</v>
      </c>
      <c r="B38" s="37">
        <v>45882</v>
      </c>
      <c r="C38" s="15"/>
      <c r="D38" s="133"/>
      <c r="E38" s="16"/>
      <c r="F38" s="118">
        <v>5.9</v>
      </c>
      <c r="G38" s="131">
        <f t="shared" si="0"/>
        <v>155.69999999999996</v>
      </c>
      <c r="H38" s="28"/>
      <c r="I38" s="29"/>
    </row>
    <row r="39" spans="1:11" x14ac:dyDescent="0.25">
      <c r="A39" s="14">
        <f t="shared" si="1"/>
        <v>31</v>
      </c>
      <c r="B39" s="37"/>
      <c r="C39" s="15" t="s">
        <v>439</v>
      </c>
      <c r="D39" s="133"/>
      <c r="E39" s="16"/>
      <c r="F39" s="115">
        <v>5.8</v>
      </c>
      <c r="G39" s="131">
        <f t="shared" si="0"/>
        <v>149.89999999999995</v>
      </c>
      <c r="H39" s="28"/>
      <c r="I39" s="29"/>
      <c r="K39">
        <f>155.7-149.9</f>
        <v>5.7999999999999829</v>
      </c>
    </row>
    <row r="40" spans="1:11" x14ac:dyDescent="0.25">
      <c r="A40" s="14">
        <f t="shared" si="1"/>
        <v>32</v>
      </c>
      <c r="B40" s="37">
        <v>45916</v>
      </c>
      <c r="C40" s="15"/>
      <c r="D40" s="133"/>
      <c r="E40" s="16"/>
      <c r="F40" s="118">
        <v>13.2</v>
      </c>
      <c r="G40" s="131">
        <f t="shared" si="0"/>
        <v>136.69999999999996</v>
      </c>
      <c r="H40" s="28"/>
      <c r="I40" s="29"/>
    </row>
    <row r="41" spans="1:11" x14ac:dyDescent="0.25">
      <c r="A41" s="14">
        <f t="shared" si="1"/>
        <v>33</v>
      </c>
      <c r="B41" s="37">
        <v>45932</v>
      </c>
      <c r="C41" s="15"/>
      <c r="D41" s="133"/>
      <c r="E41" s="16"/>
      <c r="F41" s="118">
        <v>11.2</v>
      </c>
      <c r="G41" s="131">
        <f t="shared" si="0"/>
        <v>125.49999999999996</v>
      </c>
      <c r="H41" s="28"/>
      <c r="I41" s="29"/>
    </row>
    <row r="42" spans="1:11" x14ac:dyDescent="0.25">
      <c r="A42" s="14">
        <f t="shared" si="1"/>
        <v>34</v>
      </c>
      <c r="B42" s="37">
        <v>45933</v>
      </c>
      <c r="C42" s="15"/>
      <c r="D42" s="133"/>
      <c r="E42" s="16"/>
      <c r="F42" s="118">
        <v>13.3</v>
      </c>
      <c r="G42" s="131">
        <f t="shared" si="0"/>
        <v>112.19999999999996</v>
      </c>
      <c r="H42" s="28"/>
      <c r="I42" s="29"/>
    </row>
    <row r="43" spans="1:11" x14ac:dyDescent="0.25">
      <c r="A43" s="14">
        <f t="shared" si="1"/>
        <v>35</v>
      </c>
      <c r="B43" s="37">
        <v>45936</v>
      </c>
      <c r="C43" s="15"/>
      <c r="D43" s="133"/>
      <c r="E43" s="16"/>
      <c r="F43" s="118">
        <v>12.3</v>
      </c>
      <c r="G43" s="131">
        <f t="shared" si="0"/>
        <v>99.899999999999963</v>
      </c>
      <c r="H43" s="28"/>
      <c r="I43" s="29"/>
    </row>
    <row r="44" spans="1:11" x14ac:dyDescent="0.25">
      <c r="A44" s="14">
        <f t="shared" si="1"/>
        <v>36</v>
      </c>
      <c r="B44" s="37">
        <v>45937</v>
      </c>
      <c r="C44" s="15"/>
      <c r="D44" s="133"/>
      <c r="E44" s="16"/>
      <c r="F44" s="118">
        <v>14.5</v>
      </c>
      <c r="G44" s="131">
        <f t="shared" si="0"/>
        <v>85.399999999999963</v>
      </c>
      <c r="H44" s="28"/>
      <c r="I44" s="29"/>
    </row>
    <row r="45" spans="1:11" x14ac:dyDescent="0.25">
      <c r="A45" s="14">
        <f t="shared" si="1"/>
        <v>37</v>
      </c>
      <c r="B45" s="37"/>
      <c r="C45" s="15"/>
      <c r="D45" s="133"/>
      <c r="E45" s="16"/>
      <c r="F45" s="118"/>
      <c r="G45" s="131">
        <f t="shared" si="0"/>
        <v>85.399999999999963</v>
      </c>
      <c r="H45" s="28"/>
      <c r="I45" s="29"/>
    </row>
    <row r="46" spans="1:11" x14ac:dyDescent="0.25">
      <c r="A46" s="14">
        <f t="shared" si="1"/>
        <v>38</v>
      </c>
      <c r="B46" s="37"/>
      <c r="C46" s="15"/>
      <c r="D46" s="133"/>
      <c r="E46" s="16"/>
      <c r="F46" s="118"/>
      <c r="G46" s="131">
        <f t="shared" si="0"/>
        <v>85.399999999999963</v>
      </c>
      <c r="H46" s="28"/>
      <c r="I46" s="29"/>
    </row>
    <row r="47" spans="1:11" x14ac:dyDescent="0.25">
      <c r="A47" s="14">
        <f t="shared" si="1"/>
        <v>39</v>
      </c>
      <c r="B47" s="37"/>
      <c r="C47" s="15"/>
      <c r="D47" s="133"/>
      <c r="E47" s="16"/>
      <c r="F47" s="118"/>
      <c r="G47" s="131">
        <f t="shared" si="0"/>
        <v>85.399999999999963</v>
      </c>
      <c r="H47" s="28"/>
      <c r="I47" s="29"/>
    </row>
    <row r="48" spans="1:11" x14ac:dyDescent="0.25">
      <c r="A48" s="14">
        <f t="shared" si="1"/>
        <v>40</v>
      </c>
      <c r="B48" s="37"/>
      <c r="C48" s="15"/>
      <c r="D48" s="133"/>
      <c r="E48" s="16"/>
      <c r="F48" s="118"/>
      <c r="G48" s="131">
        <f t="shared" si="0"/>
        <v>85.399999999999963</v>
      </c>
      <c r="H48" s="28"/>
      <c r="I48" s="29"/>
    </row>
    <row r="49" spans="1:9" x14ac:dyDescent="0.25">
      <c r="A49" s="14">
        <f t="shared" si="1"/>
        <v>41</v>
      </c>
      <c r="B49" s="37"/>
      <c r="C49" s="15"/>
      <c r="D49" s="133"/>
      <c r="E49" s="16"/>
      <c r="F49" s="118"/>
      <c r="G49" s="131">
        <f t="shared" si="0"/>
        <v>85.399999999999963</v>
      </c>
      <c r="H49" s="28"/>
      <c r="I49" s="29"/>
    </row>
    <row r="50" spans="1:9" x14ac:dyDescent="0.25">
      <c r="A50" s="14">
        <f t="shared" si="1"/>
        <v>42</v>
      </c>
      <c r="B50" s="37"/>
      <c r="C50" s="15"/>
      <c r="D50" s="133"/>
      <c r="E50" s="16"/>
      <c r="F50" s="118"/>
      <c r="G50" s="131">
        <f t="shared" si="0"/>
        <v>85.399999999999963</v>
      </c>
      <c r="H50" s="28"/>
      <c r="I50" s="29"/>
    </row>
    <row r="51" spans="1:9" x14ac:dyDescent="0.25">
      <c r="A51" s="14">
        <f t="shared" si="1"/>
        <v>43</v>
      </c>
      <c r="B51" s="37"/>
      <c r="C51" s="15"/>
      <c r="D51" s="133"/>
      <c r="E51" s="16"/>
      <c r="F51" s="118"/>
      <c r="G51" s="131">
        <f t="shared" si="0"/>
        <v>85.399999999999963</v>
      </c>
      <c r="H51" s="28"/>
      <c r="I51" s="29"/>
    </row>
    <row r="52" spans="1:9" x14ac:dyDescent="0.25">
      <c r="A52" s="14">
        <f t="shared" si="1"/>
        <v>44</v>
      </c>
      <c r="B52" s="37"/>
      <c r="C52" s="15"/>
      <c r="D52" s="133"/>
      <c r="E52" s="16"/>
      <c r="F52" s="118"/>
      <c r="G52" s="131">
        <f t="shared" si="0"/>
        <v>85.399999999999963</v>
      </c>
      <c r="H52" s="28"/>
      <c r="I52" s="29"/>
    </row>
    <row r="53" spans="1:9" x14ac:dyDescent="0.25">
      <c r="A53" s="14">
        <f t="shared" si="1"/>
        <v>45</v>
      </c>
      <c r="B53" s="37"/>
      <c r="C53" s="15"/>
      <c r="D53" s="133"/>
      <c r="E53" s="16"/>
      <c r="F53" s="118"/>
      <c r="G53" s="131">
        <f t="shared" si="0"/>
        <v>85.399999999999963</v>
      </c>
      <c r="H53" s="28"/>
      <c r="I53" s="29"/>
    </row>
    <row r="54" spans="1:9" x14ac:dyDescent="0.25">
      <c r="A54" s="14">
        <f t="shared" si="1"/>
        <v>46</v>
      </c>
      <c r="B54" s="37"/>
      <c r="C54" s="15"/>
      <c r="D54" s="133"/>
      <c r="E54" s="16"/>
      <c r="F54" s="118"/>
      <c r="G54" s="131">
        <f t="shared" si="0"/>
        <v>85.399999999999963</v>
      </c>
      <c r="H54" s="28"/>
      <c r="I54" s="29"/>
    </row>
    <row r="55" spans="1:9" x14ac:dyDescent="0.25">
      <c r="A55" s="14">
        <f t="shared" si="1"/>
        <v>47</v>
      </c>
      <c r="B55" s="37"/>
      <c r="C55" s="15"/>
      <c r="D55" s="133"/>
      <c r="E55" s="16"/>
      <c r="F55" s="118"/>
      <c r="G55" s="131">
        <f t="shared" si="0"/>
        <v>85.399999999999963</v>
      </c>
      <c r="H55" s="28"/>
      <c r="I55" s="29"/>
    </row>
    <row r="56" spans="1:9" x14ac:dyDescent="0.25">
      <c r="A56" s="14">
        <f t="shared" si="1"/>
        <v>48</v>
      </c>
      <c r="B56" s="8"/>
      <c r="C56" s="15"/>
      <c r="D56" s="133"/>
      <c r="E56" s="30"/>
      <c r="F56" s="118"/>
      <c r="G56" s="131">
        <f t="shared" si="0"/>
        <v>85.399999999999963</v>
      </c>
      <c r="H56" s="28"/>
      <c r="I56" s="29"/>
    </row>
    <row r="57" spans="1:9" x14ac:dyDescent="0.25">
      <c r="A57" s="14">
        <f t="shared" si="1"/>
        <v>49</v>
      </c>
      <c r="B57" s="37"/>
      <c r="C57" s="15"/>
      <c r="D57" s="133"/>
      <c r="E57" s="16"/>
      <c r="F57" s="118"/>
      <c r="G57" s="131">
        <f t="shared" si="0"/>
        <v>85.399999999999963</v>
      </c>
      <c r="H57" s="28"/>
      <c r="I57" s="29"/>
    </row>
    <row r="58" spans="1:9" x14ac:dyDescent="0.25">
      <c r="A58" s="14">
        <f t="shared" si="1"/>
        <v>50</v>
      </c>
      <c r="B58" s="7"/>
      <c r="C58" s="34" t="s">
        <v>13</v>
      </c>
      <c r="D58" s="7"/>
      <c r="E58" s="36">
        <f>SUM(E9:E57)</f>
        <v>384</v>
      </c>
      <c r="F58" s="121">
        <f>SUM(F9:F57)</f>
        <v>372.09999999999997</v>
      </c>
      <c r="G58" s="36">
        <f>+E58-F58+G8</f>
        <v>85.400000000000034</v>
      </c>
      <c r="H58" s="35"/>
      <c r="I58" s="36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E5C6-1B76-402D-8D0F-5F634E592051}">
  <sheetPr codeName="Sheet31"/>
  <dimension ref="A1:M56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26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1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1" x14ac:dyDescent="0.25">
      <c r="A8" s="7"/>
      <c r="B8" s="8">
        <v>45658</v>
      </c>
      <c r="C8" s="9"/>
      <c r="D8" s="10"/>
      <c r="E8" s="11"/>
      <c r="F8" s="123"/>
      <c r="G8" s="7">
        <v>273.8</v>
      </c>
      <c r="H8" s="7"/>
      <c r="I8" s="7"/>
      <c r="J8" t="s">
        <v>195</v>
      </c>
    </row>
    <row r="9" spans="1:11" x14ac:dyDescent="0.25">
      <c r="A9" s="14">
        <v>1</v>
      </c>
      <c r="B9" s="39">
        <v>45730</v>
      </c>
      <c r="C9" s="341" t="s">
        <v>186</v>
      </c>
      <c r="D9" s="14" t="s">
        <v>19</v>
      </c>
      <c r="E9" s="51"/>
      <c r="F9" s="118">
        <v>0.7</v>
      </c>
      <c r="G9" s="124">
        <f t="shared" ref="G9:G55" si="0">+G8+E9-F9</f>
        <v>273.10000000000002</v>
      </c>
      <c r="H9" s="28"/>
      <c r="I9" s="7"/>
    </row>
    <row r="10" spans="1:11" x14ac:dyDescent="0.25">
      <c r="A10" s="14">
        <f t="shared" ref="A10:A55" si="1">+A9+1</f>
        <v>2</v>
      </c>
      <c r="B10" s="39"/>
      <c r="C10" s="341" t="s">
        <v>186</v>
      </c>
      <c r="D10" s="14" t="s">
        <v>19</v>
      </c>
      <c r="E10" s="16"/>
      <c r="F10" s="118"/>
      <c r="G10" s="124">
        <f t="shared" si="0"/>
        <v>273.10000000000002</v>
      </c>
      <c r="H10" s="28" t="s">
        <v>129</v>
      </c>
      <c r="I10" s="7" t="s">
        <v>90</v>
      </c>
    </row>
    <row r="11" spans="1:11" x14ac:dyDescent="0.25">
      <c r="A11" s="14">
        <f t="shared" si="1"/>
        <v>3</v>
      </c>
      <c r="B11" s="39"/>
      <c r="C11" s="341" t="s">
        <v>186</v>
      </c>
      <c r="D11" s="14" t="s">
        <v>19</v>
      </c>
      <c r="E11" s="113"/>
      <c r="F11" s="125"/>
      <c r="G11" s="124">
        <f t="shared" si="0"/>
        <v>273.10000000000002</v>
      </c>
      <c r="H11" s="28" t="s">
        <v>129</v>
      </c>
      <c r="I11" s="7" t="s">
        <v>90</v>
      </c>
    </row>
    <row r="12" spans="1:11" x14ac:dyDescent="0.25">
      <c r="A12" s="14">
        <f t="shared" si="1"/>
        <v>4</v>
      </c>
      <c r="B12" s="39"/>
      <c r="C12" s="341" t="s">
        <v>186</v>
      </c>
      <c r="D12" s="14" t="s">
        <v>19</v>
      </c>
      <c r="E12" s="132"/>
      <c r="F12" s="125"/>
      <c r="G12" s="124">
        <f t="shared" si="0"/>
        <v>273.10000000000002</v>
      </c>
      <c r="H12" s="28" t="s">
        <v>129</v>
      </c>
      <c r="I12" s="7" t="s">
        <v>90</v>
      </c>
    </row>
    <row r="13" spans="1:11" x14ac:dyDescent="0.25">
      <c r="A13" s="14">
        <f t="shared" si="1"/>
        <v>5</v>
      </c>
      <c r="B13" s="39"/>
      <c r="C13" s="341" t="s">
        <v>186</v>
      </c>
      <c r="D13" s="14" t="s">
        <v>19</v>
      </c>
      <c r="E13" s="126"/>
      <c r="F13" s="127"/>
      <c r="G13" s="124">
        <f t="shared" si="0"/>
        <v>273.10000000000002</v>
      </c>
      <c r="H13" s="28"/>
      <c r="I13" s="7"/>
    </row>
    <row r="14" spans="1:11" x14ac:dyDescent="0.25">
      <c r="A14" s="14">
        <f t="shared" si="1"/>
        <v>6</v>
      </c>
      <c r="B14" s="39"/>
      <c r="C14" s="341" t="s">
        <v>186</v>
      </c>
      <c r="D14" s="14" t="s">
        <v>19</v>
      </c>
      <c r="E14" s="11"/>
      <c r="F14" s="127"/>
      <c r="G14" s="124">
        <f t="shared" si="0"/>
        <v>273.10000000000002</v>
      </c>
      <c r="H14" s="28" t="s">
        <v>129</v>
      </c>
      <c r="I14" s="7" t="s">
        <v>90</v>
      </c>
      <c r="J14" s="26"/>
      <c r="K14">
        <f>351/30</f>
        <v>11.7</v>
      </c>
    </row>
    <row r="15" spans="1:11" x14ac:dyDescent="0.25">
      <c r="A15" s="14">
        <f t="shared" si="1"/>
        <v>7</v>
      </c>
      <c r="B15" s="39"/>
      <c r="C15" s="341" t="s">
        <v>186</v>
      </c>
      <c r="D15" s="14" t="s">
        <v>19</v>
      </c>
      <c r="E15" s="113"/>
      <c r="F15" s="125"/>
      <c r="G15" s="124">
        <f t="shared" si="0"/>
        <v>273.10000000000002</v>
      </c>
      <c r="H15" s="28" t="s">
        <v>129</v>
      </c>
      <c r="I15" s="7" t="s">
        <v>90</v>
      </c>
    </row>
    <row r="16" spans="1:11" x14ac:dyDescent="0.25">
      <c r="A16" s="14">
        <f t="shared" si="1"/>
        <v>8</v>
      </c>
      <c r="B16" s="39"/>
      <c r="C16" s="341" t="s">
        <v>186</v>
      </c>
      <c r="D16" s="14" t="s">
        <v>19</v>
      </c>
      <c r="E16" s="129"/>
      <c r="F16" s="125"/>
      <c r="G16" s="124">
        <f t="shared" si="0"/>
        <v>273.10000000000002</v>
      </c>
      <c r="H16" s="28" t="s">
        <v>129</v>
      </c>
      <c r="I16" s="7" t="s">
        <v>90</v>
      </c>
      <c r="K16">
        <f>11*30+21.4</f>
        <v>351.4</v>
      </c>
    </row>
    <row r="17" spans="1:13" x14ac:dyDescent="0.25">
      <c r="A17" s="14">
        <f t="shared" si="1"/>
        <v>9</v>
      </c>
      <c r="B17" s="39"/>
      <c r="C17" s="341" t="s">
        <v>186</v>
      </c>
      <c r="D17" s="14" t="s">
        <v>19</v>
      </c>
      <c r="E17" s="113"/>
      <c r="F17" s="130"/>
      <c r="G17" s="124">
        <f t="shared" si="0"/>
        <v>273.10000000000002</v>
      </c>
      <c r="H17" s="28" t="s">
        <v>129</v>
      </c>
      <c r="I17" s="7" t="s">
        <v>90</v>
      </c>
    </row>
    <row r="18" spans="1:13" x14ac:dyDescent="0.25">
      <c r="A18" s="14">
        <f t="shared" si="1"/>
        <v>10</v>
      </c>
      <c r="B18" s="39"/>
      <c r="C18" s="341" t="s">
        <v>186</v>
      </c>
      <c r="D18" s="14" t="s">
        <v>19</v>
      </c>
      <c r="E18" s="16"/>
      <c r="F18" s="118"/>
      <c r="G18" s="124">
        <f t="shared" si="0"/>
        <v>273.10000000000002</v>
      </c>
      <c r="H18" s="28" t="s">
        <v>129</v>
      </c>
      <c r="I18" s="7" t="s">
        <v>90</v>
      </c>
    </row>
    <row r="19" spans="1:13" x14ac:dyDescent="0.25">
      <c r="A19" s="14">
        <f t="shared" si="1"/>
        <v>11</v>
      </c>
      <c r="B19" s="39"/>
      <c r="C19" s="341" t="s">
        <v>186</v>
      </c>
      <c r="D19" s="14" t="s">
        <v>19</v>
      </c>
      <c r="E19" s="113"/>
      <c r="F19" s="118"/>
      <c r="G19" s="131">
        <f t="shared" si="0"/>
        <v>273.10000000000002</v>
      </c>
      <c r="H19" s="28" t="s">
        <v>129</v>
      </c>
      <c r="I19" s="7" t="s">
        <v>90</v>
      </c>
    </row>
    <row r="20" spans="1:13" x14ac:dyDescent="0.25">
      <c r="A20" s="14">
        <f t="shared" si="1"/>
        <v>12</v>
      </c>
      <c r="B20" s="39"/>
      <c r="C20" s="341" t="s">
        <v>186</v>
      </c>
      <c r="D20" s="14" t="s">
        <v>19</v>
      </c>
      <c r="E20" s="16"/>
      <c r="F20" s="118"/>
      <c r="G20" s="131">
        <f t="shared" si="0"/>
        <v>273.10000000000002</v>
      </c>
      <c r="H20" s="28" t="s">
        <v>129</v>
      </c>
      <c r="I20" s="7" t="s">
        <v>90</v>
      </c>
    </row>
    <row r="21" spans="1:13" x14ac:dyDescent="0.25">
      <c r="A21" s="14">
        <f t="shared" si="1"/>
        <v>13</v>
      </c>
      <c r="B21" s="39"/>
      <c r="C21" s="341" t="s">
        <v>186</v>
      </c>
      <c r="D21" s="14" t="s">
        <v>19</v>
      </c>
      <c r="E21" s="113"/>
      <c r="F21" s="118"/>
      <c r="G21" s="131">
        <f t="shared" si="0"/>
        <v>273.10000000000002</v>
      </c>
      <c r="H21" s="28" t="s">
        <v>129</v>
      </c>
      <c r="I21" s="7" t="s">
        <v>90</v>
      </c>
    </row>
    <row r="22" spans="1:13" x14ac:dyDescent="0.25">
      <c r="A22" s="14">
        <f t="shared" si="1"/>
        <v>14</v>
      </c>
      <c r="B22" s="39"/>
      <c r="C22" s="341" t="s">
        <v>186</v>
      </c>
      <c r="D22" s="14" t="s">
        <v>19</v>
      </c>
      <c r="E22" s="16"/>
      <c r="F22" s="118"/>
      <c r="G22" s="131">
        <f t="shared" si="0"/>
        <v>273.10000000000002</v>
      </c>
      <c r="H22" s="28" t="s">
        <v>129</v>
      </c>
      <c r="I22" s="7" t="s">
        <v>90</v>
      </c>
      <c r="M22">
        <f>270/37</f>
        <v>7.2972972972972974</v>
      </c>
    </row>
    <row r="23" spans="1:13" x14ac:dyDescent="0.25">
      <c r="A23" s="14">
        <f t="shared" si="1"/>
        <v>15</v>
      </c>
      <c r="B23" s="39"/>
      <c r="C23" s="341" t="s">
        <v>186</v>
      </c>
      <c r="D23" s="14" t="s">
        <v>19</v>
      </c>
      <c r="E23" s="16"/>
      <c r="F23" s="118"/>
      <c r="G23" s="131">
        <f t="shared" si="0"/>
        <v>273.10000000000002</v>
      </c>
      <c r="H23" s="28"/>
      <c r="I23" s="29"/>
    </row>
    <row r="24" spans="1:13" x14ac:dyDescent="0.25">
      <c r="A24" s="14">
        <f t="shared" si="1"/>
        <v>16</v>
      </c>
      <c r="B24" s="39"/>
      <c r="C24" s="341" t="s">
        <v>186</v>
      </c>
      <c r="D24" s="14" t="s">
        <v>19</v>
      </c>
      <c r="E24" s="16"/>
      <c r="F24" s="118"/>
      <c r="G24" s="131">
        <f t="shared" si="0"/>
        <v>273.10000000000002</v>
      </c>
      <c r="H24" s="28" t="s">
        <v>129</v>
      </c>
      <c r="I24" s="7" t="s">
        <v>90</v>
      </c>
    </row>
    <row r="25" spans="1:13" x14ac:dyDescent="0.25">
      <c r="A25" s="14">
        <f t="shared" si="1"/>
        <v>17</v>
      </c>
      <c r="B25" s="39"/>
      <c r="C25" s="341" t="s">
        <v>186</v>
      </c>
      <c r="D25" s="14" t="s">
        <v>19</v>
      </c>
      <c r="E25" s="16"/>
      <c r="F25" s="118"/>
      <c r="G25" s="131">
        <f t="shared" si="0"/>
        <v>273.10000000000002</v>
      </c>
      <c r="H25" s="28" t="s">
        <v>129</v>
      </c>
      <c r="I25" s="7" t="s">
        <v>90</v>
      </c>
    </row>
    <row r="26" spans="1:13" x14ac:dyDescent="0.25">
      <c r="A26" s="14">
        <f t="shared" si="1"/>
        <v>18</v>
      </c>
      <c r="B26" s="39"/>
      <c r="C26" s="341" t="s">
        <v>186</v>
      </c>
      <c r="D26" s="14" t="s">
        <v>19</v>
      </c>
      <c r="E26" s="16"/>
      <c r="F26" s="118"/>
      <c r="G26" s="131">
        <f t="shared" si="0"/>
        <v>273.10000000000002</v>
      </c>
      <c r="H26" s="28" t="s">
        <v>129</v>
      </c>
      <c r="I26" s="7" t="s">
        <v>90</v>
      </c>
    </row>
    <row r="27" spans="1:13" x14ac:dyDescent="0.25">
      <c r="A27" s="14">
        <f t="shared" si="1"/>
        <v>19</v>
      </c>
      <c r="B27" s="8"/>
      <c r="C27" s="341" t="s">
        <v>186</v>
      </c>
      <c r="D27" s="14" t="s">
        <v>19</v>
      </c>
      <c r="E27" s="16"/>
      <c r="F27" s="118"/>
      <c r="G27" s="131">
        <f t="shared" si="0"/>
        <v>273.10000000000002</v>
      </c>
      <c r="H27" s="28" t="s">
        <v>129</v>
      </c>
      <c r="I27" s="7" t="s">
        <v>90</v>
      </c>
    </row>
    <row r="28" spans="1:13" x14ac:dyDescent="0.25">
      <c r="A28" s="14">
        <f t="shared" si="1"/>
        <v>20</v>
      </c>
      <c r="B28" s="8"/>
      <c r="C28" s="341" t="s">
        <v>186</v>
      </c>
      <c r="D28" s="14" t="s">
        <v>19</v>
      </c>
      <c r="E28" s="16"/>
      <c r="F28" s="118"/>
      <c r="G28" s="131">
        <f t="shared" si="0"/>
        <v>273.10000000000002</v>
      </c>
      <c r="H28" s="28" t="s">
        <v>129</v>
      </c>
      <c r="I28" s="7" t="s">
        <v>90</v>
      </c>
    </row>
    <row r="29" spans="1:13" x14ac:dyDescent="0.25">
      <c r="A29" s="14">
        <f t="shared" si="1"/>
        <v>21</v>
      </c>
      <c r="B29" s="8"/>
      <c r="C29" s="341" t="s">
        <v>186</v>
      </c>
      <c r="D29" s="14" t="s">
        <v>19</v>
      </c>
      <c r="E29" s="16"/>
      <c r="F29" s="118"/>
      <c r="G29" s="131">
        <f t="shared" si="0"/>
        <v>273.10000000000002</v>
      </c>
      <c r="H29" s="28" t="s">
        <v>129</v>
      </c>
      <c r="I29" s="7" t="s">
        <v>90</v>
      </c>
    </row>
    <row r="30" spans="1:13" x14ac:dyDescent="0.25">
      <c r="A30" s="14">
        <f t="shared" si="1"/>
        <v>22</v>
      </c>
      <c r="B30" s="8"/>
      <c r="C30" s="341" t="s">
        <v>186</v>
      </c>
      <c r="D30" s="14" t="s">
        <v>19</v>
      </c>
      <c r="E30" s="16"/>
      <c r="F30" s="118"/>
      <c r="G30" s="131">
        <f t="shared" si="0"/>
        <v>273.10000000000002</v>
      </c>
      <c r="H30" s="28" t="s">
        <v>129</v>
      </c>
      <c r="I30" s="7" t="s">
        <v>90</v>
      </c>
    </row>
    <row r="31" spans="1:13" x14ac:dyDescent="0.25">
      <c r="A31" s="14">
        <f t="shared" si="1"/>
        <v>23</v>
      </c>
      <c r="B31" s="8"/>
      <c r="C31" s="341" t="s">
        <v>186</v>
      </c>
      <c r="D31" s="14" t="s">
        <v>19</v>
      </c>
      <c r="E31" s="16"/>
      <c r="F31" s="118"/>
      <c r="G31" s="131">
        <f t="shared" si="0"/>
        <v>273.10000000000002</v>
      </c>
      <c r="H31" s="28" t="s">
        <v>129</v>
      </c>
      <c r="I31" s="7" t="s">
        <v>90</v>
      </c>
      <c r="J31">
        <f>37-13</f>
        <v>24</v>
      </c>
    </row>
    <row r="32" spans="1:13" x14ac:dyDescent="0.25">
      <c r="A32" s="14"/>
      <c r="B32" s="8"/>
      <c r="C32" s="341" t="s">
        <v>186</v>
      </c>
      <c r="D32" s="14" t="s">
        <v>19</v>
      </c>
      <c r="E32" s="16"/>
      <c r="F32" s="118"/>
      <c r="G32" s="131">
        <f t="shared" si="0"/>
        <v>273.10000000000002</v>
      </c>
      <c r="H32" s="28" t="s">
        <v>129</v>
      </c>
      <c r="I32" s="7" t="s">
        <v>90</v>
      </c>
      <c r="K32">
        <f>11+30+3*30</f>
        <v>131</v>
      </c>
    </row>
    <row r="33" spans="1:12" x14ac:dyDescent="0.25">
      <c r="A33" s="14"/>
      <c r="B33" s="8"/>
      <c r="C33" s="341" t="s">
        <v>186</v>
      </c>
      <c r="D33" s="14" t="s">
        <v>19</v>
      </c>
      <c r="E33" s="16"/>
      <c r="F33" s="118"/>
      <c r="G33" s="131">
        <f t="shared" si="0"/>
        <v>273.10000000000002</v>
      </c>
      <c r="H33" s="28" t="s">
        <v>129</v>
      </c>
      <c r="I33" s="7" t="s">
        <v>90</v>
      </c>
    </row>
    <row r="34" spans="1:12" x14ac:dyDescent="0.25">
      <c r="A34" s="14"/>
      <c r="B34" s="8"/>
      <c r="C34" s="341" t="s">
        <v>186</v>
      </c>
      <c r="D34" s="14" t="s">
        <v>19</v>
      </c>
      <c r="E34" s="16"/>
      <c r="F34" s="118"/>
      <c r="G34" s="131">
        <f t="shared" si="0"/>
        <v>273.10000000000002</v>
      </c>
      <c r="H34" s="28" t="s">
        <v>129</v>
      </c>
      <c r="I34" s="7" t="s">
        <v>90</v>
      </c>
    </row>
    <row r="35" spans="1:12" x14ac:dyDescent="0.25">
      <c r="A35" s="14"/>
      <c r="B35" s="8"/>
      <c r="C35" s="341" t="s">
        <v>186</v>
      </c>
      <c r="D35" s="14" t="s">
        <v>19</v>
      </c>
      <c r="E35" s="16"/>
      <c r="F35" s="118"/>
      <c r="G35" s="131">
        <f t="shared" si="0"/>
        <v>273.10000000000002</v>
      </c>
      <c r="H35" s="28" t="s">
        <v>129</v>
      </c>
      <c r="I35" s="7" t="s">
        <v>90</v>
      </c>
      <c r="K35">
        <f>11+30+3*30</f>
        <v>131</v>
      </c>
    </row>
    <row r="36" spans="1:12" x14ac:dyDescent="0.25">
      <c r="A36" s="14"/>
      <c r="B36" s="8"/>
      <c r="C36" s="341" t="s">
        <v>186</v>
      </c>
      <c r="D36" s="14" t="s">
        <v>19</v>
      </c>
      <c r="E36" s="16"/>
      <c r="F36" s="118"/>
      <c r="G36" s="131">
        <f t="shared" si="0"/>
        <v>273.10000000000002</v>
      </c>
      <c r="H36" s="28" t="s">
        <v>129</v>
      </c>
      <c r="I36" s="7" t="s">
        <v>90</v>
      </c>
    </row>
    <row r="37" spans="1:12" x14ac:dyDescent="0.25">
      <c r="A37" s="14"/>
      <c r="B37" s="8"/>
      <c r="C37" s="15"/>
      <c r="D37" s="14"/>
      <c r="E37" s="16"/>
      <c r="F37" s="118"/>
      <c r="G37" s="131">
        <f t="shared" si="0"/>
        <v>273.10000000000002</v>
      </c>
      <c r="H37" s="28" t="s">
        <v>129</v>
      </c>
      <c r="I37" s="7" t="s">
        <v>90</v>
      </c>
    </row>
    <row r="38" spans="1:12" x14ac:dyDescent="0.25">
      <c r="A38" s="14"/>
      <c r="B38" s="8"/>
      <c r="C38" s="15"/>
      <c r="D38" s="14"/>
      <c r="E38" s="16"/>
      <c r="F38" s="118"/>
      <c r="G38" s="131">
        <f t="shared" si="0"/>
        <v>273.10000000000002</v>
      </c>
      <c r="H38" s="28" t="s">
        <v>129</v>
      </c>
      <c r="I38" s="7" t="s">
        <v>90</v>
      </c>
    </row>
    <row r="39" spans="1:12" x14ac:dyDescent="0.25">
      <c r="A39" s="14"/>
      <c r="B39" s="8"/>
      <c r="C39" s="15"/>
      <c r="D39" s="14"/>
      <c r="E39" s="16"/>
      <c r="F39" s="118"/>
      <c r="G39" s="131">
        <f t="shared" si="0"/>
        <v>273.10000000000002</v>
      </c>
      <c r="H39" s="28" t="s">
        <v>129</v>
      </c>
      <c r="I39" s="7" t="s">
        <v>90</v>
      </c>
    </row>
    <row r="40" spans="1:12" x14ac:dyDescent="0.25">
      <c r="A40" s="14"/>
      <c r="B40" s="8"/>
      <c r="C40" s="15"/>
      <c r="D40" s="14"/>
      <c r="E40" s="16"/>
      <c r="F40" s="118"/>
      <c r="G40" s="131">
        <f t="shared" si="0"/>
        <v>273.10000000000002</v>
      </c>
      <c r="H40" s="28" t="s">
        <v>129</v>
      </c>
      <c r="I40" s="7" t="s">
        <v>90</v>
      </c>
    </row>
    <row r="41" spans="1:12" x14ac:dyDescent="0.25">
      <c r="A41" s="14"/>
      <c r="B41" s="8"/>
      <c r="C41" s="15"/>
      <c r="D41" s="14"/>
      <c r="E41" s="132"/>
      <c r="F41" s="118"/>
      <c r="G41" s="131">
        <f t="shared" si="0"/>
        <v>273.10000000000002</v>
      </c>
      <c r="H41" s="28" t="s">
        <v>129</v>
      </c>
      <c r="I41" s="7" t="s">
        <v>90</v>
      </c>
    </row>
    <row r="42" spans="1:12" x14ac:dyDescent="0.25">
      <c r="A42" s="14"/>
      <c r="B42" s="8"/>
      <c r="C42" s="15"/>
      <c r="D42" s="14"/>
      <c r="E42" s="16"/>
      <c r="F42" s="118"/>
      <c r="G42" s="390">
        <f t="shared" si="0"/>
        <v>273.10000000000002</v>
      </c>
      <c r="H42" s="28" t="s">
        <v>129</v>
      </c>
      <c r="I42" s="7" t="s">
        <v>90</v>
      </c>
    </row>
    <row r="43" spans="1:12" x14ac:dyDescent="0.25">
      <c r="A43" s="14"/>
      <c r="B43" s="8"/>
      <c r="C43" s="15"/>
      <c r="D43" s="14"/>
      <c r="E43" s="16"/>
      <c r="F43" s="118"/>
      <c r="G43" s="131">
        <f t="shared" si="0"/>
        <v>273.10000000000002</v>
      </c>
      <c r="H43" s="28" t="s">
        <v>129</v>
      </c>
      <c r="I43" s="7" t="s">
        <v>90</v>
      </c>
      <c r="L43">
        <f>339.5+338.5</f>
        <v>678</v>
      </c>
    </row>
    <row r="44" spans="1:12" x14ac:dyDescent="0.25">
      <c r="A44" s="14"/>
      <c r="B44" s="8"/>
      <c r="C44" s="15"/>
      <c r="D44" s="14"/>
      <c r="E44" s="16"/>
      <c r="F44" s="118"/>
      <c r="G44" s="131">
        <f t="shared" si="0"/>
        <v>273.10000000000002</v>
      </c>
      <c r="H44" s="28" t="s">
        <v>129</v>
      </c>
      <c r="I44" s="7" t="s">
        <v>90</v>
      </c>
    </row>
    <row r="45" spans="1:12" x14ac:dyDescent="0.25">
      <c r="A45" s="14"/>
      <c r="B45" s="8"/>
      <c r="C45" s="15"/>
      <c r="D45" s="14"/>
      <c r="E45" s="16"/>
      <c r="F45" s="118"/>
      <c r="G45" s="131">
        <f t="shared" si="0"/>
        <v>273.10000000000002</v>
      </c>
      <c r="H45" s="28" t="s">
        <v>129</v>
      </c>
      <c r="I45" s="7" t="s">
        <v>90</v>
      </c>
    </row>
    <row r="46" spans="1:12" x14ac:dyDescent="0.25">
      <c r="A46" s="14"/>
      <c r="B46" s="8"/>
      <c r="C46" s="15"/>
      <c r="D46" s="14"/>
      <c r="E46" s="16"/>
      <c r="F46" s="118"/>
      <c r="G46" s="131">
        <f t="shared" si="0"/>
        <v>273.10000000000002</v>
      </c>
      <c r="H46" s="28"/>
      <c r="I46" s="29"/>
    </row>
    <row r="47" spans="1:12" x14ac:dyDescent="0.25">
      <c r="A47" s="14"/>
      <c r="B47" s="8"/>
      <c r="C47" s="15"/>
      <c r="D47" s="14"/>
      <c r="E47" s="16"/>
      <c r="F47" s="118"/>
      <c r="G47" s="131">
        <f t="shared" si="0"/>
        <v>273.10000000000002</v>
      </c>
      <c r="H47" s="28"/>
      <c r="I47" s="29"/>
    </row>
    <row r="48" spans="1:12" x14ac:dyDescent="0.25">
      <c r="A48" s="14"/>
      <c r="B48" s="8"/>
      <c r="C48" s="15"/>
      <c r="D48" s="14"/>
      <c r="E48" s="16"/>
      <c r="F48" s="118"/>
      <c r="G48" s="131">
        <f t="shared" si="0"/>
        <v>273.10000000000002</v>
      </c>
      <c r="H48" s="28"/>
      <c r="I48" s="29"/>
    </row>
    <row r="49" spans="1:9" x14ac:dyDescent="0.25">
      <c r="A49" s="14"/>
      <c r="B49" s="8"/>
      <c r="C49" s="15"/>
      <c r="D49" s="14"/>
      <c r="E49" s="132"/>
      <c r="F49" s="118"/>
      <c r="G49" s="131">
        <f t="shared" si="0"/>
        <v>273.10000000000002</v>
      </c>
      <c r="H49" s="28"/>
      <c r="I49" s="29"/>
    </row>
    <row r="50" spans="1:9" x14ac:dyDescent="0.25">
      <c r="A50" s="14"/>
      <c r="B50" s="8"/>
      <c r="C50" s="15"/>
      <c r="D50" s="14"/>
      <c r="E50" s="16"/>
      <c r="F50" s="118"/>
      <c r="G50" s="131">
        <f t="shared" si="0"/>
        <v>273.10000000000002</v>
      </c>
      <c r="H50" s="28"/>
      <c r="I50" s="29"/>
    </row>
    <row r="51" spans="1:9" x14ac:dyDescent="0.25">
      <c r="A51" s="14"/>
      <c r="B51" s="8"/>
      <c r="C51" s="15"/>
      <c r="D51" s="14"/>
      <c r="E51" s="16"/>
      <c r="F51" s="118"/>
      <c r="G51" s="131">
        <f t="shared" si="0"/>
        <v>273.10000000000002</v>
      </c>
      <c r="H51" s="28"/>
      <c r="I51" s="29"/>
    </row>
    <row r="52" spans="1:9" x14ac:dyDescent="0.25">
      <c r="A52" s="14"/>
      <c r="B52" s="8"/>
      <c r="C52" s="15"/>
      <c r="D52" s="14"/>
      <c r="E52" s="16"/>
      <c r="F52" s="118"/>
      <c r="G52" s="131">
        <f t="shared" si="0"/>
        <v>273.10000000000002</v>
      </c>
      <c r="H52" s="28"/>
      <c r="I52" s="29"/>
    </row>
    <row r="53" spans="1:9" x14ac:dyDescent="0.25">
      <c r="A53" s="14">
        <f>+A31+1</f>
        <v>24</v>
      </c>
      <c r="B53" s="37"/>
      <c r="C53" s="15"/>
      <c r="D53" s="133"/>
      <c r="E53" s="16"/>
      <c r="F53" s="118"/>
      <c r="G53" s="131">
        <f t="shared" si="0"/>
        <v>273.10000000000002</v>
      </c>
      <c r="H53" s="28"/>
      <c r="I53" s="29"/>
    </row>
    <row r="54" spans="1:9" x14ac:dyDescent="0.25">
      <c r="A54" s="14">
        <f t="shared" si="1"/>
        <v>25</v>
      </c>
      <c r="B54" s="8"/>
      <c r="C54" s="15"/>
      <c r="D54" s="133"/>
      <c r="E54" s="30"/>
      <c r="F54" s="118"/>
      <c r="G54" s="131">
        <f t="shared" si="0"/>
        <v>273.10000000000002</v>
      </c>
      <c r="H54" s="28"/>
      <c r="I54" s="29"/>
    </row>
    <row r="55" spans="1:9" x14ac:dyDescent="0.25">
      <c r="A55" s="14">
        <f t="shared" si="1"/>
        <v>26</v>
      </c>
      <c r="B55" s="37"/>
      <c r="C55" s="15"/>
      <c r="D55" s="133"/>
      <c r="E55" s="16"/>
      <c r="F55" s="118"/>
      <c r="G55" s="131">
        <f t="shared" si="0"/>
        <v>273.10000000000002</v>
      </c>
      <c r="H55" s="28"/>
      <c r="I55" s="29"/>
    </row>
    <row r="56" spans="1:9" x14ac:dyDescent="0.25">
      <c r="A56" s="7"/>
      <c r="B56" s="7"/>
      <c r="C56" s="34" t="s">
        <v>13</v>
      </c>
      <c r="D56" s="7"/>
      <c r="E56" s="36">
        <f>SUM(E9:E55)</f>
        <v>0</v>
      </c>
      <c r="F56" s="121">
        <f>SUM(F9:F55)</f>
        <v>0.7</v>
      </c>
      <c r="G56" s="36">
        <f>+E56-F56+G8</f>
        <v>273.10000000000002</v>
      </c>
      <c r="H56" s="35"/>
      <c r="I56" s="36"/>
    </row>
  </sheetData>
  <phoneticPr fontId="3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5BDF-A25A-4CD5-B90C-9BD54D0C41CA}">
  <sheetPr codeName="Sheet32"/>
  <dimension ref="A1:K34"/>
  <sheetViews>
    <sheetView workbookViewId="0">
      <selection activeCell="F19" sqref="F19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1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1" x14ac:dyDescent="0.25">
      <c r="A8" s="7"/>
      <c r="B8" s="8">
        <v>45658</v>
      </c>
      <c r="C8" s="9"/>
      <c r="D8" s="10"/>
      <c r="E8" s="11"/>
      <c r="F8" s="123"/>
      <c r="G8" s="7">
        <v>221</v>
      </c>
      <c r="H8" s="7"/>
      <c r="I8" s="7"/>
      <c r="J8" t="s">
        <v>160</v>
      </c>
    </row>
    <row r="9" spans="1:11" x14ac:dyDescent="0.25">
      <c r="A9" s="14">
        <v>1</v>
      </c>
      <c r="B9" s="39">
        <v>45794</v>
      </c>
      <c r="C9" s="341" t="s">
        <v>159</v>
      </c>
      <c r="D9" s="14" t="s">
        <v>19</v>
      </c>
      <c r="E9" s="143"/>
      <c r="F9" s="118">
        <v>16</v>
      </c>
      <c r="G9" s="124">
        <f t="shared" ref="G9:G33" si="0">+G8+E9-F9</f>
        <v>205</v>
      </c>
    </row>
    <row r="10" spans="1:11" x14ac:dyDescent="0.25">
      <c r="A10" s="14">
        <f t="shared" ref="A10:A34" si="1">+A9+1</f>
        <v>2</v>
      </c>
      <c r="B10" s="39">
        <v>45796</v>
      </c>
      <c r="C10" s="341" t="s">
        <v>159</v>
      </c>
      <c r="D10" s="14" t="s">
        <v>19</v>
      </c>
      <c r="E10" s="16"/>
      <c r="F10" s="118">
        <v>2</v>
      </c>
      <c r="G10" s="124">
        <f t="shared" si="0"/>
        <v>203</v>
      </c>
      <c r="H10" s="28" t="s">
        <v>129</v>
      </c>
      <c r="I10" s="7" t="s">
        <v>90</v>
      </c>
    </row>
    <row r="11" spans="1:11" x14ac:dyDescent="0.25">
      <c r="A11" s="14">
        <f t="shared" si="1"/>
        <v>3</v>
      </c>
      <c r="B11" s="39">
        <v>45800</v>
      </c>
      <c r="C11" s="341" t="s">
        <v>159</v>
      </c>
      <c r="D11" s="14" t="s">
        <v>19</v>
      </c>
      <c r="E11" s="113"/>
      <c r="F11" s="125">
        <v>3.9</v>
      </c>
      <c r="G11" s="124">
        <f t="shared" si="0"/>
        <v>199.1</v>
      </c>
      <c r="H11" s="28" t="s">
        <v>129</v>
      </c>
      <c r="I11" s="7" t="s">
        <v>90</v>
      </c>
    </row>
    <row r="12" spans="1:11" x14ac:dyDescent="0.25">
      <c r="A12" s="14">
        <f t="shared" si="1"/>
        <v>4</v>
      </c>
      <c r="B12" s="39">
        <v>45834</v>
      </c>
      <c r="C12" s="341" t="s">
        <v>159</v>
      </c>
      <c r="D12" s="14" t="s">
        <v>19</v>
      </c>
      <c r="E12" s="132"/>
      <c r="F12" s="125">
        <v>2.5</v>
      </c>
      <c r="G12" s="124">
        <f t="shared" si="0"/>
        <v>196.6</v>
      </c>
      <c r="H12" s="28" t="s">
        <v>129</v>
      </c>
      <c r="I12" s="7" t="s">
        <v>90</v>
      </c>
    </row>
    <row r="13" spans="1:11" x14ac:dyDescent="0.25">
      <c r="A13" s="14">
        <f t="shared" si="1"/>
        <v>5</v>
      </c>
      <c r="B13" s="39">
        <v>45835</v>
      </c>
      <c r="C13" s="341" t="s">
        <v>159</v>
      </c>
      <c r="D13" s="14" t="s">
        <v>19</v>
      </c>
      <c r="E13" s="126"/>
      <c r="F13" s="127">
        <v>12.2</v>
      </c>
      <c r="G13" s="124">
        <f t="shared" si="0"/>
        <v>184.4</v>
      </c>
      <c r="H13" s="28" t="s">
        <v>129</v>
      </c>
      <c r="I13" s="7" t="s">
        <v>90</v>
      </c>
    </row>
    <row r="14" spans="1:11" x14ac:dyDescent="0.25">
      <c r="A14" s="14">
        <f t="shared" si="1"/>
        <v>6</v>
      </c>
      <c r="B14" s="39">
        <v>45856</v>
      </c>
      <c r="C14" s="341" t="s">
        <v>159</v>
      </c>
      <c r="D14" s="14" t="s">
        <v>19</v>
      </c>
      <c r="E14" s="11"/>
      <c r="F14" s="127">
        <v>4</v>
      </c>
      <c r="G14" s="124">
        <f t="shared" si="0"/>
        <v>180.4</v>
      </c>
      <c r="H14" s="28"/>
      <c r="I14" s="7"/>
      <c r="J14" s="26"/>
      <c r="K14">
        <f>351/30</f>
        <v>11.7</v>
      </c>
    </row>
    <row r="15" spans="1:11" x14ac:dyDescent="0.25">
      <c r="A15" s="14">
        <f t="shared" si="1"/>
        <v>7</v>
      </c>
      <c r="B15" s="39">
        <v>45857</v>
      </c>
      <c r="C15" s="341" t="s">
        <v>159</v>
      </c>
      <c r="D15" s="14" t="s">
        <v>19</v>
      </c>
      <c r="E15" s="113"/>
      <c r="F15" s="125">
        <v>10</v>
      </c>
      <c r="G15" s="124">
        <f t="shared" si="0"/>
        <v>170.4</v>
      </c>
      <c r="H15" s="28" t="s">
        <v>129</v>
      </c>
      <c r="I15" s="7" t="s">
        <v>90</v>
      </c>
    </row>
    <row r="16" spans="1:11" x14ac:dyDescent="0.25">
      <c r="A16" s="14">
        <f t="shared" si="1"/>
        <v>8</v>
      </c>
      <c r="B16" s="39">
        <v>45882</v>
      </c>
      <c r="C16" s="341" t="s">
        <v>159</v>
      </c>
      <c r="D16" s="14" t="s">
        <v>19</v>
      </c>
      <c r="E16" s="129"/>
      <c r="F16" s="125">
        <v>6.3</v>
      </c>
      <c r="G16" s="124">
        <f t="shared" si="0"/>
        <v>164.1</v>
      </c>
      <c r="H16" s="28" t="s">
        <v>129</v>
      </c>
      <c r="I16" s="7" t="s">
        <v>90</v>
      </c>
      <c r="K16">
        <f>11*30+21.4</f>
        <v>351.4</v>
      </c>
    </row>
    <row r="17" spans="1:9" x14ac:dyDescent="0.25">
      <c r="A17" s="14">
        <f t="shared" si="1"/>
        <v>9</v>
      </c>
      <c r="B17" s="39">
        <v>45884</v>
      </c>
      <c r="C17" s="341" t="s">
        <v>159</v>
      </c>
      <c r="D17" s="14" t="s">
        <v>19</v>
      </c>
      <c r="E17" s="113"/>
      <c r="F17" s="130">
        <v>16.100000000000001</v>
      </c>
      <c r="G17" s="124">
        <f t="shared" si="0"/>
        <v>148</v>
      </c>
      <c r="H17" s="28" t="s">
        <v>129</v>
      </c>
      <c r="I17" s="7" t="s">
        <v>90</v>
      </c>
    </row>
    <row r="18" spans="1:9" x14ac:dyDescent="0.25">
      <c r="A18" s="14">
        <f t="shared" si="1"/>
        <v>10</v>
      </c>
      <c r="B18" s="39">
        <v>45885</v>
      </c>
      <c r="C18" s="341" t="s">
        <v>159</v>
      </c>
      <c r="D18" s="14" t="s">
        <v>19</v>
      </c>
      <c r="E18" s="16"/>
      <c r="F18" s="118">
        <v>18</v>
      </c>
      <c r="G18" s="124">
        <f t="shared" si="0"/>
        <v>130</v>
      </c>
      <c r="H18" s="28" t="s">
        <v>129</v>
      </c>
      <c r="I18" s="7" t="s">
        <v>90</v>
      </c>
    </row>
    <row r="19" spans="1:9" x14ac:dyDescent="0.25">
      <c r="A19" s="14">
        <f t="shared" si="1"/>
        <v>11</v>
      </c>
      <c r="B19" s="39">
        <v>45940</v>
      </c>
      <c r="C19" s="341" t="s">
        <v>159</v>
      </c>
      <c r="D19" s="14" t="s">
        <v>19</v>
      </c>
      <c r="E19" s="16"/>
      <c r="F19" s="118">
        <v>10.3</v>
      </c>
      <c r="G19" s="124">
        <f t="shared" si="0"/>
        <v>119.7</v>
      </c>
      <c r="H19" s="28"/>
      <c r="I19" s="29"/>
    </row>
    <row r="20" spans="1:9" x14ac:dyDescent="0.25">
      <c r="A20" s="14">
        <f t="shared" si="1"/>
        <v>12</v>
      </c>
      <c r="B20" s="39"/>
      <c r="C20" s="341" t="s">
        <v>159</v>
      </c>
      <c r="D20" s="14" t="s">
        <v>19</v>
      </c>
      <c r="E20" s="113"/>
      <c r="F20" s="118"/>
      <c r="G20" s="124">
        <f t="shared" si="0"/>
        <v>119.7</v>
      </c>
      <c r="H20" s="28"/>
      <c r="I20" s="29"/>
    </row>
    <row r="21" spans="1:9" x14ac:dyDescent="0.25">
      <c r="A21" s="14">
        <f t="shared" si="1"/>
        <v>13</v>
      </c>
      <c r="B21" s="39"/>
      <c r="C21" s="15"/>
      <c r="D21" s="14"/>
      <c r="E21" s="16"/>
      <c r="F21" s="118"/>
      <c r="G21" s="124">
        <f t="shared" si="0"/>
        <v>119.7</v>
      </c>
      <c r="H21" s="28"/>
      <c r="I21" s="29"/>
    </row>
    <row r="22" spans="1:9" x14ac:dyDescent="0.25">
      <c r="A22" s="14">
        <f t="shared" si="1"/>
        <v>14</v>
      </c>
      <c r="B22" s="43"/>
      <c r="C22" s="15"/>
      <c r="D22" s="14"/>
      <c r="E22" s="16"/>
      <c r="F22" s="118"/>
      <c r="G22" s="124">
        <f t="shared" si="0"/>
        <v>119.7</v>
      </c>
      <c r="H22" s="28"/>
      <c r="I22" s="29"/>
    </row>
    <row r="23" spans="1:9" x14ac:dyDescent="0.25">
      <c r="A23" s="14">
        <f t="shared" si="1"/>
        <v>15</v>
      </c>
      <c r="B23" s="39"/>
      <c r="C23" s="15"/>
      <c r="D23" s="14"/>
      <c r="E23" s="16"/>
      <c r="F23" s="118"/>
      <c r="G23" s="124">
        <f t="shared" si="0"/>
        <v>119.7</v>
      </c>
      <c r="H23" s="28"/>
      <c r="I23" s="29"/>
    </row>
    <row r="24" spans="1:9" x14ac:dyDescent="0.25">
      <c r="A24" s="14">
        <f t="shared" si="1"/>
        <v>16</v>
      </c>
      <c r="B24" s="39"/>
      <c r="C24" s="15"/>
      <c r="D24" s="14"/>
      <c r="E24" s="132"/>
      <c r="F24" s="118"/>
      <c r="G24" s="124">
        <f t="shared" si="0"/>
        <v>119.7</v>
      </c>
      <c r="H24" s="28"/>
      <c r="I24" s="29"/>
    </row>
    <row r="25" spans="1:9" x14ac:dyDescent="0.25">
      <c r="A25" s="14">
        <f t="shared" si="1"/>
        <v>17</v>
      </c>
      <c r="B25" s="39"/>
      <c r="C25" s="15"/>
      <c r="D25" s="14"/>
      <c r="E25" s="16"/>
      <c r="F25" s="118"/>
      <c r="G25" s="124">
        <f t="shared" si="0"/>
        <v>119.7</v>
      </c>
      <c r="H25" s="28"/>
      <c r="I25" s="29"/>
    </row>
    <row r="26" spans="1:9" x14ac:dyDescent="0.25">
      <c r="A26" s="14">
        <f t="shared" si="1"/>
        <v>18</v>
      </c>
      <c r="B26" s="8"/>
      <c r="C26" s="15"/>
      <c r="D26" s="14"/>
      <c r="E26" s="16"/>
      <c r="F26" s="118"/>
      <c r="G26" s="124">
        <f t="shared" si="0"/>
        <v>119.7</v>
      </c>
      <c r="H26" s="28"/>
      <c r="I26" s="29"/>
    </row>
    <row r="27" spans="1:9" x14ac:dyDescent="0.25">
      <c r="A27" s="14">
        <f t="shared" si="1"/>
        <v>19</v>
      </c>
      <c r="B27" s="8"/>
      <c r="C27" s="15"/>
      <c r="D27" s="14"/>
      <c r="E27" s="16"/>
      <c r="F27" s="118"/>
      <c r="G27" s="124">
        <f t="shared" si="0"/>
        <v>119.7</v>
      </c>
      <c r="H27" s="28"/>
      <c r="I27" s="29"/>
    </row>
    <row r="28" spans="1:9" x14ac:dyDescent="0.25">
      <c r="A28" s="14">
        <f t="shared" si="1"/>
        <v>20</v>
      </c>
      <c r="B28" s="8"/>
      <c r="C28" s="15"/>
      <c r="D28" s="14"/>
      <c r="E28" s="16"/>
      <c r="F28" s="118"/>
      <c r="G28" s="124">
        <f t="shared" si="0"/>
        <v>119.7</v>
      </c>
      <c r="H28" s="28"/>
      <c r="I28" s="29"/>
    </row>
    <row r="29" spans="1:9" x14ac:dyDescent="0.25">
      <c r="A29" s="14">
        <f t="shared" si="1"/>
        <v>21</v>
      </c>
      <c r="B29" s="8"/>
      <c r="C29" s="15"/>
      <c r="D29" s="14"/>
      <c r="E29" s="16"/>
      <c r="F29" s="118"/>
      <c r="G29" s="124">
        <f t="shared" si="0"/>
        <v>119.7</v>
      </c>
      <c r="H29" s="28"/>
      <c r="I29" s="29"/>
    </row>
    <row r="30" spans="1:9" x14ac:dyDescent="0.25">
      <c r="A30" s="14">
        <f t="shared" si="1"/>
        <v>22</v>
      </c>
      <c r="B30" s="8"/>
      <c r="C30" s="15"/>
      <c r="D30" s="14"/>
      <c r="E30" s="16"/>
      <c r="F30" s="118"/>
      <c r="G30" s="124">
        <f t="shared" si="0"/>
        <v>119.7</v>
      </c>
      <c r="H30" s="28"/>
      <c r="I30" s="29"/>
    </row>
    <row r="31" spans="1:9" x14ac:dyDescent="0.25">
      <c r="A31" s="14">
        <f t="shared" si="1"/>
        <v>23</v>
      </c>
      <c r="B31" s="37"/>
      <c r="C31" s="15"/>
      <c r="D31" s="133"/>
      <c r="E31" s="16"/>
      <c r="F31" s="118"/>
      <c r="G31" s="124">
        <f t="shared" si="0"/>
        <v>119.7</v>
      </c>
      <c r="H31" s="28"/>
      <c r="I31" s="29"/>
    </row>
    <row r="32" spans="1:9" x14ac:dyDescent="0.25">
      <c r="A32" s="14">
        <f t="shared" si="1"/>
        <v>24</v>
      </c>
      <c r="B32" s="8"/>
      <c r="C32" s="15"/>
      <c r="D32" s="133"/>
      <c r="E32" s="30"/>
      <c r="F32" s="118"/>
      <c r="G32" s="124">
        <f t="shared" si="0"/>
        <v>119.7</v>
      </c>
      <c r="H32" s="28"/>
      <c r="I32" s="29"/>
    </row>
    <row r="33" spans="1:9" x14ac:dyDescent="0.25">
      <c r="A33" s="14">
        <f t="shared" si="1"/>
        <v>25</v>
      </c>
      <c r="B33" s="37"/>
      <c r="C33" s="15"/>
      <c r="D33" s="133"/>
      <c r="E33" s="16"/>
      <c r="F33" s="118"/>
      <c r="G33" s="124">
        <f t="shared" si="0"/>
        <v>119.7</v>
      </c>
      <c r="H33" s="28"/>
      <c r="I33" s="29"/>
    </row>
    <row r="34" spans="1:9" x14ac:dyDescent="0.25">
      <c r="A34" s="14">
        <f t="shared" si="1"/>
        <v>26</v>
      </c>
      <c r="B34" s="7"/>
      <c r="C34" s="34" t="s">
        <v>13</v>
      </c>
      <c r="D34" s="7"/>
      <c r="E34" s="36">
        <f>SUM(E9:E33)</f>
        <v>0</v>
      </c>
      <c r="F34" s="121">
        <f>SUM(F9:F33)</f>
        <v>101.3</v>
      </c>
      <c r="G34" s="36">
        <f>+E34-F34+G8</f>
        <v>119.7</v>
      </c>
      <c r="H34" s="35"/>
      <c r="I34" s="3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7F2A-C5DF-4F06-B557-37781BA69668}">
  <sheetPr codeName="Sheet33"/>
  <dimension ref="A1:Q61"/>
  <sheetViews>
    <sheetView topLeftCell="A6" workbookViewId="0">
      <selection activeCell="B35" sqref="B35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19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1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1" x14ac:dyDescent="0.25">
      <c r="A8" s="7"/>
      <c r="B8" s="8">
        <v>45658</v>
      </c>
      <c r="C8" s="9"/>
      <c r="D8" s="10"/>
      <c r="E8" s="11"/>
      <c r="F8" s="123"/>
      <c r="G8" s="7">
        <v>274.89999999999998</v>
      </c>
      <c r="H8" s="7"/>
      <c r="I8" s="7"/>
      <c r="J8" t="s">
        <v>194</v>
      </c>
    </row>
    <row r="9" spans="1:11" x14ac:dyDescent="0.25">
      <c r="A9" s="14">
        <v>1</v>
      </c>
      <c r="B9" s="39">
        <v>45731</v>
      </c>
      <c r="C9" s="341" t="s">
        <v>187</v>
      </c>
      <c r="D9" s="14" t="s">
        <v>19</v>
      </c>
      <c r="E9" s="143"/>
      <c r="F9" s="118">
        <v>9.8000000000000007</v>
      </c>
      <c r="G9" s="124">
        <f t="shared" ref="G9:G60" si="0">+G8+E9-F9</f>
        <v>265.09999999999997</v>
      </c>
      <c r="H9" s="28"/>
      <c r="I9" s="7"/>
    </row>
    <row r="10" spans="1:11" x14ac:dyDescent="0.25">
      <c r="A10" s="14">
        <f t="shared" ref="A10:A60" si="1">+A9+1</f>
        <v>2</v>
      </c>
      <c r="B10" s="39">
        <v>45733</v>
      </c>
      <c r="C10" s="341" t="s">
        <v>187</v>
      </c>
      <c r="D10" s="14" t="s">
        <v>19</v>
      </c>
      <c r="E10" s="16"/>
      <c r="F10" s="118">
        <v>21</v>
      </c>
      <c r="G10" s="124">
        <f t="shared" si="0"/>
        <v>244.09999999999997</v>
      </c>
      <c r="H10" s="28" t="s">
        <v>129</v>
      </c>
      <c r="I10" s="7" t="s">
        <v>193</v>
      </c>
    </row>
    <row r="11" spans="1:11" x14ac:dyDescent="0.25">
      <c r="A11" s="14">
        <f t="shared" si="1"/>
        <v>3</v>
      </c>
      <c r="B11" s="39">
        <v>45734</v>
      </c>
      <c r="C11" s="341" t="s">
        <v>187</v>
      </c>
      <c r="D11" s="14" t="s">
        <v>19</v>
      </c>
      <c r="E11" s="113"/>
      <c r="F11" s="125">
        <v>28.5</v>
      </c>
      <c r="G11" s="124">
        <f t="shared" si="0"/>
        <v>215.59999999999997</v>
      </c>
      <c r="H11" s="28" t="s">
        <v>129</v>
      </c>
      <c r="I11" s="7" t="s">
        <v>193</v>
      </c>
    </row>
    <row r="12" spans="1:11" x14ac:dyDescent="0.25">
      <c r="A12" s="14">
        <f t="shared" si="1"/>
        <v>4</v>
      </c>
      <c r="B12" s="39">
        <v>45732</v>
      </c>
      <c r="C12" s="341" t="s">
        <v>187</v>
      </c>
      <c r="D12" s="14" t="s">
        <v>19</v>
      </c>
      <c r="E12" s="132"/>
      <c r="F12" s="125">
        <v>28.9</v>
      </c>
      <c r="G12" s="124">
        <f t="shared" si="0"/>
        <v>186.69999999999996</v>
      </c>
      <c r="H12" s="28" t="s">
        <v>129</v>
      </c>
      <c r="I12" s="7" t="s">
        <v>193</v>
      </c>
    </row>
    <row r="13" spans="1:11" x14ac:dyDescent="0.25">
      <c r="A13" s="14">
        <f t="shared" si="1"/>
        <v>5</v>
      </c>
      <c r="B13" s="39">
        <v>45799</v>
      </c>
      <c r="C13" s="341" t="s">
        <v>187</v>
      </c>
      <c r="D13" s="14" t="s">
        <v>19</v>
      </c>
      <c r="E13" s="126"/>
      <c r="F13" s="127">
        <v>21.9</v>
      </c>
      <c r="G13" s="124">
        <f t="shared" si="0"/>
        <v>164.79999999999995</v>
      </c>
      <c r="H13" s="28"/>
      <c r="I13" s="7"/>
    </row>
    <row r="14" spans="1:11" x14ac:dyDescent="0.25">
      <c r="A14" s="14">
        <f t="shared" si="1"/>
        <v>6</v>
      </c>
      <c r="B14" s="39">
        <v>45800</v>
      </c>
      <c r="C14" s="341" t="s">
        <v>187</v>
      </c>
      <c r="D14" s="14" t="s">
        <v>19</v>
      </c>
      <c r="E14" s="11"/>
      <c r="F14" s="127">
        <v>12.7</v>
      </c>
      <c r="G14" s="124">
        <f t="shared" si="0"/>
        <v>152.09999999999997</v>
      </c>
      <c r="H14" s="28" t="s">
        <v>129</v>
      </c>
      <c r="I14" s="7" t="s">
        <v>90</v>
      </c>
      <c r="J14" s="26"/>
      <c r="K14">
        <f>351/30</f>
        <v>11.7</v>
      </c>
    </row>
    <row r="15" spans="1:11" x14ac:dyDescent="0.25">
      <c r="A15" s="14">
        <f t="shared" si="1"/>
        <v>7</v>
      </c>
      <c r="B15" s="39">
        <v>45826</v>
      </c>
      <c r="C15" s="341" t="s">
        <v>187</v>
      </c>
      <c r="D15" s="14" t="s">
        <v>19</v>
      </c>
      <c r="E15" s="113"/>
      <c r="F15" s="125">
        <v>18</v>
      </c>
      <c r="G15" s="124">
        <f t="shared" si="0"/>
        <v>134.09999999999997</v>
      </c>
      <c r="H15" s="28" t="s">
        <v>129</v>
      </c>
      <c r="I15" s="7" t="s">
        <v>90</v>
      </c>
    </row>
    <row r="16" spans="1:11" x14ac:dyDescent="0.25">
      <c r="A16" s="14">
        <f t="shared" si="1"/>
        <v>8</v>
      </c>
      <c r="B16" s="39">
        <v>45827</v>
      </c>
      <c r="C16" s="341" t="s">
        <v>187</v>
      </c>
      <c r="D16" s="14" t="s">
        <v>19</v>
      </c>
      <c r="E16" s="129"/>
      <c r="F16" s="125">
        <v>18.600000000000001</v>
      </c>
      <c r="G16" s="124">
        <f t="shared" si="0"/>
        <v>115.49999999999997</v>
      </c>
      <c r="H16" s="28" t="s">
        <v>129</v>
      </c>
      <c r="I16" s="7" t="s">
        <v>90</v>
      </c>
      <c r="K16">
        <f>11*30+21.4</f>
        <v>351.4</v>
      </c>
    </row>
    <row r="17" spans="1:17" x14ac:dyDescent="0.25">
      <c r="A17" s="14">
        <f t="shared" si="1"/>
        <v>9</v>
      </c>
      <c r="B17" s="39">
        <v>45828</v>
      </c>
      <c r="C17" s="341" t="s">
        <v>187</v>
      </c>
      <c r="D17" s="14" t="s">
        <v>19</v>
      </c>
      <c r="E17" s="113"/>
      <c r="F17" s="130">
        <v>26.4</v>
      </c>
      <c r="G17" s="124">
        <f t="shared" si="0"/>
        <v>89.099999999999966</v>
      </c>
      <c r="H17" s="28" t="s">
        <v>129</v>
      </c>
      <c r="I17" s="7" t="s">
        <v>90</v>
      </c>
    </row>
    <row r="18" spans="1:17" x14ac:dyDescent="0.25">
      <c r="A18" s="14">
        <f t="shared" si="1"/>
        <v>10</v>
      </c>
      <c r="B18" s="39">
        <v>45829</v>
      </c>
      <c r="C18" s="341" t="s">
        <v>187</v>
      </c>
      <c r="D18" s="14" t="s">
        <v>19</v>
      </c>
      <c r="E18" s="16"/>
      <c r="F18" s="118">
        <v>16.399999999999999</v>
      </c>
      <c r="G18" s="124">
        <f t="shared" si="0"/>
        <v>72.69999999999996</v>
      </c>
      <c r="H18" s="28" t="s">
        <v>129</v>
      </c>
      <c r="I18" s="7" t="s">
        <v>90</v>
      </c>
    </row>
    <row r="19" spans="1:17" x14ac:dyDescent="0.25">
      <c r="A19" s="14">
        <f t="shared" si="1"/>
        <v>11</v>
      </c>
      <c r="B19" s="39">
        <v>45857</v>
      </c>
      <c r="C19" s="341" t="s">
        <v>187</v>
      </c>
      <c r="D19" s="14" t="s">
        <v>19</v>
      </c>
      <c r="E19" s="113"/>
      <c r="F19" s="118">
        <v>1.4</v>
      </c>
      <c r="G19" s="131">
        <f t="shared" si="0"/>
        <v>71.299999999999955</v>
      </c>
      <c r="H19" s="28" t="s">
        <v>129</v>
      </c>
      <c r="I19" s="7" t="s">
        <v>90</v>
      </c>
    </row>
    <row r="20" spans="1:17" x14ac:dyDescent="0.25">
      <c r="A20" s="14">
        <f t="shared" si="1"/>
        <v>12</v>
      </c>
      <c r="B20" s="39">
        <v>45859</v>
      </c>
      <c r="C20" s="341" t="s">
        <v>187</v>
      </c>
      <c r="D20" s="14" t="s">
        <v>19</v>
      </c>
      <c r="E20" s="16"/>
      <c r="F20" s="118">
        <v>0.5</v>
      </c>
      <c r="G20" s="131">
        <f t="shared" si="0"/>
        <v>70.799999999999955</v>
      </c>
      <c r="H20" s="28" t="s">
        <v>129</v>
      </c>
      <c r="I20" s="7" t="s">
        <v>90</v>
      </c>
    </row>
    <row r="21" spans="1:17" x14ac:dyDescent="0.25">
      <c r="A21" s="14">
        <f t="shared" si="1"/>
        <v>13</v>
      </c>
      <c r="B21" s="39">
        <v>45874</v>
      </c>
      <c r="C21" s="341" t="s">
        <v>187</v>
      </c>
      <c r="D21" s="14" t="s">
        <v>19</v>
      </c>
      <c r="E21" s="113"/>
      <c r="F21" s="118">
        <v>18</v>
      </c>
      <c r="G21" s="131">
        <f t="shared" si="0"/>
        <v>52.799999999999955</v>
      </c>
      <c r="H21" s="28" t="s">
        <v>129</v>
      </c>
      <c r="I21" s="7" t="s">
        <v>90</v>
      </c>
    </row>
    <row r="22" spans="1:17" x14ac:dyDescent="0.25">
      <c r="A22" s="14">
        <f t="shared" si="1"/>
        <v>14</v>
      </c>
      <c r="B22" s="39">
        <v>45875</v>
      </c>
      <c r="C22" s="341" t="s">
        <v>187</v>
      </c>
      <c r="D22" s="14" t="s">
        <v>19</v>
      </c>
      <c r="E22" s="16"/>
      <c r="F22" s="118">
        <v>7</v>
      </c>
      <c r="G22" s="131">
        <f t="shared" si="0"/>
        <v>45.799999999999955</v>
      </c>
      <c r="H22" s="28" t="s">
        <v>129</v>
      </c>
      <c r="I22" s="7" t="s">
        <v>90</v>
      </c>
    </row>
    <row r="23" spans="1:17" x14ac:dyDescent="0.25">
      <c r="A23" s="14">
        <f t="shared" si="1"/>
        <v>15</v>
      </c>
      <c r="B23" s="39">
        <v>45876</v>
      </c>
      <c r="C23" s="341" t="s">
        <v>187</v>
      </c>
      <c r="D23" s="14" t="s">
        <v>19</v>
      </c>
      <c r="E23" s="16"/>
      <c r="F23" s="118">
        <v>8</v>
      </c>
      <c r="G23" s="131">
        <f t="shared" si="0"/>
        <v>37.799999999999955</v>
      </c>
      <c r="H23" s="28"/>
      <c r="I23" s="29"/>
      <c r="L23">
        <f>32+6+6</f>
        <v>44</v>
      </c>
    </row>
    <row r="24" spans="1:17" x14ac:dyDescent="0.25">
      <c r="A24" s="14">
        <f t="shared" si="1"/>
        <v>16</v>
      </c>
      <c r="B24" s="39">
        <v>45877</v>
      </c>
      <c r="C24" s="341" t="s">
        <v>187</v>
      </c>
      <c r="D24" s="14" t="s">
        <v>19</v>
      </c>
      <c r="E24" s="16"/>
      <c r="F24" s="118">
        <v>21.1</v>
      </c>
      <c r="G24" s="131">
        <f t="shared" si="0"/>
        <v>16.699999999999953</v>
      </c>
      <c r="H24" s="28" t="s">
        <v>129</v>
      </c>
      <c r="I24" s="7" t="s">
        <v>90</v>
      </c>
      <c r="L24">
        <f>+L23*10+6</f>
        <v>446</v>
      </c>
    </row>
    <row r="25" spans="1:17" x14ac:dyDescent="0.25">
      <c r="A25" s="14">
        <f t="shared" si="1"/>
        <v>17</v>
      </c>
      <c r="B25" s="39">
        <v>45878</v>
      </c>
      <c r="C25" s="341" t="s">
        <v>187</v>
      </c>
      <c r="D25" s="14" t="s">
        <v>19</v>
      </c>
      <c r="E25" s="16"/>
      <c r="F25" s="118">
        <v>12.3</v>
      </c>
      <c r="G25" s="131">
        <f t="shared" si="0"/>
        <v>4.3999999999999524</v>
      </c>
      <c r="H25" s="28" t="s">
        <v>129</v>
      </c>
      <c r="I25" s="7" t="s">
        <v>90</v>
      </c>
      <c r="L25">
        <f>+(1/37)*446</f>
        <v>12.054054054054054</v>
      </c>
    </row>
    <row r="26" spans="1:17" x14ac:dyDescent="0.25">
      <c r="A26" s="14">
        <f t="shared" si="1"/>
        <v>18</v>
      </c>
      <c r="B26" s="39">
        <v>45880</v>
      </c>
      <c r="C26" s="341" t="s">
        <v>187</v>
      </c>
      <c r="D26" s="14" t="s">
        <v>19</v>
      </c>
      <c r="E26" s="16"/>
      <c r="F26" s="118">
        <v>5.3</v>
      </c>
      <c r="G26" s="131">
        <f t="shared" si="0"/>
        <v>-0.90000000000004743</v>
      </c>
      <c r="H26" s="28" t="s">
        <v>129</v>
      </c>
      <c r="I26" s="7" t="s">
        <v>90</v>
      </c>
    </row>
    <row r="27" spans="1:17" x14ac:dyDescent="0.25">
      <c r="A27" s="14">
        <f t="shared" si="1"/>
        <v>19</v>
      </c>
      <c r="B27" s="8">
        <v>45910</v>
      </c>
      <c r="C27" s="341" t="s">
        <v>187</v>
      </c>
      <c r="D27" s="14" t="s">
        <v>19</v>
      </c>
      <c r="E27" s="16">
        <v>448</v>
      </c>
      <c r="F27" s="118"/>
      <c r="G27" s="131">
        <f t="shared" si="0"/>
        <v>447.09999999999997</v>
      </c>
      <c r="H27" s="28" t="s">
        <v>129</v>
      </c>
      <c r="I27" s="7" t="s">
        <v>90</v>
      </c>
    </row>
    <row r="28" spans="1:17" x14ac:dyDescent="0.25">
      <c r="A28" s="14">
        <f t="shared" si="1"/>
        <v>20</v>
      </c>
      <c r="B28" s="8">
        <v>45911</v>
      </c>
      <c r="C28" s="341" t="s">
        <v>187</v>
      </c>
      <c r="D28" s="14" t="s">
        <v>19</v>
      </c>
      <c r="E28" s="16"/>
      <c r="F28" s="118">
        <v>15</v>
      </c>
      <c r="G28" s="131">
        <f t="shared" si="0"/>
        <v>432.09999999999997</v>
      </c>
      <c r="H28" s="28" t="s">
        <v>129</v>
      </c>
      <c r="I28" s="7" t="s">
        <v>90</v>
      </c>
    </row>
    <row r="29" spans="1:17" x14ac:dyDescent="0.25">
      <c r="A29" s="14">
        <f t="shared" si="1"/>
        <v>21</v>
      </c>
      <c r="B29" s="8">
        <v>45912</v>
      </c>
      <c r="C29" s="341" t="s">
        <v>187</v>
      </c>
      <c r="D29" s="14" t="s">
        <v>19</v>
      </c>
      <c r="E29" s="16"/>
      <c r="F29" s="118">
        <v>18.5</v>
      </c>
      <c r="G29" s="131">
        <f t="shared" si="0"/>
        <v>413.59999999999997</v>
      </c>
      <c r="H29" s="28" t="s">
        <v>129</v>
      </c>
      <c r="I29" s="7" t="s">
        <v>90</v>
      </c>
    </row>
    <row r="30" spans="1:17" x14ac:dyDescent="0.25">
      <c r="A30" s="14">
        <f t="shared" si="1"/>
        <v>22</v>
      </c>
      <c r="B30" s="8">
        <v>45913</v>
      </c>
      <c r="C30" s="341" t="s">
        <v>187</v>
      </c>
      <c r="D30" s="14" t="s">
        <v>19</v>
      </c>
      <c r="E30" s="16"/>
      <c r="F30" s="118">
        <v>21</v>
      </c>
      <c r="G30" s="131">
        <f t="shared" si="0"/>
        <v>392.59999999999997</v>
      </c>
      <c r="H30" s="28" t="s">
        <v>129</v>
      </c>
      <c r="I30" s="7" t="s">
        <v>90</v>
      </c>
      <c r="Q30">
        <f>70.8*50</f>
        <v>3540</v>
      </c>
    </row>
    <row r="31" spans="1:17" x14ac:dyDescent="0.25">
      <c r="A31" s="14">
        <f t="shared" si="1"/>
        <v>23</v>
      </c>
      <c r="B31" s="8">
        <v>45915</v>
      </c>
      <c r="C31" s="341" t="s">
        <v>187</v>
      </c>
      <c r="D31" s="14" t="s">
        <v>19</v>
      </c>
      <c r="E31" s="16"/>
      <c r="F31" s="118">
        <v>21.5</v>
      </c>
      <c r="G31" s="131">
        <f t="shared" si="0"/>
        <v>371.09999999999997</v>
      </c>
      <c r="H31" s="28" t="s">
        <v>129</v>
      </c>
      <c r="I31" s="7" t="s">
        <v>90</v>
      </c>
    </row>
    <row r="32" spans="1:17" x14ac:dyDescent="0.25">
      <c r="A32" s="14">
        <f t="shared" si="1"/>
        <v>24</v>
      </c>
      <c r="B32" s="8">
        <v>45917</v>
      </c>
      <c r="C32" s="341" t="s">
        <v>250</v>
      </c>
      <c r="D32" s="14" t="s">
        <v>19</v>
      </c>
      <c r="E32" s="16"/>
      <c r="F32" s="118">
        <v>16.5</v>
      </c>
      <c r="G32" s="131">
        <f t="shared" si="0"/>
        <v>354.59999999999997</v>
      </c>
      <c r="H32" s="28" t="s">
        <v>129</v>
      </c>
      <c r="I32" s="7" t="s">
        <v>90</v>
      </c>
    </row>
    <row r="33" spans="1:12" x14ac:dyDescent="0.25">
      <c r="A33" s="14">
        <f t="shared" si="1"/>
        <v>25</v>
      </c>
      <c r="B33" s="8">
        <v>45918</v>
      </c>
      <c r="C33" s="341" t="s">
        <v>251</v>
      </c>
      <c r="D33" s="14" t="s">
        <v>19</v>
      </c>
      <c r="E33" s="16"/>
      <c r="F33" s="118">
        <v>5.0999999999999996</v>
      </c>
      <c r="G33" s="131">
        <f t="shared" si="0"/>
        <v>349.49999999999994</v>
      </c>
      <c r="H33" s="28" t="s">
        <v>129</v>
      </c>
      <c r="I33" s="7" t="s">
        <v>90</v>
      </c>
    </row>
    <row r="34" spans="1:12" x14ac:dyDescent="0.25">
      <c r="A34" s="14">
        <f t="shared" si="1"/>
        <v>26</v>
      </c>
      <c r="B34" s="8">
        <v>45924</v>
      </c>
      <c r="C34" s="341" t="s">
        <v>251</v>
      </c>
      <c r="D34" s="14" t="s">
        <v>19</v>
      </c>
      <c r="E34" s="16"/>
      <c r="F34" s="118">
        <v>7.6</v>
      </c>
      <c r="G34" s="131">
        <f t="shared" si="0"/>
        <v>341.89999999999992</v>
      </c>
      <c r="H34" s="28" t="s">
        <v>129</v>
      </c>
      <c r="I34" s="7" t="s">
        <v>90</v>
      </c>
      <c r="L34">
        <f>+(1/37)*12</f>
        <v>0.32432432432432434</v>
      </c>
    </row>
    <row r="35" spans="1:12" x14ac:dyDescent="0.25">
      <c r="A35" s="14">
        <f t="shared" si="1"/>
        <v>27</v>
      </c>
      <c r="B35" s="8"/>
      <c r="C35" s="341" t="s">
        <v>251</v>
      </c>
      <c r="D35" s="14" t="s">
        <v>19</v>
      </c>
      <c r="E35" s="16"/>
      <c r="F35" s="118"/>
      <c r="G35" s="131">
        <f t="shared" si="0"/>
        <v>341.89999999999992</v>
      </c>
      <c r="H35" s="28" t="s">
        <v>129</v>
      </c>
      <c r="I35" s="7" t="s">
        <v>90</v>
      </c>
    </row>
    <row r="36" spans="1:12" x14ac:dyDescent="0.25">
      <c r="A36" s="14">
        <f t="shared" si="1"/>
        <v>28</v>
      </c>
      <c r="B36" s="8"/>
      <c r="C36" s="341" t="s">
        <v>251</v>
      </c>
      <c r="D36" s="14" t="s">
        <v>19</v>
      </c>
      <c r="E36" s="16"/>
      <c r="F36" s="118"/>
      <c r="G36" s="131">
        <f t="shared" si="0"/>
        <v>341.89999999999992</v>
      </c>
      <c r="H36" s="28" t="s">
        <v>129</v>
      </c>
      <c r="I36" s="7" t="s">
        <v>90</v>
      </c>
    </row>
    <row r="37" spans="1:12" x14ac:dyDescent="0.25">
      <c r="A37" s="14">
        <f t="shared" si="1"/>
        <v>29</v>
      </c>
      <c r="B37" s="8"/>
      <c r="C37" s="341" t="s">
        <v>251</v>
      </c>
      <c r="D37" s="14" t="s">
        <v>19</v>
      </c>
      <c r="E37" s="16"/>
      <c r="F37" s="118"/>
      <c r="G37" s="131">
        <f t="shared" si="0"/>
        <v>341.89999999999992</v>
      </c>
      <c r="H37" s="28" t="s">
        <v>129</v>
      </c>
      <c r="I37" s="7" t="s">
        <v>90</v>
      </c>
    </row>
    <row r="38" spans="1:12" x14ac:dyDescent="0.25">
      <c r="A38" s="14">
        <f t="shared" si="1"/>
        <v>30</v>
      </c>
      <c r="B38" s="8"/>
      <c r="C38" s="341" t="s">
        <v>251</v>
      </c>
      <c r="D38" s="14" t="s">
        <v>19</v>
      </c>
      <c r="E38" s="16"/>
      <c r="F38" s="118"/>
      <c r="G38" s="131">
        <f t="shared" si="0"/>
        <v>341.89999999999992</v>
      </c>
      <c r="H38" s="28" t="s">
        <v>129</v>
      </c>
      <c r="I38" s="7" t="s">
        <v>90</v>
      </c>
    </row>
    <row r="39" spans="1:12" x14ac:dyDescent="0.25">
      <c r="A39" s="14">
        <f t="shared" si="1"/>
        <v>31</v>
      </c>
      <c r="B39" s="8"/>
      <c r="C39" s="341" t="s">
        <v>251</v>
      </c>
      <c r="D39" s="14" t="s">
        <v>19</v>
      </c>
      <c r="E39" s="16"/>
      <c r="F39" s="118"/>
      <c r="G39" s="131">
        <f t="shared" si="0"/>
        <v>341.89999999999992</v>
      </c>
      <c r="H39" s="28" t="s">
        <v>129</v>
      </c>
      <c r="I39" s="7" t="s">
        <v>90</v>
      </c>
    </row>
    <row r="40" spans="1:12" x14ac:dyDescent="0.25">
      <c r="A40" s="14"/>
      <c r="B40" s="8"/>
      <c r="C40" s="341" t="s">
        <v>251</v>
      </c>
      <c r="D40" s="14" t="s">
        <v>19</v>
      </c>
      <c r="E40" s="16"/>
      <c r="F40" s="118"/>
      <c r="G40" s="131">
        <f t="shared" si="0"/>
        <v>341.89999999999992</v>
      </c>
      <c r="H40" s="28" t="s">
        <v>129</v>
      </c>
      <c r="I40" s="7" t="s">
        <v>90</v>
      </c>
    </row>
    <row r="41" spans="1:12" x14ac:dyDescent="0.25">
      <c r="A41" s="14">
        <f>+A39+1</f>
        <v>32</v>
      </c>
      <c r="B41" s="8"/>
      <c r="C41" s="341" t="s">
        <v>251</v>
      </c>
      <c r="D41" s="14" t="s">
        <v>19</v>
      </c>
      <c r="E41" s="16"/>
      <c r="F41" s="118"/>
      <c r="G41" s="131">
        <f t="shared" si="0"/>
        <v>341.89999999999992</v>
      </c>
      <c r="H41" s="28" t="s">
        <v>129</v>
      </c>
      <c r="I41" s="7" t="s">
        <v>90</v>
      </c>
    </row>
    <row r="42" spans="1:12" x14ac:dyDescent="0.25">
      <c r="A42" s="14">
        <f t="shared" si="1"/>
        <v>33</v>
      </c>
      <c r="B42" s="8"/>
      <c r="C42" s="341" t="s">
        <v>251</v>
      </c>
      <c r="D42" s="14" t="s">
        <v>19</v>
      </c>
      <c r="E42" s="16"/>
      <c r="F42" s="118"/>
      <c r="G42" s="131">
        <f t="shared" si="0"/>
        <v>341.89999999999992</v>
      </c>
      <c r="H42" s="28" t="s">
        <v>129</v>
      </c>
      <c r="I42" s="7" t="s">
        <v>90</v>
      </c>
    </row>
    <row r="43" spans="1:12" x14ac:dyDescent="0.25">
      <c r="A43" s="14">
        <f t="shared" si="1"/>
        <v>34</v>
      </c>
      <c r="B43" s="8"/>
      <c r="C43" s="341" t="s">
        <v>310</v>
      </c>
      <c r="D43" s="14" t="s">
        <v>19</v>
      </c>
      <c r="E43" s="16"/>
      <c r="F43" s="118"/>
      <c r="G43" s="131">
        <f t="shared" si="0"/>
        <v>341.89999999999992</v>
      </c>
      <c r="H43" s="28" t="s">
        <v>129</v>
      </c>
      <c r="I43" s="7" t="s">
        <v>90</v>
      </c>
    </row>
    <row r="44" spans="1:12" x14ac:dyDescent="0.25">
      <c r="A44" s="14">
        <f t="shared" si="1"/>
        <v>35</v>
      </c>
      <c r="B44" s="8"/>
      <c r="C44" s="341" t="s">
        <v>311</v>
      </c>
      <c r="D44" s="14" t="s">
        <v>19</v>
      </c>
      <c r="E44" s="16"/>
      <c r="F44" s="118"/>
      <c r="G44" s="131">
        <f t="shared" si="0"/>
        <v>341.89999999999992</v>
      </c>
      <c r="H44" s="28" t="s">
        <v>129</v>
      </c>
      <c r="I44" s="7" t="s">
        <v>90</v>
      </c>
    </row>
    <row r="45" spans="1:12" x14ac:dyDescent="0.25">
      <c r="A45" s="14">
        <f t="shared" si="1"/>
        <v>36</v>
      </c>
      <c r="B45" s="44"/>
      <c r="C45" s="341" t="s">
        <v>312</v>
      </c>
      <c r="D45" s="14" t="s">
        <v>19</v>
      </c>
      <c r="E45" s="16"/>
      <c r="F45" s="118"/>
      <c r="G45" s="131">
        <f t="shared" si="0"/>
        <v>341.89999999999992</v>
      </c>
      <c r="H45" s="28" t="s">
        <v>129</v>
      </c>
      <c r="I45" s="7" t="s">
        <v>90</v>
      </c>
    </row>
    <row r="46" spans="1:12" x14ac:dyDescent="0.25">
      <c r="A46" s="14">
        <f t="shared" si="1"/>
        <v>37</v>
      </c>
      <c r="B46" s="44"/>
      <c r="C46" s="341" t="s">
        <v>313</v>
      </c>
      <c r="D46" s="14" t="s">
        <v>19</v>
      </c>
      <c r="E46" s="132"/>
      <c r="F46" s="118"/>
      <c r="G46" s="131">
        <f t="shared" si="0"/>
        <v>341.89999999999992</v>
      </c>
      <c r="H46" s="28" t="s">
        <v>129</v>
      </c>
      <c r="I46" s="7" t="s">
        <v>90</v>
      </c>
    </row>
    <row r="47" spans="1:12" x14ac:dyDescent="0.25">
      <c r="A47" s="14">
        <f t="shared" si="1"/>
        <v>38</v>
      </c>
      <c r="B47" s="8"/>
      <c r="C47" s="341" t="s">
        <v>314</v>
      </c>
      <c r="D47" s="14" t="s">
        <v>19</v>
      </c>
      <c r="E47" s="16"/>
      <c r="F47" s="118"/>
      <c r="G47" s="131">
        <f t="shared" si="0"/>
        <v>341.89999999999992</v>
      </c>
      <c r="H47" s="28" t="s">
        <v>129</v>
      </c>
      <c r="I47" s="7" t="s">
        <v>90</v>
      </c>
    </row>
    <row r="48" spans="1:12" x14ac:dyDescent="0.25">
      <c r="A48" s="14">
        <f t="shared" si="1"/>
        <v>39</v>
      </c>
      <c r="B48" s="8"/>
      <c r="C48" s="341" t="s">
        <v>315</v>
      </c>
      <c r="D48" s="14" t="s">
        <v>19</v>
      </c>
      <c r="E48" s="16"/>
      <c r="F48" s="118"/>
      <c r="G48" s="131">
        <f t="shared" si="0"/>
        <v>341.89999999999992</v>
      </c>
      <c r="H48" s="28" t="s">
        <v>129</v>
      </c>
      <c r="I48" s="7" t="s">
        <v>90</v>
      </c>
    </row>
    <row r="49" spans="1:9" x14ac:dyDescent="0.25">
      <c r="A49" s="14">
        <f t="shared" si="1"/>
        <v>40</v>
      </c>
      <c r="B49" s="8"/>
      <c r="C49" s="341" t="s">
        <v>316</v>
      </c>
      <c r="D49" s="14" t="s">
        <v>19</v>
      </c>
      <c r="E49" s="16"/>
      <c r="F49" s="118"/>
      <c r="G49" s="131">
        <f t="shared" si="0"/>
        <v>341.89999999999992</v>
      </c>
      <c r="H49" s="28" t="s">
        <v>129</v>
      </c>
      <c r="I49" s="7" t="s">
        <v>90</v>
      </c>
    </row>
    <row r="50" spans="1:9" x14ac:dyDescent="0.25">
      <c r="A50" s="14">
        <f t="shared" si="1"/>
        <v>41</v>
      </c>
      <c r="B50" s="8"/>
      <c r="C50" s="341"/>
      <c r="D50" s="14"/>
      <c r="E50" s="16"/>
      <c r="F50" s="118"/>
      <c r="G50" s="131">
        <f t="shared" si="0"/>
        <v>341.89999999999992</v>
      </c>
      <c r="H50" s="28"/>
      <c r="I50" s="29"/>
    </row>
    <row r="51" spans="1:9" x14ac:dyDescent="0.25">
      <c r="A51" s="14">
        <f t="shared" si="1"/>
        <v>42</v>
      </c>
      <c r="B51" s="8"/>
      <c r="C51" s="341"/>
      <c r="D51" s="14"/>
      <c r="E51" s="16"/>
      <c r="F51" s="118"/>
      <c r="G51" s="131">
        <f t="shared" si="0"/>
        <v>341.89999999999992</v>
      </c>
      <c r="H51" s="28"/>
      <c r="I51" s="29"/>
    </row>
    <row r="52" spans="1:9" x14ac:dyDescent="0.25">
      <c r="A52" s="14">
        <f t="shared" si="1"/>
        <v>43</v>
      </c>
      <c r="B52" s="8"/>
      <c r="C52" s="341"/>
      <c r="D52" s="14"/>
      <c r="E52" s="16"/>
      <c r="F52" s="118"/>
      <c r="G52" s="131">
        <f t="shared" si="0"/>
        <v>341.89999999999992</v>
      </c>
      <c r="H52" s="28"/>
      <c r="I52" s="29"/>
    </row>
    <row r="53" spans="1:9" x14ac:dyDescent="0.25">
      <c r="A53" s="14">
        <f t="shared" si="1"/>
        <v>44</v>
      </c>
      <c r="B53" s="8"/>
      <c r="C53" s="341"/>
      <c r="D53" s="14"/>
      <c r="E53" s="16"/>
      <c r="F53" s="118"/>
      <c r="G53" s="131">
        <f t="shared" si="0"/>
        <v>341.89999999999992</v>
      </c>
      <c r="H53" s="28"/>
      <c r="I53" s="29"/>
    </row>
    <row r="54" spans="1:9" x14ac:dyDescent="0.25">
      <c r="A54" s="14">
        <f t="shared" si="1"/>
        <v>45</v>
      </c>
      <c r="B54" s="8"/>
      <c r="C54" s="341"/>
      <c r="D54" s="14"/>
      <c r="E54" s="16"/>
      <c r="F54" s="118"/>
      <c r="G54" s="131">
        <f t="shared" si="0"/>
        <v>341.89999999999992</v>
      </c>
      <c r="H54" s="28"/>
      <c r="I54" s="29"/>
    </row>
    <row r="55" spans="1:9" x14ac:dyDescent="0.25">
      <c r="A55" s="14">
        <f t="shared" si="1"/>
        <v>46</v>
      </c>
      <c r="B55" s="8"/>
      <c r="C55" s="341"/>
      <c r="D55" s="14"/>
      <c r="E55" s="16"/>
      <c r="F55" s="118"/>
      <c r="G55" s="131">
        <f t="shared" si="0"/>
        <v>341.89999999999992</v>
      </c>
      <c r="H55" s="28"/>
      <c r="I55" s="29"/>
    </row>
    <row r="56" spans="1:9" x14ac:dyDescent="0.25">
      <c r="A56" s="14">
        <f t="shared" si="1"/>
        <v>47</v>
      </c>
      <c r="B56" s="8"/>
      <c r="C56" s="15"/>
      <c r="D56" s="14"/>
      <c r="E56" s="16"/>
      <c r="F56" s="118"/>
      <c r="G56" s="131">
        <f t="shared" si="0"/>
        <v>341.89999999999992</v>
      </c>
      <c r="H56" s="28"/>
      <c r="I56" s="29"/>
    </row>
    <row r="57" spans="1:9" x14ac:dyDescent="0.25">
      <c r="A57" s="14">
        <f t="shared" si="1"/>
        <v>48</v>
      </c>
      <c r="B57" s="8"/>
      <c r="C57" s="15"/>
      <c r="D57" s="14"/>
      <c r="E57" s="16"/>
      <c r="F57" s="118"/>
      <c r="G57" s="131">
        <f t="shared" si="0"/>
        <v>341.89999999999992</v>
      </c>
      <c r="H57" s="28"/>
      <c r="I57" s="29"/>
    </row>
    <row r="58" spans="1:9" x14ac:dyDescent="0.25">
      <c r="A58" s="14">
        <f t="shared" si="1"/>
        <v>49</v>
      </c>
      <c r="B58" s="37"/>
      <c r="C58" s="15"/>
      <c r="D58" s="133"/>
      <c r="E58" s="16"/>
      <c r="F58" s="118"/>
      <c r="G58" s="131">
        <f t="shared" si="0"/>
        <v>341.89999999999992</v>
      </c>
      <c r="H58" s="28"/>
      <c r="I58" s="29"/>
    </row>
    <row r="59" spans="1:9" x14ac:dyDescent="0.25">
      <c r="A59" s="14">
        <f t="shared" si="1"/>
        <v>50</v>
      </c>
      <c r="B59" s="8"/>
      <c r="C59" s="15"/>
      <c r="D59" s="133"/>
      <c r="E59" s="30"/>
      <c r="F59" s="118"/>
      <c r="G59" s="131">
        <f t="shared" si="0"/>
        <v>341.89999999999992</v>
      </c>
      <c r="H59" s="28"/>
      <c r="I59" s="29"/>
    </row>
    <row r="60" spans="1:9" x14ac:dyDescent="0.25">
      <c r="A60" s="14">
        <f t="shared" si="1"/>
        <v>51</v>
      </c>
      <c r="B60" s="37"/>
      <c r="C60" s="15"/>
      <c r="D60" s="133"/>
      <c r="E60" s="16"/>
      <c r="F60" s="118"/>
      <c r="G60" s="131">
        <f t="shared" si="0"/>
        <v>341.89999999999992</v>
      </c>
      <c r="H60" s="28"/>
      <c r="I60" s="29"/>
    </row>
    <row r="61" spans="1:9" x14ac:dyDescent="0.25">
      <c r="A61" s="7"/>
      <c r="B61" s="7"/>
      <c r="C61" s="34" t="s">
        <v>13</v>
      </c>
      <c r="D61" s="7"/>
      <c r="E61" s="36">
        <f>SUM(E9:E60)</f>
        <v>448</v>
      </c>
      <c r="F61" s="121">
        <f>SUM(F9:F60)</f>
        <v>381.00000000000011</v>
      </c>
      <c r="G61" s="36">
        <f>+E61-F61+G8</f>
        <v>341.89999999999986</v>
      </c>
      <c r="H61" s="35"/>
      <c r="I61" s="36"/>
    </row>
  </sheetData>
  <phoneticPr fontId="3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1D6B-A937-4D83-BC81-40852874022B}">
  <sheetPr codeName="Sheet34"/>
  <dimension ref="A1:P62"/>
  <sheetViews>
    <sheetView workbookViewId="0">
      <selection activeCell="B16" sqref="B16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.28515625" customWidth="1"/>
    <col min="8" max="8" width="20.7109375" customWidth="1"/>
    <col min="9" max="9" width="19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2" t="str">
        <f>+'[1]Nilong NKCB'!A4:I5</f>
        <v>THẺ KHO NGUYÊN VẬT LIỆU</v>
      </c>
      <c r="B4" s="2"/>
      <c r="C4" s="2"/>
      <c r="D4" s="2"/>
      <c r="E4" s="2"/>
      <c r="F4" s="111"/>
      <c r="G4" s="2"/>
      <c r="H4" s="2"/>
      <c r="I4" s="2"/>
    </row>
    <row r="5" spans="1:11" x14ac:dyDescent="0.25">
      <c r="A5" s="2"/>
      <c r="B5" s="2"/>
      <c r="C5" s="2"/>
      <c r="D5" s="2"/>
      <c r="E5" s="2"/>
      <c r="F5" s="111"/>
      <c r="G5" s="2"/>
      <c r="H5" s="2"/>
      <c r="I5" s="2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1" x14ac:dyDescent="0.25">
      <c r="A8" s="7"/>
      <c r="B8" s="8">
        <v>45658</v>
      </c>
      <c r="C8" s="9"/>
      <c r="D8" s="10"/>
      <c r="E8" s="11"/>
      <c r="F8" s="123"/>
      <c r="G8" s="7">
        <v>250.3</v>
      </c>
      <c r="H8" s="7"/>
      <c r="I8" s="7"/>
      <c r="J8" t="s">
        <v>194</v>
      </c>
    </row>
    <row r="9" spans="1:11" x14ac:dyDescent="0.25">
      <c r="A9" s="14">
        <v>1</v>
      </c>
      <c r="B9" s="39">
        <v>45693</v>
      </c>
      <c r="C9" s="341" t="s">
        <v>333</v>
      </c>
      <c r="D9" s="14" t="s">
        <v>19</v>
      </c>
      <c r="E9" s="143"/>
      <c r="F9" s="118">
        <v>7.4</v>
      </c>
      <c r="G9" s="124">
        <f t="shared" ref="G9:G61" si="0">+G8+E9-F9</f>
        <v>242.9</v>
      </c>
      <c r="H9" s="28"/>
      <c r="I9" s="7"/>
    </row>
    <row r="10" spans="1:11" x14ac:dyDescent="0.25">
      <c r="A10" s="14">
        <f t="shared" ref="A10:A61" si="1">+A9+1</f>
        <v>2</v>
      </c>
      <c r="B10" s="39">
        <v>45694</v>
      </c>
      <c r="C10" s="341"/>
      <c r="D10" s="14" t="s">
        <v>19</v>
      </c>
      <c r="E10" s="16"/>
      <c r="F10" s="118">
        <v>10</v>
      </c>
      <c r="G10" s="124">
        <f t="shared" si="0"/>
        <v>232.9</v>
      </c>
      <c r="H10" s="28" t="s">
        <v>129</v>
      </c>
      <c r="I10" s="7" t="s">
        <v>193</v>
      </c>
    </row>
    <row r="11" spans="1:11" x14ac:dyDescent="0.25">
      <c r="A11" s="14">
        <f t="shared" si="1"/>
        <v>3</v>
      </c>
      <c r="B11" s="39">
        <v>45719</v>
      </c>
      <c r="C11" s="341"/>
      <c r="D11" s="14" t="s">
        <v>19</v>
      </c>
      <c r="E11" s="113">
        <v>7.6</v>
      </c>
      <c r="F11" s="125">
        <v>11</v>
      </c>
      <c r="G11" s="124">
        <f t="shared" si="0"/>
        <v>229.5</v>
      </c>
      <c r="H11" s="28" t="s">
        <v>129</v>
      </c>
      <c r="I11" s="7" t="s">
        <v>193</v>
      </c>
    </row>
    <row r="12" spans="1:11" x14ac:dyDescent="0.25">
      <c r="A12" s="14">
        <f t="shared" si="1"/>
        <v>4</v>
      </c>
      <c r="B12" s="39">
        <v>45720</v>
      </c>
      <c r="C12" s="341"/>
      <c r="D12" s="14" t="s">
        <v>19</v>
      </c>
      <c r="E12" s="132"/>
      <c r="F12" s="125">
        <v>11.4</v>
      </c>
      <c r="G12" s="124">
        <f t="shared" si="0"/>
        <v>218.1</v>
      </c>
      <c r="H12" s="28" t="s">
        <v>129</v>
      </c>
      <c r="I12" s="7" t="s">
        <v>193</v>
      </c>
    </row>
    <row r="13" spans="1:11" x14ac:dyDescent="0.25">
      <c r="A13" s="14">
        <f t="shared" si="1"/>
        <v>5</v>
      </c>
      <c r="B13" s="39">
        <v>45721</v>
      </c>
      <c r="C13" s="341"/>
      <c r="D13" s="14" t="s">
        <v>19</v>
      </c>
      <c r="E13" s="126"/>
      <c r="F13" s="127">
        <v>17.5</v>
      </c>
      <c r="G13" s="124">
        <f t="shared" si="0"/>
        <v>200.6</v>
      </c>
      <c r="H13" s="28"/>
      <c r="I13" s="7"/>
    </row>
    <row r="14" spans="1:11" x14ac:dyDescent="0.25">
      <c r="A14" s="14">
        <f t="shared" si="1"/>
        <v>6</v>
      </c>
      <c r="B14" s="39">
        <v>45818</v>
      </c>
      <c r="C14" s="341"/>
      <c r="D14" s="14" t="s">
        <v>19</v>
      </c>
      <c r="E14" s="11"/>
      <c r="F14" s="127">
        <v>10.6</v>
      </c>
      <c r="G14" s="124">
        <f t="shared" si="0"/>
        <v>190</v>
      </c>
      <c r="H14" s="28" t="s">
        <v>129</v>
      </c>
      <c r="I14" s="7" t="s">
        <v>90</v>
      </c>
      <c r="J14" s="26"/>
      <c r="K14">
        <f>351/30</f>
        <v>11.7</v>
      </c>
    </row>
    <row r="15" spans="1:11" x14ac:dyDescent="0.25">
      <c r="A15" s="14">
        <f t="shared" si="1"/>
        <v>7</v>
      </c>
      <c r="B15" s="39">
        <v>45819</v>
      </c>
      <c r="C15" s="341"/>
      <c r="D15" s="14" t="s">
        <v>19</v>
      </c>
      <c r="E15" s="113"/>
      <c r="F15" s="125">
        <v>21.9</v>
      </c>
      <c r="G15" s="124">
        <f t="shared" si="0"/>
        <v>168.1</v>
      </c>
      <c r="H15" s="28" t="s">
        <v>129</v>
      </c>
      <c r="I15" s="7" t="s">
        <v>90</v>
      </c>
    </row>
    <row r="16" spans="1:11" x14ac:dyDescent="0.25">
      <c r="A16" s="14">
        <f t="shared" si="1"/>
        <v>8</v>
      </c>
      <c r="B16" s="39">
        <v>45919</v>
      </c>
      <c r="C16" s="341"/>
      <c r="D16" s="14" t="s">
        <v>19</v>
      </c>
      <c r="E16" s="113"/>
      <c r="F16" s="125">
        <v>13</v>
      </c>
      <c r="G16" s="124">
        <f t="shared" si="0"/>
        <v>155.1</v>
      </c>
      <c r="H16" s="28"/>
      <c r="I16" s="7"/>
    </row>
    <row r="17" spans="1:16" x14ac:dyDescent="0.25">
      <c r="A17" s="14">
        <f t="shared" si="1"/>
        <v>9</v>
      </c>
      <c r="B17" s="39">
        <v>45920</v>
      </c>
      <c r="C17" s="341"/>
      <c r="D17" s="14" t="s">
        <v>19</v>
      </c>
      <c r="E17" s="129"/>
      <c r="F17" s="125">
        <v>16.100000000000001</v>
      </c>
      <c r="G17" s="124">
        <f t="shared" si="0"/>
        <v>139</v>
      </c>
      <c r="H17" s="28" t="s">
        <v>129</v>
      </c>
      <c r="I17" s="7" t="s">
        <v>90</v>
      </c>
      <c r="K17">
        <f>11*30+21.4</f>
        <v>351.4</v>
      </c>
    </row>
    <row r="18" spans="1:16" x14ac:dyDescent="0.25">
      <c r="A18" s="14">
        <f t="shared" si="1"/>
        <v>10</v>
      </c>
      <c r="B18" s="39">
        <v>45922</v>
      </c>
      <c r="C18" s="341"/>
      <c r="D18" s="14" t="s">
        <v>19</v>
      </c>
      <c r="E18" s="113"/>
      <c r="F18" s="130">
        <v>15.9</v>
      </c>
      <c r="G18" s="124">
        <f t="shared" si="0"/>
        <v>123.1</v>
      </c>
      <c r="H18" s="28" t="s">
        <v>129</v>
      </c>
      <c r="I18" s="7" t="s">
        <v>90</v>
      </c>
    </row>
    <row r="19" spans="1:16" x14ac:dyDescent="0.25">
      <c r="A19" s="14">
        <f t="shared" si="1"/>
        <v>11</v>
      </c>
      <c r="B19" s="39">
        <v>45923</v>
      </c>
      <c r="C19" s="341"/>
      <c r="D19" s="14" t="s">
        <v>19</v>
      </c>
      <c r="E19" s="16"/>
      <c r="F19" s="118">
        <v>10.5</v>
      </c>
      <c r="G19" s="124">
        <f t="shared" si="0"/>
        <v>112.6</v>
      </c>
      <c r="H19" s="28" t="s">
        <v>129</v>
      </c>
      <c r="I19" s="7" t="s">
        <v>90</v>
      </c>
    </row>
    <row r="20" spans="1:16" x14ac:dyDescent="0.25">
      <c r="A20" s="14">
        <f t="shared" si="1"/>
        <v>12</v>
      </c>
      <c r="B20" s="39"/>
      <c r="C20" s="341"/>
      <c r="D20" s="14" t="s">
        <v>19</v>
      </c>
      <c r="E20" s="113"/>
      <c r="F20" s="118"/>
      <c r="G20" s="124">
        <f t="shared" si="0"/>
        <v>112.6</v>
      </c>
      <c r="H20" s="28" t="s">
        <v>129</v>
      </c>
      <c r="I20" s="7" t="s">
        <v>90</v>
      </c>
    </row>
    <row r="21" spans="1:16" x14ac:dyDescent="0.25">
      <c r="A21" s="14">
        <f t="shared" si="1"/>
        <v>13</v>
      </c>
      <c r="B21" s="39"/>
      <c r="C21" s="341"/>
      <c r="D21" s="14" t="s">
        <v>19</v>
      </c>
      <c r="E21" s="16"/>
      <c r="F21" s="118"/>
      <c r="G21" s="124">
        <f t="shared" si="0"/>
        <v>112.6</v>
      </c>
      <c r="H21" s="28" t="s">
        <v>129</v>
      </c>
      <c r="I21" s="7" t="s">
        <v>90</v>
      </c>
    </row>
    <row r="22" spans="1:16" x14ac:dyDescent="0.25">
      <c r="A22" s="14">
        <f t="shared" si="1"/>
        <v>14</v>
      </c>
      <c r="B22" s="39"/>
      <c r="C22" s="341"/>
      <c r="D22" s="14" t="s">
        <v>19</v>
      </c>
      <c r="E22" s="113"/>
      <c r="F22" s="118"/>
      <c r="G22" s="124">
        <f t="shared" si="0"/>
        <v>112.6</v>
      </c>
      <c r="H22" s="28" t="s">
        <v>129</v>
      </c>
      <c r="I22" s="7" t="s">
        <v>90</v>
      </c>
    </row>
    <row r="23" spans="1:16" x14ac:dyDescent="0.25">
      <c r="A23" s="14">
        <f t="shared" si="1"/>
        <v>15</v>
      </c>
      <c r="B23" s="39"/>
      <c r="C23" s="341"/>
      <c r="D23" s="14" t="s">
        <v>19</v>
      </c>
      <c r="E23" s="16"/>
      <c r="F23" s="118"/>
      <c r="G23" s="124">
        <f t="shared" si="0"/>
        <v>112.6</v>
      </c>
      <c r="H23" s="28" t="s">
        <v>129</v>
      </c>
      <c r="I23" s="7" t="s">
        <v>90</v>
      </c>
    </row>
    <row r="24" spans="1:16" x14ac:dyDescent="0.25">
      <c r="A24" s="14">
        <f t="shared" si="1"/>
        <v>16</v>
      </c>
      <c r="B24" s="39"/>
      <c r="C24" s="341"/>
      <c r="D24" s="14" t="s">
        <v>19</v>
      </c>
      <c r="E24" s="16"/>
      <c r="F24" s="118"/>
      <c r="G24" s="124">
        <f t="shared" si="0"/>
        <v>112.6</v>
      </c>
      <c r="H24" s="28"/>
      <c r="I24" s="29"/>
      <c r="L24">
        <f>32+6+6</f>
        <v>44</v>
      </c>
    </row>
    <row r="25" spans="1:16" x14ac:dyDescent="0.25">
      <c r="A25" s="14">
        <f t="shared" si="1"/>
        <v>17</v>
      </c>
      <c r="B25" s="39"/>
      <c r="C25" s="341"/>
      <c r="D25" s="14" t="s">
        <v>19</v>
      </c>
      <c r="E25" s="16"/>
      <c r="F25" s="118"/>
      <c r="G25" s="124">
        <f t="shared" si="0"/>
        <v>112.6</v>
      </c>
      <c r="H25" s="28" t="s">
        <v>129</v>
      </c>
      <c r="I25" s="7" t="s">
        <v>90</v>
      </c>
      <c r="L25">
        <f>+L24*10+6</f>
        <v>446</v>
      </c>
    </row>
    <row r="26" spans="1:16" x14ac:dyDescent="0.25">
      <c r="A26" s="14">
        <f t="shared" si="1"/>
        <v>18</v>
      </c>
      <c r="B26" s="39"/>
      <c r="C26" s="341"/>
      <c r="D26" s="14" t="s">
        <v>19</v>
      </c>
      <c r="E26" s="16"/>
      <c r="F26" s="118"/>
      <c r="G26" s="124">
        <f t="shared" si="0"/>
        <v>112.6</v>
      </c>
      <c r="H26" s="28" t="s">
        <v>129</v>
      </c>
      <c r="I26" s="7" t="s">
        <v>90</v>
      </c>
      <c r="L26">
        <f>+(1/37)*446</f>
        <v>12.054054054054054</v>
      </c>
    </row>
    <row r="27" spans="1:16" x14ac:dyDescent="0.25">
      <c r="A27" s="14">
        <f t="shared" si="1"/>
        <v>19</v>
      </c>
      <c r="B27" s="39"/>
      <c r="C27" s="341"/>
      <c r="D27" s="14" t="s">
        <v>19</v>
      </c>
      <c r="E27" s="16"/>
      <c r="F27" s="118"/>
      <c r="G27" s="124">
        <f t="shared" si="0"/>
        <v>112.6</v>
      </c>
      <c r="H27" s="28" t="s">
        <v>129</v>
      </c>
      <c r="I27" s="7" t="s">
        <v>90</v>
      </c>
    </row>
    <row r="28" spans="1:16" x14ac:dyDescent="0.25">
      <c r="A28" s="14">
        <f t="shared" si="1"/>
        <v>20</v>
      </c>
      <c r="B28" s="8"/>
      <c r="C28" s="341"/>
      <c r="D28" s="14" t="s">
        <v>19</v>
      </c>
      <c r="E28" s="16"/>
      <c r="F28" s="118"/>
      <c r="G28" s="124">
        <f t="shared" si="0"/>
        <v>112.6</v>
      </c>
      <c r="H28" s="28" t="s">
        <v>129</v>
      </c>
      <c r="I28" s="7" t="s">
        <v>90</v>
      </c>
    </row>
    <row r="29" spans="1:16" x14ac:dyDescent="0.25">
      <c r="A29" s="14">
        <f t="shared" si="1"/>
        <v>21</v>
      </c>
      <c r="B29" s="8"/>
      <c r="C29" s="341"/>
      <c r="D29" s="14" t="s">
        <v>19</v>
      </c>
      <c r="E29" s="16"/>
      <c r="F29" s="118"/>
      <c r="G29" s="124">
        <f t="shared" si="0"/>
        <v>112.6</v>
      </c>
      <c r="H29" s="28" t="s">
        <v>129</v>
      </c>
      <c r="I29" s="7" t="s">
        <v>90</v>
      </c>
      <c r="P29">
        <f>120-86</f>
        <v>34</v>
      </c>
    </row>
    <row r="30" spans="1:16" x14ac:dyDescent="0.25">
      <c r="A30" s="14">
        <f t="shared" si="1"/>
        <v>22</v>
      </c>
      <c r="B30" s="8"/>
      <c r="C30" s="341"/>
      <c r="D30" s="14" t="s">
        <v>19</v>
      </c>
      <c r="E30" s="16"/>
      <c r="F30" s="118"/>
      <c r="G30" s="124">
        <f t="shared" si="0"/>
        <v>112.6</v>
      </c>
      <c r="H30" s="28" t="s">
        <v>129</v>
      </c>
      <c r="I30" s="7" t="s">
        <v>90</v>
      </c>
    </row>
    <row r="31" spans="1:16" x14ac:dyDescent="0.25">
      <c r="A31" s="14">
        <f t="shared" si="1"/>
        <v>23</v>
      </c>
      <c r="B31" s="8"/>
      <c r="C31" s="341"/>
      <c r="D31" s="14" t="s">
        <v>19</v>
      </c>
      <c r="E31" s="16"/>
      <c r="F31" s="118"/>
      <c r="G31" s="124">
        <f t="shared" si="0"/>
        <v>112.6</v>
      </c>
      <c r="H31" s="28" t="s">
        <v>129</v>
      </c>
      <c r="I31" s="7" t="s">
        <v>90</v>
      </c>
    </row>
    <row r="32" spans="1:16" x14ac:dyDescent="0.25">
      <c r="A32" s="14">
        <f t="shared" si="1"/>
        <v>24</v>
      </c>
      <c r="B32" s="8"/>
      <c r="C32" s="341"/>
      <c r="D32" s="14" t="s">
        <v>19</v>
      </c>
      <c r="E32" s="16"/>
      <c r="F32" s="118"/>
      <c r="G32" s="124">
        <f t="shared" si="0"/>
        <v>112.6</v>
      </c>
      <c r="H32" s="28" t="s">
        <v>129</v>
      </c>
      <c r="I32" s="7" t="s">
        <v>90</v>
      </c>
    </row>
    <row r="33" spans="1:12" x14ac:dyDescent="0.25">
      <c r="A33" s="14">
        <f t="shared" si="1"/>
        <v>25</v>
      </c>
      <c r="B33" s="8"/>
      <c r="C33" s="341"/>
      <c r="D33" s="14" t="s">
        <v>19</v>
      </c>
      <c r="E33" s="16"/>
      <c r="F33" s="118"/>
      <c r="G33" s="124">
        <f t="shared" si="0"/>
        <v>112.6</v>
      </c>
      <c r="H33" s="28" t="s">
        <v>129</v>
      </c>
      <c r="I33" s="7" t="s">
        <v>90</v>
      </c>
    </row>
    <row r="34" spans="1:12" x14ac:dyDescent="0.25">
      <c r="A34" s="14">
        <f t="shared" si="1"/>
        <v>26</v>
      </c>
      <c r="B34" s="8"/>
      <c r="C34" s="341"/>
      <c r="D34" s="14" t="s">
        <v>19</v>
      </c>
      <c r="E34" s="16"/>
      <c r="F34" s="118"/>
      <c r="G34" s="124">
        <f t="shared" si="0"/>
        <v>112.6</v>
      </c>
      <c r="H34" s="28" t="s">
        <v>129</v>
      </c>
      <c r="I34" s="7" t="s">
        <v>90</v>
      </c>
    </row>
    <row r="35" spans="1:12" x14ac:dyDescent="0.25">
      <c r="A35" s="14">
        <f t="shared" si="1"/>
        <v>27</v>
      </c>
      <c r="B35" s="8"/>
      <c r="C35" s="341"/>
      <c r="D35" s="14" t="s">
        <v>19</v>
      </c>
      <c r="E35" s="16"/>
      <c r="F35" s="118"/>
      <c r="G35" s="124">
        <f t="shared" si="0"/>
        <v>112.6</v>
      </c>
      <c r="H35" s="28" t="s">
        <v>129</v>
      </c>
      <c r="I35" s="7" t="s">
        <v>90</v>
      </c>
      <c r="L35">
        <f>+(1/37)*12</f>
        <v>0.32432432432432434</v>
      </c>
    </row>
    <row r="36" spans="1:12" x14ac:dyDescent="0.25">
      <c r="A36" s="14">
        <f t="shared" si="1"/>
        <v>28</v>
      </c>
      <c r="B36" s="8"/>
      <c r="C36" s="341"/>
      <c r="D36" s="14" t="s">
        <v>19</v>
      </c>
      <c r="E36" s="16"/>
      <c r="F36" s="118"/>
      <c r="G36" s="124">
        <f t="shared" si="0"/>
        <v>112.6</v>
      </c>
      <c r="H36" s="28" t="s">
        <v>129</v>
      </c>
      <c r="I36" s="7" t="s">
        <v>90</v>
      </c>
    </row>
    <row r="37" spans="1:12" x14ac:dyDescent="0.25">
      <c r="A37" s="14">
        <f t="shared" si="1"/>
        <v>29</v>
      </c>
      <c r="B37" s="8"/>
      <c r="C37" s="341"/>
      <c r="D37" s="14" t="s">
        <v>19</v>
      </c>
      <c r="E37" s="16"/>
      <c r="F37" s="118"/>
      <c r="G37" s="124">
        <f t="shared" si="0"/>
        <v>112.6</v>
      </c>
      <c r="H37" s="28" t="s">
        <v>129</v>
      </c>
      <c r="I37" s="7" t="s">
        <v>90</v>
      </c>
    </row>
    <row r="38" spans="1:12" x14ac:dyDescent="0.25">
      <c r="A38" s="14">
        <f t="shared" si="1"/>
        <v>30</v>
      </c>
      <c r="B38" s="8"/>
      <c r="C38" s="341"/>
      <c r="D38" s="14" t="s">
        <v>19</v>
      </c>
      <c r="E38" s="16"/>
      <c r="F38" s="118"/>
      <c r="G38" s="124">
        <f t="shared" si="0"/>
        <v>112.6</v>
      </c>
      <c r="H38" s="28" t="s">
        <v>129</v>
      </c>
      <c r="I38" s="7" t="s">
        <v>90</v>
      </c>
    </row>
    <row r="39" spans="1:12" x14ac:dyDescent="0.25">
      <c r="A39" s="14">
        <f t="shared" si="1"/>
        <v>31</v>
      </c>
      <c r="B39" s="8"/>
      <c r="C39" s="341"/>
      <c r="D39" s="14" t="s">
        <v>19</v>
      </c>
      <c r="E39" s="16"/>
      <c r="F39" s="118"/>
      <c r="G39" s="124">
        <f t="shared" si="0"/>
        <v>112.6</v>
      </c>
      <c r="H39" s="28" t="s">
        <v>129</v>
      </c>
      <c r="I39" s="7" t="s">
        <v>90</v>
      </c>
    </row>
    <row r="40" spans="1:12" x14ac:dyDescent="0.25">
      <c r="A40" s="14">
        <f t="shared" si="1"/>
        <v>32</v>
      </c>
      <c r="B40" s="8"/>
      <c r="C40" s="341"/>
      <c r="D40" s="14" t="s">
        <v>19</v>
      </c>
      <c r="E40" s="16"/>
      <c r="F40" s="118"/>
      <c r="G40" s="124">
        <f t="shared" si="0"/>
        <v>112.6</v>
      </c>
      <c r="H40" s="28" t="s">
        <v>129</v>
      </c>
      <c r="I40" s="7" t="s">
        <v>90</v>
      </c>
    </row>
    <row r="41" spans="1:12" x14ac:dyDescent="0.25">
      <c r="A41" s="14">
        <f t="shared" si="1"/>
        <v>33</v>
      </c>
      <c r="B41" s="8"/>
      <c r="C41" s="341"/>
      <c r="D41" s="14" t="s">
        <v>19</v>
      </c>
      <c r="E41" s="16"/>
      <c r="F41" s="118"/>
      <c r="G41" s="124">
        <f t="shared" si="0"/>
        <v>112.6</v>
      </c>
      <c r="H41" s="28" t="s">
        <v>129</v>
      </c>
      <c r="I41" s="7" t="s">
        <v>90</v>
      </c>
    </row>
    <row r="42" spans="1:12" x14ac:dyDescent="0.25">
      <c r="A42" s="14">
        <f t="shared" si="1"/>
        <v>34</v>
      </c>
      <c r="B42" s="8"/>
      <c r="C42" s="341"/>
      <c r="D42" s="14" t="s">
        <v>19</v>
      </c>
      <c r="E42" s="16"/>
      <c r="F42" s="118"/>
      <c r="G42" s="124">
        <f t="shared" si="0"/>
        <v>112.6</v>
      </c>
      <c r="H42" s="28" t="s">
        <v>129</v>
      </c>
      <c r="I42" s="7" t="s">
        <v>90</v>
      </c>
    </row>
    <row r="43" spans="1:12" x14ac:dyDescent="0.25">
      <c r="A43" s="14">
        <f t="shared" si="1"/>
        <v>35</v>
      </c>
      <c r="B43" s="8"/>
      <c r="C43" s="341"/>
      <c r="D43" s="14" t="s">
        <v>19</v>
      </c>
      <c r="E43" s="16"/>
      <c r="F43" s="118"/>
      <c r="G43" s="124">
        <f t="shared" si="0"/>
        <v>112.6</v>
      </c>
      <c r="H43" s="28" t="s">
        <v>129</v>
      </c>
      <c r="I43" s="7" t="s">
        <v>90</v>
      </c>
    </row>
    <row r="44" spans="1:12" x14ac:dyDescent="0.25">
      <c r="A44" s="14">
        <f t="shared" si="1"/>
        <v>36</v>
      </c>
      <c r="B44" s="8"/>
      <c r="C44" s="341"/>
      <c r="D44" s="14" t="s">
        <v>19</v>
      </c>
      <c r="E44" s="16"/>
      <c r="F44" s="118"/>
      <c r="G44" s="124">
        <f t="shared" si="0"/>
        <v>112.6</v>
      </c>
      <c r="H44" s="28" t="s">
        <v>129</v>
      </c>
      <c r="I44" s="7" t="s">
        <v>90</v>
      </c>
    </row>
    <row r="45" spans="1:12" x14ac:dyDescent="0.25">
      <c r="A45" s="14">
        <f t="shared" si="1"/>
        <v>37</v>
      </c>
      <c r="B45" s="8"/>
      <c r="C45" s="341"/>
      <c r="D45" s="14" t="s">
        <v>19</v>
      </c>
      <c r="E45" s="16"/>
      <c r="F45" s="118"/>
      <c r="G45" s="124">
        <f t="shared" si="0"/>
        <v>112.6</v>
      </c>
      <c r="H45" s="28" t="s">
        <v>129</v>
      </c>
      <c r="I45" s="7" t="s">
        <v>90</v>
      </c>
    </row>
    <row r="46" spans="1:12" x14ac:dyDescent="0.25">
      <c r="A46" s="14">
        <f t="shared" si="1"/>
        <v>38</v>
      </c>
      <c r="B46" s="44"/>
      <c r="C46" s="341"/>
      <c r="D46" s="14" t="s">
        <v>19</v>
      </c>
      <c r="E46" s="16"/>
      <c r="F46" s="118"/>
      <c r="G46" s="124">
        <f t="shared" si="0"/>
        <v>112.6</v>
      </c>
      <c r="H46" s="28" t="s">
        <v>129</v>
      </c>
      <c r="I46" s="7" t="s">
        <v>90</v>
      </c>
    </row>
    <row r="47" spans="1:12" x14ac:dyDescent="0.25">
      <c r="A47" s="14">
        <f t="shared" si="1"/>
        <v>39</v>
      </c>
      <c r="B47" s="44"/>
      <c r="C47" s="341"/>
      <c r="D47" s="14" t="s">
        <v>19</v>
      </c>
      <c r="E47" s="132"/>
      <c r="F47" s="118"/>
      <c r="G47" s="124">
        <f t="shared" si="0"/>
        <v>112.6</v>
      </c>
      <c r="H47" s="28" t="s">
        <v>129</v>
      </c>
      <c r="I47" s="7" t="s">
        <v>90</v>
      </c>
    </row>
    <row r="48" spans="1:12" x14ac:dyDescent="0.25">
      <c r="A48" s="14">
        <f t="shared" si="1"/>
        <v>40</v>
      </c>
      <c r="B48" s="8"/>
      <c r="C48" s="341"/>
      <c r="D48" s="14" t="s">
        <v>19</v>
      </c>
      <c r="E48" s="16"/>
      <c r="F48" s="118"/>
      <c r="G48" s="124">
        <f t="shared" si="0"/>
        <v>112.6</v>
      </c>
      <c r="H48" s="28" t="s">
        <v>129</v>
      </c>
      <c r="I48" s="7" t="s">
        <v>90</v>
      </c>
    </row>
    <row r="49" spans="1:9" x14ac:dyDescent="0.25">
      <c r="A49" s="14">
        <f t="shared" si="1"/>
        <v>41</v>
      </c>
      <c r="B49" s="8"/>
      <c r="C49" s="341"/>
      <c r="D49" s="14" t="s">
        <v>19</v>
      </c>
      <c r="E49" s="16"/>
      <c r="F49" s="118"/>
      <c r="G49" s="124">
        <f t="shared" si="0"/>
        <v>112.6</v>
      </c>
      <c r="H49" s="28" t="s">
        <v>129</v>
      </c>
      <c r="I49" s="7" t="s">
        <v>90</v>
      </c>
    </row>
    <row r="50" spans="1:9" x14ac:dyDescent="0.25">
      <c r="A50" s="14">
        <f t="shared" si="1"/>
        <v>42</v>
      </c>
      <c r="B50" s="8"/>
      <c r="C50" s="341"/>
      <c r="D50" s="14" t="s">
        <v>19</v>
      </c>
      <c r="E50" s="16"/>
      <c r="F50" s="118"/>
      <c r="G50" s="124">
        <f t="shared" si="0"/>
        <v>112.6</v>
      </c>
      <c r="H50" s="28" t="s">
        <v>129</v>
      </c>
      <c r="I50" s="7" t="s">
        <v>90</v>
      </c>
    </row>
    <row r="51" spans="1:9" x14ac:dyDescent="0.25">
      <c r="A51" s="14">
        <f t="shared" si="1"/>
        <v>43</v>
      </c>
      <c r="B51" s="8"/>
      <c r="C51" s="341"/>
      <c r="D51" s="14"/>
      <c r="E51" s="16"/>
      <c r="F51" s="118"/>
      <c r="G51" s="124">
        <f t="shared" si="0"/>
        <v>112.6</v>
      </c>
      <c r="H51" s="28"/>
      <c r="I51" s="29"/>
    </row>
    <row r="52" spans="1:9" x14ac:dyDescent="0.25">
      <c r="A52" s="14">
        <f t="shared" si="1"/>
        <v>44</v>
      </c>
      <c r="B52" s="8"/>
      <c r="C52" s="341"/>
      <c r="D52" s="14"/>
      <c r="E52" s="16"/>
      <c r="F52" s="118"/>
      <c r="G52" s="124">
        <f t="shared" si="0"/>
        <v>112.6</v>
      </c>
      <c r="H52" s="28"/>
      <c r="I52" s="29"/>
    </row>
    <row r="53" spans="1:9" x14ac:dyDescent="0.25">
      <c r="A53" s="14">
        <f t="shared" si="1"/>
        <v>45</v>
      </c>
      <c r="B53" s="8"/>
      <c r="C53" s="341"/>
      <c r="D53" s="14"/>
      <c r="E53" s="16"/>
      <c r="F53" s="118"/>
      <c r="G53" s="124">
        <f t="shared" si="0"/>
        <v>112.6</v>
      </c>
      <c r="H53" s="28"/>
      <c r="I53" s="29"/>
    </row>
    <row r="54" spans="1:9" x14ac:dyDescent="0.25">
      <c r="A54" s="14">
        <f t="shared" si="1"/>
        <v>46</v>
      </c>
      <c r="B54" s="8"/>
      <c r="C54" s="341"/>
      <c r="D54" s="14"/>
      <c r="E54" s="16"/>
      <c r="F54" s="118"/>
      <c r="G54" s="124">
        <f t="shared" si="0"/>
        <v>112.6</v>
      </c>
      <c r="H54" s="28"/>
      <c r="I54" s="29"/>
    </row>
    <row r="55" spans="1:9" x14ac:dyDescent="0.25">
      <c r="A55" s="14">
        <f t="shared" si="1"/>
        <v>47</v>
      </c>
      <c r="B55" s="8"/>
      <c r="C55" s="341"/>
      <c r="D55" s="14"/>
      <c r="E55" s="16"/>
      <c r="F55" s="118"/>
      <c r="G55" s="124">
        <f t="shared" si="0"/>
        <v>112.6</v>
      </c>
      <c r="H55" s="28"/>
      <c r="I55" s="29"/>
    </row>
    <row r="56" spans="1:9" x14ac:dyDescent="0.25">
      <c r="A56" s="14">
        <f t="shared" si="1"/>
        <v>48</v>
      </c>
      <c r="B56" s="8"/>
      <c r="C56" s="341"/>
      <c r="D56" s="14"/>
      <c r="E56" s="16"/>
      <c r="F56" s="118"/>
      <c r="G56" s="124">
        <f t="shared" si="0"/>
        <v>112.6</v>
      </c>
      <c r="H56" s="28"/>
      <c r="I56" s="29"/>
    </row>
    <row r="57" spans="1:9" x14ac:dyDescent="0.25">
      <c r="A57" s="14">
        <f t="shared" si="1"/>
        <v>49</v>
      </c>
      <c r="B57" s="8"/>
      <c r="C57" s="15"/>
      <c r="D57" s="14"/>
      <c r="E57" s="16"/>
      <c r="F57" s="118"/>
      <c r="G57" s="124">
        <f t="shared" si="0"/>
        <v>112.6</v>
      </c>
      <c r="H57" s="28"/>
      <c r="I57" s="29"/>
    </row>
    <row r="58" spans="1:9" x14ac:dyDescent="0.25">
      <c r="A58" s="14">
        <f t="shared" si="1"/>
        <v>50</v>
      </c>
      <c r="B58" s="8"/>
      <c r="C58" s="15"/>
      <c r="D58" s="14"/>
      <c r="E58" s="16"/>
      <c r="F58" s="118"/>
      <c r="G58" s="124">
        <f t="shared" si="0"/>
        <v>112.6</v>
      </c>
      <c r="H58" s="28"/>
      <c r="I58" s="29"/>
    </row>
    <row r="59" spans="1:9" x14ac:dyDescent="0.25">
      <c r="A59" s="14">
        <f t="shared" si="1"/>
        <v>51</v>
      </c>
      <c r="B59" s="37"/>
      <c r="C59" s="15"/>
      <c r="D59" s="133"/>
      <c r="E59" s="16"/>
      <c r="F59" s="118"/>
      <c r="G59" s="124">
        <f t="shared" si="0"/>
        <v>112.6</v>
      </c>
      <c r="H59" s="28"/>
      <c r="I59" s="29"/>
    </row>
    <row r="60" spans="1:9" x14ac:dyDescent="0.25">
      <c r="A60" s="14">
        <f t="shared" si="1"/>
        <v>52</v>
      </c>
      <c r="B60" s="8"/>
      <c r="C60" s="15"/>
      <c r="D60" s="133"/>
      <c r="E60" s="30"/>
      <c r="F60" s="118"/>
      <c r="G60" s="124">
        <f t="shared" si="0"/>
        <v>112.6</v>
      </c>
      <c r="H60" s="28"/>
      <c r="I60" s="29"/>
    </row>
    <row r="61" spans="1:9" x14ac:dyDescent="0.25">
      <c r="A61" s="14">
        <f t="shared" si="1"/>
        <v>53</v>
      </c>
      <c r="B61" s="37"/>
      <c r="C61" s="15"/>
      <c r="D61" s="133"/>
      <c r="E61" s="16"/>
      <c r="F61" s="118"/>
      <c r="G61" s="124">
        <f t="shared" si="0"/>
        <v>112.6</v>
      </c>
      <c r="H61" s="28"/>
      <c r="I61" s="29"/>
    </row>
    <row r="62" spans="1:9" x14ac:dyDescent="0.25">
      <c r="A62" s="7"/>
      <c r="B62" s="7"/>
      <c r="C62" s="34" t="s">
        <v>13</v>
      </c>
      <c r="D62" s="7"/>
      <c r="E62" s="36">
        <f>SUM(E9:E61)</f>
        <v>7.6</v>
      </c>
      <c r="F62" s="121">
        <f>SUM(F9:F61)</f>
        <v>145.29999999999998</v>
      </c>
      <c r="G62" s="36">
        <f>+E62-F62+G8</f>
        <v>112.60000000000002</v>
      </c>
      <c r="H62" s="35"/>
      <c r="I62" s="3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5"/>
  <dimension ref="A1:J38"/>
  <sheetViews>
    <sheetView workbookViewId="0">
      <selection activeCell="B8" sqref="B8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7.28515625" customWidth="1"/>
    <col min="5" max="5" width="11.85546875" customWidth="1"/>
    <col min="6" max="6" width="11.5703125" customWidth="1"/>
    <col min="7" max="7" width="13.140625" customWidth="1"/>
    <col min="8" max="8" width="14.285156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7.28515625" customWidth="1"/>
    <col min="261" max="261" width="11.85546875" customWidth="1"/>
    <col min="262" max="262" width="11.5703125" customWidth="1"/>
    <col min="263" max="263" width="13.140625" customWidth="1"/>
    <col min="264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7.28515625" customWidth="1"/>
    <col min="517" max="517" width="11.85546875" customWidth="1"/>
    <col min="518" max="518" width="11.5703125" customWidth="1"/>
    <col min="519" max="519" width="13.140625" customWidth="1"/>
    <col min="520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7.28515625" customWidth="1"/>
    <col min="773" max="773" width="11.85546875" customWidth="1"/>
    <col min="774" max="774" width="11.5703125" customWidth="1"/>
    <col min="775" max="775" width="13.140625" customWidth="1"/>
    <col min="776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7.28515625" customWidth="1"/>
    <col min="1029" max="1029" width="11.85546875" customWidth="1"/>
    <col min="1030" max="1030" width="11.5703125" customWidth="1"/>
    <col min="1031" max="1031" width="13.140625" customWidth="1"/>
    <col min="1032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7.28515625" customWidth="1"/>
    <col min="1285" max="1285" width="11.85546875" customWidth="1"/>
    <col min="1286" max="1286" width="11.5703125" customWidth="1"/>
    <col min="1287" max="1287" width="13.140625" customWidth="1"/>
    <col min="1288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7.28515625" customWidth="1"/>
    <col min="1541" max="1541" width="11.85546875" customWidth="1"/>
    <col min="1542" max="1542" width="11.5703125" customWidth="1"/>
    <col min="1543" max="1543" width="13.140625" customWidth="1"/>
    <col min="1544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7.28515625" customWidth="1"/>
    <col min="1797" max="1797" width="11.85546875" customWidth="1"/>
    <col min="1798" max="1798" width="11.5703125" customWidth="1"/>
    <col min="1799" max="1799" width="13.140625" customWidth="1"/>
    <col min="1800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7.28515625" customWidth="1"/>
    <col min="2053" max="2053" width="11.85546875" customWidth="1"/>
    <col min="2054" max="2054" width="11.5703125" customWidth="1"/>
    <col min="2055" max="2055" width="13.140625" customWidth="1"/>
    <col min="2056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7.28515625" customWidth="1"/>
    <col min="2309" max="2309" width="11.85546875" customWidth="1"/>
    <col min="2310" max="2310" width="11.5703125" customWidth="1"/>
    <col min="2311" max="2311" width="13.140625" customWidth="1"/>
    <col min="2312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7.28515625" customWidth="1"/>
    <col min="2565" max="2565" width="11.85546875" customWidth="1"/>
    <col min="2566" max="2566" width="11.5703125" customWidth="1"/>
    <col min="2567" max="2567" width="13.140625" customWidth="1"/>
    <col min="2568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7.28515625" customWidth="1"/>
    <col min="2821" max="2821" width="11.85546875" customWidth="1"/>
    <col min="2822" max="2822" width="11.5703125" customWidth="1"/>
    <col min="2823" max="2823" width="13.140625" customWidth="1"/>
    <col min="2824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7.28515625" customWidth="1"/>
    <col min="3077" max="3077" width="11.85546875" customWidth="1"/>
    <col min="3078" max="3078" width="11.5703125" customWidth="1"/>
    <col min="3079" max="3079" width="13.140625" customWidth="1"/>
    <col min="3080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7.28515625" customWidth="1"/>
    <col min="3333" max="3333" width="11.85546875" customWidth="1"/>
    <col min="3334" max="3334" width="11.5703125" customWidth="1"/>
    <col min="3335" max="3335" width="13.140625" customWidth="1"/>
    <col min="3336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7.28515625" customWidth="1"/>
    <col min="3589" max="3589" width="11.85546875" customWidth="1"/>
    <col min="3590" max="3590" width="11.5703125" customWidth="1"/>
    <col min="3591" max="3591" width="13.140625" customWidth="1"/>
    <col min="3592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7.28515625" customWidth="1"/>
    <col min="3845" max="3845" width="11.85546875" customWidth="1"/>
    <col min="3846" max="3846" width="11.5703125" customWidth="1"/>
    <col min="3847" max="3847" width="13.140625" customWidth="1"/>
    <col min="3848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7.28515625" customWidth="1"/>
    <col min="4101" max="4101" width="11.85546875" customWidth="1"/>
    <col min="4102" max="4102" width="11.5703125" customWidth="1"/>
    <col min="4103" max="4103" width="13.140625" customWidth="1"/>
    <col min="4104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7.28515625" customWidth="1"/>
    <col min="4357" max="4357" width="11.85546875" customWidth="1"/>
    <col min="4358" max="4358" width="11.5703125" customWidth="1"/>
    <col min="4359" max="4359" width="13.140625" customWidth="1"/>
    <col min="4360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7.28515625" customWidth="1"/>
    <col min="4613" max="4613" width="11.85546875" customWidth="1"/>
    <col min="4614" max="4614" width="11.5703125" customWidth="1"/>
    <col min="4615" max="4615" width="13.140625" customWidth="1"/>
    <col min="4616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7.28515625" customWidth="1"/>
    <col min="4869" max="4869" width="11.85546875" customWidth="1"/>
    <col min="4870" max="4870" width="11.5703125" customWidth="1"/>
    <col min="4871" max="4871" width="13.140625" customWidth="1"/>
    <col min="4872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7.28515625" customWidth="1"/>
    <col min="5125" max="5125" width="11.85546875" customWidth="1"/>
    <col min="5126" max="5126" width="11.5703125" customWidth="1"/>
    <col min="5127" max="5127" width="13.140625" customWidth="1"/>
    <col min="5128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7.28515625" customWidth="1"/>
    <col min="5381" max="5381" width="11.85546875" customWidth="1"/>
    <col min="5382" max="5382" width="11.5703125" customWidth="1"/>
    <col min="5383" max="5383" width="13.140625" customWidth="1"/>
    <col min="5384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7.28515625" customWidth="1"/>
    <col min="5637" max="5637" width="11.85546875" customWidth="1"/>
    <col min="5638" max="5638" width="11.5703125" customWidth="1"/>
    <col min="5639" max="5639" width="13.140625" customWidth="1"/>
    <col min="5640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7.28515625" customWidth="1"/>
    <col min="5893" max="5893" width="11.85546875" customWidth="1"/>
    <col min="5894" max="5894" width="11.5703125" customWidth="1"/>
    <col min="5895" max="5895" width="13.140625" customWidth="1"/>
    <col min="5896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7.28515625" customWidth="1"/>
    <col min="6149" max="6149" width="11.85546875" customWidth="1"/>
    <col min="6150" max="6150" width="11.5703125" customWidth="1"/>
    <col min="6151" max="6151" width="13.140625" customWidth="1"/>
    <col min="6152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7.28515625" customWidth="1"/>
    <col min="6405" max="6405" width="11.85546875" customWidth="1"/>
    <col min="6406" max="6406" width="11.5703125" customWidth="1"/>
    <col min="6407" max="6407" width="13.140625" customWidth="1"/>
    <col min="6408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7.28515625" customWidth="1"/>
    <col min="6661" max="6661" width="11.85546875" customWidth="1"/>
    <col min="6662" max="6662" width="11.5703125" customWidth="1"/>
    <col min="6663" max="6663" width="13.140625" customWidth="1"/>
    <col min="6664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7.28515625" customWidth="1"/>
    <col min="6917" max="6917" width="11.85546875" customWidth="1"/>
    <col min="6918" max="6918" width="11.5703125" customWidth="1"/>
    <col min="6919" max="6919" width="13.140625" customWidth="1"/>
    <col min="6920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7.28515625" customWidth="1"/>
    <col min="7173" max="7173" width="11.85546875" customWidth="1"/>
    <col min="7174" max="7174" width="11.5703125" customWidth="1"/>
    <col min="7175" max="7175" width="13.140625" customWidth="1"/>
    <col min="7176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7.28515625" customWidth="1"/>
    <col min="7429" max="7429" width="11.85546875" customWidth="1"/>
    <col min="7430" max="7430" width="11.5703125" customWidth="1"/>
    <col min="7431" max="7431" width="13.140625" customWidth="1"/>
    <col min="7432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7.28515625" customWidth="1"/>
    <col min="7685" max="7685" width="11.85546875" customWidth="1"/>
    <col min="7686" max="7686" width="11.5703125" customWidth="1"/>
    <col min="7687" max="7687" width="13.140625" customWidth="1"/>
    <col min="7688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7.28515625" customWidth="1"/>
    <col min="7941" max="7941" width="11.85546875" customWidth="1"/>
    <col min="7942" max="7942" width="11.5703125" customWidth="1"/>
    <col min="7943" max="7943" width="13.140625" customWidth="1"/>
    <col min="7944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7.28515625" customWidth="1"/>
    <col min="8197" max="8197" width="11.85546875" customWidth="1"/>
    <col min="8198" max="8198" width="11.5703125" customWidth="1"/>
    <col min="8199" max="8199" width="13.140625" customWidth="1"/>
    <col min="8200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7.28515625" customWidth="1"/>
    <col min="8453" max="8453" width="11.85546875" customWidth="1"/>
    <col min="8454" max="8454" width="11.5703125" customWidth="1"/>
    <col min="8455" max="8455" width="13.140625" customWidth="1"/>
    <col min="8456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7.28515625" customWidth="1"/>
    <col min="8709" max="8709" width="11.85546875" customWidth="1"/>
    <col min="8710" max="8710" width="11.5703125" customWidth="1"/>
    <col min="8711" max="8711" width="13.140625" customWidth="1"/>
    <col min="8712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7.28515625" customWidth="1"/>
    <col min="8965" max="8965" width="11.85546875" customWidth="1"/>
    <col min="8966" max="8966" width="11.5703125" customWidth="1"/>
    <col min="8967" max="8967" width="13.140625" customWidth="1"/>
    <col min="8968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7.28515625" customWidth="1"/>
    <col min="9221" max="9221" width="11.85546875" customWidth="1"/>
    <col min="9222" max="9222" width="11.5703125" customWidth="1"/>
    <col min="9223" max="9223" width="13.140625" customWidth="1"/>
    <col min="9224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7.28515625" customWidth="1"/>
    <col min="9477" max="9477" width="11.85546875" customWidth="1"/>
    <col min="9478" max="9478" width="11.5703125" customWidth="1"/>
    <col min="9479" max="9479" width="13.140625" customWidth="1"/>
    <col min="9480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7.28515625" customWidth="1"/>
    <col min="9733" max="9733" width="11.85546875" customWidth="1"/>
    <col min="9734" max="9734" width="11.5703125" customWidth="1"/>
    <col min="9735" max="9735" width="13.140625" customWidth="1"/>
    <col min="9736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7.28515625" customWidth="1"/>
    <col min="9989" max="9989" width="11.85546875" customWidth="1"/>
    <col min="9990" max="9990" width="11.5703125" customWidth="1"/>
    <col min="9991" max="9991" width="13.140625" customWidth="1"/>
    <col min="9992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7.28515625" customWidth="1"/>
    <col min="10245" max="10245" width="11.85546875" customWidth="1"/>
    <col min="10246" max="10246" width="11.5703125" customWidth="1"/>
    <col min="10247" max="10247" width="13.140625" customWidth="1"/>
    <col min="10248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7.28515625" customWidth="1"/>
    <col min="10501" max="10501" width="11.85546875" customWidth="1"/>
    <col min="10502" max="10502" width="11.5703125" customWidth="1"/>
    <col min="10503" max="10503" width="13.140625" customWidth="1"/>
    <col min="10504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7.28515625" customWidth="1"/>
    <col min="10757" max="10757" width="11.85546875" customWidth="1"/>
    <col min="10758" max="10758" width="11.5703125" customWidth="1"/>
    <col min="10759" max="10759" width="13.140625" customWidth="1"/>
    <col min="10760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7.28515625" customWidth="1"/>
    <col min="11013" max="11013" width="11.85546875" customWidth="1"/>
    <col min="11014" max="11014" width="11.5703125" customWidth="1"/>
    <col min="11015" max="11015" width="13.140625" customWidth="1"/>
    <col min="11016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7.28515625" customWidth="1"/>
    <col min="11269" max="11269" width="11.85546875" customWidth="1"/>
    <col min="11270" max="11270" width="11.5703125" customWidth="1"/>
    <col min="11271" max="11271" width="13.140625" customWidth="1"/>
    <col min="11272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7.28515625" customWidth="1"/>
    <col min="11525" max="11525" width="11.85546875" customWidth="1"/>
    <col min="11526" max="11526" width="11.5703125" customWidth="1"/>
    <col min="11527" max="11527" width="13.140625" customWidth="1"/>
    <col min="11528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7.28515625" customWidth="1"/>
    <col min="11781" max="11781" width="11.85546875" customWidth="1"/>
    <col min="11782" max="11782" width="11.5703125" customWidth="1"/>
    <col min="11783" max="11783" width="13.140625" customWidth="1"/>
    <col min="11784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7.28515625" customWidth="1"/>
    <col min="12037" max="12037" width="11.85546875" customWidth="1"/>
    <col min="12038" max="12038" width="11.5703125" customWidth="1"/>
    <col min="12039" max="12039" width="13.140625" customWidth="1"/>
    <col min="12040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7.28515625" customWidth="1"/>
    <col min="12293" max="12293" width="11.85546875" customWidth="1"/>
    <col min="12294" max="12294" width="11.5703125" customWidth="1"/>
    <col min="12295" max="12295" width="13.140625" customWidth="1"/>
    <col min="12296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7.28515625" customWidth="1"/>
    <col min="12549" max="12549" width="11.85546875" customWidth="1"/>
    <col min="12550" max="12550" width="11.5703125" customWidth="1"/>
    <col min="12551" max="12551" width="13.140625" customWidth="1"/>
    <col min="12552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7.28515625" customWidth="1"/>
    <col min="12805" max="12805" width="11.85546875" customWidth="1"/>
    <col min="12806" max="12806" width="11.5703125" customWidth="1"/>
    <col min="12807" max="12807" width="13.140625" customWidth="1"/>
    <col min="12808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7.28515625" customWidth="1"/>
    <col min="13061" max="13061" width="11.85546875" customWidth="1"/>
    <col min="13062" max="13062" width="11.5703125" customWidth="1"/>
    <col min="13063" max="13063" width="13.140625" customWidth="1"/>
    <col min="13064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7.28515625" customWidth="1"/>
    <col min="13317" max="13317" width="11.85546875" customWidth="1"/>
    <col min="13318" max="13318" width="11.5703125" customWidth="1"/>
    <col min="13319" max="13319" width="13.140625" customWidth="1"/>
    <col min="13320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7.28515625" customWidth="1"/>
    <col min="13573" max="13573" width="11.85546875" customWidth="1"/>
    <col min="13574" max="13574" width="11.5703125" customWidth="1"/>
    <col min="13575" max="13575" width="13.140625" customWidth="1"/>
    <col min="13576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7.28515625" customWidth="1"/>
    <col min="13829" max="13829" width="11.85546875" customWidth="1"/>
    <col min="13830" max="13830" width="11.5703125" customWidth="1"/>
    <col min="13831" max="13831" width="13.140625" customWidth="1"/>
    <col min="13832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7.28515625" customWidth="1"/>
    <col min="14085" max="14085" width="11.85546875" customWidth="1"/>
    <col min="14086" max="14086" width="11.5703125" customWidth="1"/>
    <col min="14087" max="14087" width="13.140625" customWidth="1"/>
    <col min="14088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7.28515625" customWidth="1"/>
    <col min="14341" max="14341" width="11.85546875" customWidth="1"/>
    <col min="14342" max="14342" width="11.5703125" customWidth="1"/>
    <col min="14343" max="14343" width="13.140625" customWidth="1"/>
    <col min="14344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7.28515625" customWidth="1"/>
    <col min="14597" max="14597" width="11.85546875" customWidth="1"/>
    <col min="14598" max="14598" width="11.5703125" customWidth="1"/>
    <col min="14599" max="14599" width="13.140625" customWidth="1"/>
    <col min="14600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7.28515625" customWidth="1"/>
    <col min="14853" max="14853" width="11.85546875" customWidth="1"/>
    <col min="14854" max="14854" width="11.5703125" customWidth="1"/>
    <col min="14855" max="14855" width="13.140625" customWidth="1"/>
    <col min="14856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7.28515625" customWidth="1"/>
    <col min="15109" max="15109" width="11.85546875" customWidth="1"/>
    <col min="15110" max="15110" width="11.5703125" customWidth="1"/>
    <col min="15111" max="15111" width="13.140625" customWidth="1"/>
    <col min="15112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7.28515625" customWidth="1"/>
    <col min="15365" max="15365" width="11.85546875" customWidth="1"/>
    <col min="15366" max="15366" width="11.5703125" customWidth="1"/>
    <col min="15367" max="15367" width="13.140625" customWidth="1"/>
    <col min="15368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7.28515625" customWidth="1"/>
    <col min="15621" max="15621" width="11.85546875" customWidth="1"/>
    <col min="15622" max="15622" width="11.5703125" customWidth="1"/>
    <col min="15623" max="15623" width="13.140625" customWidth="1"/>
    <col min="15624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7.28515625" customWidth="1"/>
    <col min="15877" max="15877" width="11.85546875" customWidth="1"/>
    <col min="15878" max="15878" width="11.5703125" customWidth="1"/>
    <col min="15879" max="15879" width="13.140625" customWidth="1"/>
    <col min="15880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7.28515625" customWidth="1"/>
    <col min="16133" max="16133" width="11.85546875" customWidth="1"/>
    <col min="16134" max="16134" width="11.5703125" customWidth="1"/>
    <col min="16135" max="16135" width="13.140625" customWidth="1"/>
    <col min="16136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+'[1]Phôi giấy KH 760'!A4:I5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>
        <v>10</v>
      </c>
      <c r="H8" s="7"/>
      <c r="I8" s="7"/>
    </row>
    <row r="9" spans="1:10" ht="18" customHeight="1" x14ac:dyDescent="0.25">
      <c r="A9" s="14">
        <v>1</v>
      </c>
      <c r="B9" s="8"/>
      <c r="C9" s="15" t="s">
        <v>110</v>
      </c>
      <c r="D9" s="133" t="s">
        <v>23</v>
      </c>
      <c r="E9" s="13"/>
      <c r="F9" s="118"/>
      <c r="G9" s="114">
        <f>+G8+E9-F9</f>
        <v>10</v>
      </c>
      <c r="H9" s="28"/>
      <c r="I9" s="7"/>
    </row>
    <row r="10" spans="1:10" ht="18" customHeight="1" x14ac:dyDescent="0.25">
      <c r="A10" s="14">
        <f t="shared" ref="A10:A35" si="0">+A9+1</f>
        <v>2</v>
      </c>
      <c r="B10" s="8"/>
      <c r="C10" s="15"/>
      <c r="D10" s="133"/>
      <c r="E10" s="16"/>
      <c r="F10" s="118"/>
      <c r="G10" s="114">
        <f t="shared" ref="G10:G36" si="1">+G9+E10-F10</f>
        <v>10</v>
      </c>
      <c r="H10" s="28"/>
      <c r="I10" s="7"/>
    </row>
    <row r="11" spans="1:10" ht="18" customHeight="1" x14ac:dyDescent="0.25">
      <c r="A11" s="14">
        <f t="shared" si="0"/>
        <v>3</v>
      </c>
      <c r="B11" s="8"/>
      <c r="C11" s="15"/>
      <c r="D11" s="133"/>
      <c r="E11" s="16"/>
      <c r="F11" s="118"/>
      <c r="G11" s="114">
        <f t="shared" si="1"/>
        <v>10</v>
      </c>
      <c r="H11" s="28"/>
      <c r="I11" s="7"/>
    </row>
    <row r="12" spans="1:10" ht="18" customHeight="1" x14ac:dyDescent="0.25">
      <c r="A12" s="14">
        <f t="shared" si="0"/>
        <v>4</v>
      </c>
      <c r="B12" s="37"/>
      <c r="C12" s="15"/>
      <c r="D12" s="133"/>
      <c r="E12" s="16"/>
      <c r="F12" s="119"/>
      <c r="G12" s="114">
        <f t="shared" si="1"/>
        <v>10</v>
      </c>
      <c r="H12" s="28"/>
      <c r="I12" s="7"/>
    </row>
    <row r="13" spans="1:10" ht="18" customHeight="1" x14ac:dyDescent="0.25">
      <c r="A13" s="14">
        <f t="shared" si="0"/>
        <v>5</v>
      </c>
      <c r="B13" s="134"/>
      <c r="C13" s="15"/>
      <c r="D13" s="133"/>
      <c r="E13" s="135"/>
      <c r="F13" s="135"/>
      <c r="G13" s="136">
        <f t="shared" si="1"/>
        <v>10</v>
      </c>
      <c r="H13" s="28"/>
      <c r="I13" s="137"/>
    </row>
    <row r="14" spans="1:10" ht="18" customHeight="1" x14ac:dyDescent="0.25">
      <c r="A14" s="14">
        <f t="shared" si="0"/>
        <v>6</v>
      </c>
      <c r="B14" s="37"/>
      <c r="C14" s="15"/>
      <c r="D14" s="133"/>
      <c r="E14" s="11"/>
      <c r="F14" s="12"/>
      <c r="G14" s="114">
        <f t="shared" si="1"/>
        <v>10</v>
      </c>
      <c r="H14" s="138"/>
      <c r="I14" s="7"/>
      <c r="J14" s="26"/>
    </row>
    <row r="15" spans="1:10" ht="18" customHeight="1" x14ac:dyDescent="0.25">
      <c r="A15" s="14">
        <f t="shared" si="0"/>
        <v>7</v>
      </c>
      <c r="B15" s="37"/>
      <c r="C15" s="15"/>
      <c r="D15" s="133"/>
      <c r="E15" s="16"/>
      <c r="F15" s="27"/>
      <c r="G15" s="114">
        <f t="shared" si="1"/>
        <v>10</v>
      </c>
      <c r="H15" s="138"/>
      <c r="I15" s="7"/>
    </row>
    <row r="16" spans="1:10" ht="18" customHeight="1" x14ac:dyDescent="0.25">
      <c r="A16" s="14">
        <f t="shared" si="0"/>
        <v>8</v>
      </c>
      <c r="B16" s="8"/>
      <c r="C16" s="15"/>
      <c r="D16" s="133"/>
      <c r="E16" s="16"/>
      <c r="F16" s="119"/>
      <c r="G16" s="114">
        <f t="shared" si="1"/>
        <v>10</v>
      </c>
      <c r="H16" s="138"/>
      <c r="I16" s="7"/>
    </row>
    <row r="17" spans="1:9" ht="18" customHeight="1" x14ac:dyDescent="0.25">
      <c r="A17" s="14">
        <f t="shared" si="0"/>
        <v>9</v>
      </c>
      <c r="B17" s="8"/>
      <c r="C17" s="15"/>
      <c r="D17" s="133"/>
      <c r="E17" s="16"/>
      <c r="F17" s="27"/>
      <c r="G17" s="114">
        <f t="shared" si="1"/>
        <v>10</v>
      </c>
      <c r="H17" s="138"/>
      <c r="I17" s="7"/>
    </row>
    <row r="18" spans="1:9" ht="18" customHeight="1" x14ac:dyDescent="0.25">
      <c r="A18" s="14">
        <f t="shared" si="0"/>
        <v>10</v>
      </c>
      <c r="B18" s="8"/>
      <c r="C18" s="15"/>
      <c r="D18" s="133"/>
      <c r="E18" s="16"/>
      <c r="F18" s="118"/>
      <c r="G18" s="114">
        <f t="shared" si="1"/>
        <v>10</v>
      </c>
      <c r="H18" s="138"/>
      <c r="I18" s="7"/>
    </row>
    <row r="19" spans="1:9" ht="18" customHeight="1" x14ac:dyDescent="0.25">
      <c r="A19" s="14">
        <f t="shared" si="0"/>
        <v>11</v>
      </c>
      <c r="B19" s="8"/>
      <c r="C19" s="15"/>
      <c r="D19" s="133"/>
      <c r="E19" s="16"/>
      <c r="F19" s="118"/>
      <c r="G19" s="114">
        <f t="shared" si="1"/>
        <v>10</v>
      </c>
      <c r="H19" s="138"/>
      <c r="I19" s="7"/>
    </row>
    <row r="20" spans="1:9" ht="18" customHeight="1" x14ac:dyDescent="0.25">
      <c r="A20" s="14">
        <f t="shared" si="0"/>
        <v>12</v>
      </c>
      <c r="B20" s="8"/>
      <c r="C20" s="15"/>
      <c r="D20" s="133"/>
      <c r="E20" s="16"/>
      <c r="F20" s="119"/>
      <c r="G20" s="114">
        <f t="shared" si="1"/>
        <v>10</v>
      </c>
      <c r="H20" s="138"/>
      <c r="I20" s="138"/>
    </row>
    <row r="21" spans="1:9" ht="18" customHeight="1" x14ac:dyDescent="0.25">
      <c r="A21" s="14">
        <f t="shared" si="0"/>
        <v>13</v>
      </c>
      <c r="B21" s="8"/>
      <c r="C21" s="15"/>
      <c r="D21" s="133"/>
      <c r="E21" s="16"/>
      <c r="F21" s="119"/>
      <c r="G21" s="114">
        <f t="shared" si="1"/>
        <v>10</v>
      </c>
      <c r="H21" s="138"/>
      <c r="I21" s="7"/>
    </row>
    <row r="22" spans="1:9" ht="18" customHeight="1" x14ac:dyDescent="0.25">
      <c r="A22" s="14">
        <f t="shared" si="0"/>
        <v>14</v>
      </c>
      <c r="B22" s="8"/>
      <c r="C22" s="15"/>
      <c r="D22" s="133"/>
      <c r="E22" s="16"/>
      <c r="F22" s="119"/>
      <c r="G22" s="114">
        <f t="shared" si="1"/>
        <v>10</v>
      </c>
      <c r="H22" s="138"/>
      <c r="I22" s="7"/>
    </row>
    <row r="23" spans="1:9" ht="18" customHeight="1" x14ac:dyDescent="0.25">
      <c r="A23" s="14">
        <f t="shared" si="0"/>
        <v>15</v>
      </c>
      <c r="B23" s="8"/>
      <c r="C23" s="15"/>
      <c r="D23" s="133"/>
      <c r="E23" s="16"/>
      <c r="F23" s="119"/>
      <c r="G23" s="139">
        <f t="shared" si="1"/>
        <v>10</v>
      </c>
      <c r="H23" s="138"/>
      <c r="I23" s="7"/>
    </row>
    <row r="24" spans="1:9" ht="18" customHeight="1" x14ac:dyDescent="0.25">
      <c r="A24" s="14">
        <f t="shared" si="0"/>
        <v>16</v>
      </c>
      <c r="B24" s="8"/>
      <c r="C24" s="15"/>
      <c r="D24" s="133"/>
      <c r="E24" s="16"/>
      <c r="F24" s="119"/>
      <c r="G24" s="139">
        <f t="shared" si="1"/>
        <v>10</v>
      </c>
      <c r="H24" s="18"/>
      <c r="I24" s="7"/>
    </row>
    <row r="25" spans="1:9" ht="18" customHeight="1" x14ac:dyDescent="0.25">
      <c r="A25" s="14">
        <f t="shared" si="0"/>
        <v>17</v>
      </c>
      <c r="B25" s="8"/>
      <c r="C25" s="15"/>
      <c r="D25" s="133"/>
      <c r="E25" s="30"/>
      <c r="F25" s="119"/>
      <c r="G25" s="139">
        <f t="shared" si="1"/>
        <v>10</v>
      </c>
      <c r="H25" s="18"/>
      <c r="I25" s="7"/>
    </row>
    <row r="26" spans="1:9" ht="18" customHeight="1" x14ac:dyDescent="0.25">
      <c r="A26" s="14">
        <f t="shared" si="0"/>
        <v>18</v>
      </c>
      <c r="B26" s="8"/>
      <c r="C26" s="15"/>
      <c r="D26" s="133"/>
      <c r="E26" s="16"/>
      <c r="F26" s="119"/>
      <c r="G26" s="139">
        <f t="shared" si="1"/>
        <v>10</v>
      </c>
      <c r="H26" s="18"/>
      <c r="I26" s="7"/>
    </row>
    <row r="27" spans="1:9" ht="18" customHeight="1" x14ac:dyDescent="0.25">
      <c r="A27" s="14">
        <f t="shared" si="0"/>
        <v>19</v>
      </c>
      <c r="B27" s="8"/>
      <c r="C27" s="15"/>
      <c r="D27" s="133"/>
      <c r="E27" s="16"/>
      <c r="F27" s="119"/>
      <c r="G27" s="139">
        <f t="shared" si="1"/>
        <v>10</v>
      </c>
      <c r="H27" s="18"/>
      <c r="I27" s="7"/>
    </row>
    <row r="28" spans="1:9" ht="18" customHeight="1" x14ac:dyDescent="0.25">
      <c r="A28" s="14">
        <f t="shared" si="0"/>
        <v>20</v>
      </c>
      <c r="B28" s="37"/>
      <c r="C28" s="15"/>
      <c r="D28" s="133"/>
      <c r="E28" s="16"/>
      <c r="F28" s="119"/>
      <c r="G28" s="139">
        <f t="shared" si="1"/>
        <v>10</v>
      </c>
      <c r="H28" s="18"/>
      <c r="I28" s="7"/>
    </row>
    <row r="29" spans="1:9" ht="18" customHeight="1" x14ac:dyDescent="0.25">
      <c r="A29" s="14">
        <f t="shared" si="0"/>
        <v>21</v>
      </c>
      <c r="B29" s="37"/>
      <c r="C29" s="15"/>
      <c r="D29" s="10"/>
      <c r="E29" s="32"/>
      <c r="F29" s="119"/>
      <c r="G29" s="139">
        <f t="shared" si="1"/>
        <v>10</v>
      </c>
      <c r="H29" s="18"/>
      <c r="I29" s="7"/>
    </row>
    <row r="30" spans="1:9" ht="18" customHeight="1" x14ac:dyDescent="0.25">
      <c r="A30" s="14">
        <f t="shared" si="0"/>
        <v>22</v>
      </c>
      <c r="B30" s="37"/>
      <c r="C30" s="15"/>
      <c r="D30" s="10"/>
      <c r="E30" s="32"/>
      <c r="F30" s="119"/>
      <c r="G30" s="139">
        <f t="shared" si="1"/>
        <v>10</v>
      </c>
      <c r="H30" s="18"/>
      <c r="I30" s="7"/>
    </row>
    <row r="31" spans="1:9" ht="18" customHeight="1" x14ac:dyDescent="0.25">
      <c r="A31" s="14">
        <f t="shared" si="0"/>
        <v>23</v>
      </c>
      <c r="B31" s="37"/>
      <c r="C31" s="15"/>
      <c r="D31" s="10"/>
      <c r="E31" s="32"/>
      <c r="F31" s="119"/>
      <c r="G31" s="139">
        <f t="shared" si="1"/>
        <v>10</v>
      </c>
      <c r="H31" s="18"/>
      <c r="I31" s="7"/>
    </row>
    <row r="32" spans="1:9" ht="18" customHeight="1" x14ac:dyDescent="0.25">
      <c r="A32" s="14">
        <f t="shared" si="0"/>
        <v>24</v>
      </c>
      <c r="B32" s="37"/>
      <c r="C32" s="15"/>
      <c r="D32" s="10"/>
      <c r="E32" s="32"/>
      <c r="F32" s="119"/>
      <c r="G32" s="139">
        <f t="shared" si="1"/>
        <v>10</v>
      </c>
      <c r="H32" s="18"/>
      <c r="I32" s="7"/>
    </row>
    <row r="33" spans="1:9" ht="18" customHeight="1" x14ac:dyDescent="0.25">
      <c r="A33" s="14">
        <f t="shared" si="0"/>
        <v>25</v>
      </c>
      <c r="B33" s="37"/>
      <c r="C33" s="15"/>
      <c r="D33" s="10"/>
      <c r="E33" s="32"/>
      <c r="F33" s="119"/>
      <c r="G33" s="139">
        <f t="shared" si="1"/>
        <v>10</v>
      </c>
      <c r="H33" s="18"/>
      <c r="I33" s="7"/>
    </row>
    <row r="34" spans="1:9" ht="18" customHeight="1" x14ac:dyDescent="0.25">
      <c r="A34" s="14">
        <f t="shared" si="0"/>
        <v>26</v>
      </c>
      <c r="B34" s="37"/>
      <c r="C34" s="15"/>
      <c r="D34" s="10"/>
      <c r="E34" s="32"/>
      <c r="F34" s="119"/>
      <c r="G34" s="139">
        <f t="shared" si="1"/>
        <v>10</v>
      </c>
      <c r="H34" s="18"/>
      <c r="I34" s="7"/>
    </row>
    <row r="35" spans="1:9" ht="18" customHeight="1" x14ac:dyDescent="0.25">
      <c r="A35" s="14">
        <f t="shared" si="0"/>
        <v>27</v>
      </c>
      <c r="B35" s="37"/>
      <c r="C35" s="15"/>
      <c r="D35" s="10"/>
      <c r="E35" s="32"/>
      <c r="F35" s="27"/>
      <c r="G35" s="139">
        <f t="shared" si="1"/>
        <v>10</v>
      </c>
      <c r="H35" s="18"/>
      <c r="I35" s="7"/>
    </row>
    <row r="36" spans="1:9" x14ac:dyDescent="0.25">
      <c r="A36" s="14" t="e">
        <f>+#REF!+1</f>
        <v>#REF!</v>
      </c>
      <c r="B36" s="134"/>
      <c r="C36" s="7"/>
      <c r="D36" s="14"/>
      <c r="E36" s="140"/>
      <c r="F36" s="141"/>
      <c r="G36" s="139">
        <f t="shared" si="1"/>
        <v>10</v>
      </c>
      <c r="H36" s="18"/>
      <c r="I36" s="7"/>
    </row>
    <row r="37" spans="1:9" x14ac:dyDescent="0.25">
      <c r="A37" s="7"/>
      <c r="B37" s="7"/>
      <c r="C37" s="34" t="s">
        <v>13</v>
      </c>
      <c r="D37" s="7"/>
      <c r="E37" s="36">
        <f>SUM(E9:E36)</f>
        <v>0</v>
      </c>
      <c r="F37" s="36">
        <f>SUM(F9:F36)</f>
        <v>0</v>
      </c>
      <c r="G37" s="36">
        <f>+E37-F37+G8</f>
        <v>10</v>
      </c>
      <c r="H37" s="36"/>
      <c r="I37" s="36"/>
    </row>
    <row r="38" spans="1:9" x14ac:dyDescent="0.25">
      <c r="E38" s="120"/>
      <c r="F38" s="120"/>
    </row>
  </sheetData>
  <mergeCells count="1">
    <mergeCell ref="A4:I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6"/>
  <dimension ref="A1:J97"/>
  <sheetViews>
    <sheetView topLeftCell="B1" zoomScale="115" zoomScaleNormal="115" workbookViewId="0">
      <selection activeCell="E24" sqref="E24"/>
    </sheetView>
  </sheetViews>
  <sheetFormatPr defaultRowHeight="15" x14ac:dyDescent="0.25"/>
  <cols>
    <col min="1" max="1" width="6" customWidth="1"/>
    <col min="2" max="2" width="11.5703125" style="1" customWidth="1"/>
    <col min="3" max="3" width="45.42578125" customWidth="1"/>
    <col min="4" max="4" width="8" customWidth="1"/>
    <col min="5" max="5" width="12.28515625" customWidth="1"/>
    <col min="6" max="6" width="12" style="110" customWidth="1"/>
    <col min="7" max="7" width="13" customWidth="1"/>
    <col min="8" max="8" width="21.140625" customWidth="1"/>
    <col min="9" max="9" width="12.42578125" customWidth="1"/>
    <col min="10" max="10" width="12.85546875" bestFit="1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6" max="266" width="12.85546875" bestFit="1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2" max="522" width="12.85546875" bestFit="1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78" max="778" width="12.85546875" bestFit="1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4" max="1034" width="12.85546875" bestFit="1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0" max="1290" width="12.85546875" bestFit="1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6" max="1546" width="12.85546875" bestFit="1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2" max="1802" width="12.85546875" bestFit="1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58" max="2058" width="12.85546875" bestFit="1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4" max="2314" width="12.85546875" bestFit="1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0" max="2570" width="12.85546875" bestFit="1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6" max="2826" width="12.85546875" bestFit="1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2" max="3082" width="12.85546875" bestFit="1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38" max="3338" width="12.85546875" bestFit="1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4" max="3594" width="12.85546875" bestFit="1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0" max="3850" width="12.85546875" bestFit="1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6" max="4106" width="12.85546875" bestFit="1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2" max="4362" width="12.85546875" bestFit="1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18" max="4618" width="12.85546875" bestFit="1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4" max="4874" width="12.85546875" bestFit="1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0" max="5130" width="12.85546875" bestFit="1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6" max="5386" width="12.85546875" bestFit="1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2" max="5642" width="12.85546875" bestFit="1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898" max="5898" width="12.85546875" bestFit="1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4" max="6154" width="12.85546875" bestFit="1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0" max="6410" width="12.85546875" bestFit="1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6" max="6666" width="12.85546875" bestFit="1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2" max="6922" width="12.85546875" bestFit="1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78" max="7178" width="12.85546875" bestFit="1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4" max="7434" width="12.85546875" bestFit="1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0" max="7690" width="12.85546875" bestFit="1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6" max="7946" width="12.85546875" bestFit="1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2" max="8202" width="12.85546875" bestFit="1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58" max="8458" width="12.85546875" bestFit="1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4" max="8714" width="12.85546875" bestFit="1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0" max="8970" width="12.85546875" bestFit="1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6" max="9226" width="12.85546875" bestFit="1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2" max="9482" width="12.85546875" bestFit="1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38" max="9738" width="12.85546875" bestFit="1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4" max="9994" width="12.85546875" bestFit="1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0" max="10250" width="12.85546875" bestFit="1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6" max="10506" width="12.85546875" bestFit="1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2" max="10762" width="12.85546875" bestFit="1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18" max="11018" width="12.85546875" bestFit="1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4" max="11274" width="12.85546875" bestFit="1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0" max="11530" width="12.85546875" bestFit="1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6" max="11786" width="12.85546875" bestFit="1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2" max="12042" width="12.85546875" bestFit="1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298" max="12298" width="12.85546875" bestFit="1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4" max="12554" width="12.85546875" bestFit="1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0" max="12810" width="12.85546875" bestFit="1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6" max="13066" width="12.85546875" bestFit="1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2" max="13322" width="12.85546875" bestFit="1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78" max="13578" width="12.85546875" bestFit="1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4" max="13834" width="12.85546875" bestFit="1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0" max="14090" width="12.85546875" bestFit="1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6" max="14346" width="12.85546875" bestFit="1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2" max="14602" width="12.85546875" bestFit="1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58" max="14858" width="12.85546875" bestFit="1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4" max="15114" width="12.85546875" bestFit="1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0" max="15370" width="12.85546875" bestFit="1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6" max="15626" width="12.85546875" bestFit="1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2" max="15882" width="12.85546875" bestFit="1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38" max="16138" width="12.85546875" bestFit="1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62" t="str">
        <f>+'[1]Thùng cattong khăn soft pack'!A4:I5</f>
        <v>THẺ KHO NGUYÊN VẬT LIỆU</v>
      </c>
      <c r="B4" s="462"/>
      <c r="C4" s="462"/>
      <c r="D4" s="462"/>
      <c r="E4" s="462"/>
      <c r="F4" s="462"/>
      <c r="G4" s="462"/>
      <c r="H4" s="462"/>
      <c r="I4" s="462"/>
    </row>
    <row r="5" spans="1:10" x14ac:dyDescent="0.25">
      <c r="A5" s="462"/>
      <c r="B5" s="462"/>
      <c r="C5" s="462"/>
      <c r="D5" s="462"/>
      <c r="E5" s="462"/>
      <c r="F5" s="462"/>
      <c r="G5" s="462"/>
      <c r="H5" s="462"/>
      <c r="I5" s="462"/>
    </row>
    <row r="7" spans="1:10" ht="27.75" customHeight="1" x14ac:dyDescent="0.25">
      <c r="A7" s="4" t="s">
        <v>3</v>
      </c>
      <c r="B7" s="5" t="s">
        <v>4</v>
      </c>
      <c r="C7" s="4" t="s">
        <v>117</v>
      </c>
      <c r="D7" s="4" t="s">
        <v>5</v>
      </c>
      <c r="E7" s="6" t="s">
        <v>6</v>
      </c>
      <c r="F7" s="112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3"/>
      <c r="G8" s="142">
        <v>132</v>
      </c>
      <c r="H8" s="7"/>
      <c r="I8" s="7" t="s">
        <v>144</v>
      </c>
    </row>
    <row r="9" spans="1:10" ht="18" customHeight="1" x14ac:dyDescent="0.25">
      <c r="A9" s="14">
        <v>1</v>
      </c>
      <c r="B9" s="39"/>
      <c r="C9" s="15" t="s">
        <v>111</v>
      </c>
      <c r="D9" s="14" t="s">
        <v>19</v>
      </c>
      <c r="E9" s="143"/>
      <c r="F9" s="118"/>
      <c r="G9" s="144">
        <f t="shared" ref="G9:G72" si="0">+G8+E9-F9</f>
        <v>132</v>
      </c>
      <c r="H9" s="7" t="s">
        <v>89</v>
      </c>
      <c r="I9" s="7" t="s">
        <v>90</v>
      </c>
    </row>
    <row r="10" spans="1:10" ht="18" customHeight="1" x14ac:dyDescent="0.25">
      <c r="A10" s="14">
        <f t="shared" ref="A10:A67" si="1">+A9+1</f>
        <v>2</v>
      </c>
      <c r="B10" s="39"/>
      <c r="C10" s="15" t="s">
        <v>111</v>
      </c>
      <c r="D10" s="14" t="s">
        <v>19</v>
      </c>
      <c r="E10" s="132"/>
      <c r="F10" s="118"/>
      <c r="G10" s="144">
        <f t="shared" si="0"/>
        <v>132</v>
      </c>
      <c r="H10" s="7" t="s">
        <v>89</v>
      </c>
      <c r="I10" s="7" t="s">
        <v>90</v>
      </c>
    </row>
    <row r="11" spans="1:10" ht="18" customHeight="1" x14ac:dyDescent="0.25">
      <c r="A11" s="14">
        <f t="shared" si="1"/>
        <v>3</v>
      </c>
      <c r="B11" s="39"/>
      <c r="C11" s="15" t="s">
        <v>111</v>
      </c>
      <c r="D11" s="14" t="s">
        <v>19</v>
      </c>
      <c r="E11" s="143"/>
      <c r="F11" s="125"/>
      <c r="G11" s="144">
        <f t="shared" si="0"/>
        <v>132</v>
      </c>
      <c r="H11" s="7" t="s">
        <v>89</v>
      </c>
      <c r="I11" s="7" t="s">
        <v>90</v>
      </c>
    </row>
    <row r="12" spans="1:10" ht="18" customHeight="1" x14ac:dyDescent="0.25">
      <c r="A12" s="14">
        <f t="shared" si="1"/>
        <v>4</v>
      </c>
      <c r="B12" s="39"/>
      <c r="C12" s="15" t="s">
        <v>111</v>
      </c>
      <c r="D12" s="14" t="s">
        <v>19</v>
      </c>
      <c r="E12" s="113"/>
      <c r="F12" s="125"/>
      <c r="G12" s="144">
        <f t="shared" si="0"/>
        <v>132</v>
      </c>
      <c r="H12" s="7" t="s">
        <v>89</v>
      </c>
      <c r="I12" s="7" t="s">
        <v>90</v>
      </c>
    </row>
    <row r="13" spans="1:10" ht="18" customHeight="1" x14ac:dyDescent="0.25">
      <c r="A13" s="14">
        <f t="shared" si="1"/>
        <v>5</v>
      </c>
      <c r="B13" s="39"/>
      <c r="C13" s="15" t="s">
        <v>111</v>
      </c>
      <c r="D13" s="14" t="s">
        <v>19</v>
      </c>
      <c r="E13" s="145"/>
      <c r="F13" s="127"/>
      <c r="G13" s="144">
        <f t="shared" si="0"/>
        <v>132</v>
      </c>
      <c r="H13" s="7" t="s">
        <v>89</v>
      </c>
      <c r="I13" s="7" t="s">
        <v>90</v>
      </c>
    </row>
    <row r="14" spans="1:10" ht="18" customHeight="1" x14ac:dyDescent="0.25">
      <c r="A14" s="14">
        <f t="shared" si="1"/>
        <v>6</v>
      </c>
      <c r="B14" s="39"/>
      <c r="C14" s="15" t="s">
        <v>111</v>
      </c>
      <c r="D14" s="14" t="s">
        <v>19</v>
      </c>
      <c r="E14" s="11"/>
      <c r="F14" s="127"/>
      <c r="G14" s="144">
        <f t="shared" si="0"/>
        <v>132</v>
      </c>
      <c r="H14" s="7" t="s">
        <v>89</v>
      </c>
      <c r="I14" s="7" t="s">
        <v>90</v>
      </c>
      <c r="J14" s="26"/>
    </row>
    <row r="15" spans="1:10" ht="18" customHeight="1" x14ac:dyDescent="0.25">
      <c r="A15" s="14">
        <f t="shared" si="1"/>
        <v>7</v>
      </c>
      <c r="B15" s="39"/>
      <c r="C15" s="15" t="s">
        <v>111</v>
      </c>
      <c r="D15" s="14" t="s">
        <v>19</v>
      </c>
      <c r="E15" s="113"/>
      <c r="F15" s="127"/>
      <c r="G15" s="144">
        <f t="shared" si="0"/>
        <v>132</v>
      </c>
      <c r="H15" s="7" t="s">
        <v>89</v>
      </c>
      <c r="I15" s="7" t="s">
        <v>90</v>
      </c>
    </row>
    <row r="16" spans="1:10" ht="18" customHeight="1" x14ac:dyDescent="0.25">
      <c r="A16" s="14">
        <f t="shared" si="1"/>
        <v>8</v>
      </c>
      <c r="B16" s="39"/>
      <c r="C16" s="15" t="s">
        <v>111</v>
      </c>
      <c r="D16" s="14" t="s">
        <v>19</v>
      </c>
      <c r="E16" s="113"/>
      <c r="F16" s="127"/>
      <c r="G16" s="144">
        <f t="shared" si="0"/>
        <v>132</v>
      </c>
      <c r="H16" s="7" t="s">
        <v>89</v>
      </c>
      <c r="I16" s="7" t="s">
        <v>90</v>
      </c>
    </row>
    <row r="17" spans="1:10" ht="18" customHeight="1" x14ac:dyDescent="0.25">
      <c r="A17" s="14">
        <f t="shared" si="1"/>
        <v>9</v>
      </c>
      <c r="B17" s="43"/>
      <c r="C17" s="15" t="s">
        <v>111</v>
      </c>
      <c r="D17" s="14" t="s">
        <v>19</v>
      </c>
      <c r="E17" s="16"/>
      <c r="F17" s="125"/>
      <c r="G17" s="144">
        <f t="shared" si="0"/>
        <v>132</v>
      </c>
      <c r="H17" s="7" t="s">
        <v>89</v>
      </c>
      <c r="I17" s="7" t="s">
        <v>90</v>
      </c>
    </row>
    <row r="18" spans="1:10" ht="18" customHeight="1" x14ac:dyDescent="0.25">
      <c r="A18" s="14">
        <f t="shared" si="1"/>
        <v>10</v>
      </c>
      <c r="B18" s="43"/>
      <c r="C18" s="15" t="s">
        <v>111</v>
      </c>
      <c r="D18" s="14" t="s">
        <v>19</v>
      </c>
      <c r="E18" s="132"/>
      <c r="F18" s="125"/>
      <c r="G18" s="144">
        <f t="shared" si="0"/>
        <v>132</v>
      </c>
      <c r="H18" s="7" t="s">
        <v>89</v>
      </c>
      <c r="I18" s="7" t="s">
        <v>90</v>
      </c>
    </row>
    <row r="19" spans="1:10" ht="18" customHeight="1" x14ac:dyDescent="0.25">
      <c r="A19" s="14">
        <f t="shared" si="1"/>
        <v>11</v>
      </c>
      <c r="B19" s="39"/>
      <c r="C19" s="15" t="s">
        <v>111</v>
      </c>
      <c r="D19" s="14" t="s">
        <v>19</v>
      </c>
      <c r="E19" s="16"/>
      <c r="F19" s="125"/>
      <c r="G19" s="144">
        <f t="shared" si="0"/>
        <v>132</v>
      </c>
      <c r="H19" s="7" t="s">
        <v>89</v>
      </c>
      <c r="I19" s="7" t="s">
        <v>90</v>
      </c>
    </row>
    <row r="20" spans="1:10" ht="18" customHeight="1" x14ac:dyDescent="0.25">
      <c r="A20" s="14">
        <f t="shared" si="1"/>
        <v>12</v>
      </c>
      <c r="B20" s="39"/>
      <c r="C20" s="15" t="s">
        <v>111</v>
      </c>
      <c r="D20" s="14" t="s">
        <v>19</v>
      </c>
      <c r="E20" s="16"/>
      <c r="F20" s="125"/>
      <c r="G20" s="144">
        <f t="shared" si="0"/>
        <v>132</v>
      </c>
      <c r="H20" s="7" t="s">
        <v>89</v>
      </c>
      <c r="I20" s="7" t="s">
        <v>90</v>
      </c>
      <c r="J20" s="146">
        <f>8077000-5867000</f>
        <v>2210000</v>
      </c>
    </row>
    <row r="21" spans="1:10" ht="18" customHeight="1" x14ac:dyDescent="0.25">
      <c r="A21" s="14">
        <f t="shared" si="1"/>
        <v>13</v>
      </c>
      <c r="B21" s="39"/>
      <c r="C21" s="15" t="s">
        <v>111</v>
      </c>
      <c r="D21" s="14" t="s">
        <v>19</v>
      </c>
      <c r="E21" s="16"/>
      <c r="F21" s="118"/>
      <c r="G21" s="144">
        <f t="shared" si="0"/>
        <v>132</v>
      </c>
      <c r="H21" s="7" t="s">
        <v>89</v>
      </c>
      <c r="I21" s="7" t="s">
        <v>90</v>
      </c>
    </row>
    <row r="22" spans="1:10" ht="18" customHeight="1" x14ac:dyDescent="0.25">
      <c r="A22" s="14">
        <f t="shared" si="1"/>
        <v>14</v>
      </c>
      <c r="B22" s="39"/>
      <c r="C22" s="15" t="s">
        <v>111</v>
      </c>
      <c r="D22" s="14" t="s">
        <v>19</v>
      </c>
      <c r="E22" s="16"/>
      <c r="F22" s="118"/>
      <c r="G22" s="144">
        <f t="shared" si="0"/>
        <v>132</v>
      </c>
      <c r="H22" s="7" t="s">
        <v>89</v>
      </c>
      <c r="I22" s="7" t="s">
        <v>90</v>
      </c>
    </row>
    <row r="23" spans="1:10" ht="18" customHeight="1" x14ac:dyDescent="0.25">
      <c r="A23" s="14">
        <f t="shared" si="1"/>
        <v>15</v>
      </c>
      <c r="B23" s="39"/>
      <c r="C23" s="15" t="s">
        <v>111</v>
      </c>
      <c r="D23" s="14" t="s">
        <v>19</v>
      </c>
      <c r="E23" s="16"/>
      <c r="F23" s="118"/>
      <c r="G23" s="144">
        <f t="shared" si="0"/>
        <v>132</v>
      </c>
      <c r="H23" s="7" t="s">
        <v>89</v>
      </c>
      <c r="I23" s="7" t="s">
        <v>90</v>
      </c>
    </row>
    <row r="24" spans="1:10" ht="18" customHeight="1" x14ac:dyDescent="0.25">
      <c r="A24" s="14">
        <f t="shared" si="1"/>
        <v>16</v>
      </c>
      <c r="B24" s="39"/>
      <c r="C24" s="15" t="s">
        <v>111</v>
      </c>
      <c r="D24" s="14" t="s">
        <v>19</v>
      </c>
      <c r="E24" s="132"/>
      <c r="F24" s="118"/>
      <c r="G24" s="144">
        <f t="shared" si="0"/>
        <v>132</v>
      </c>
      <c r="H24" s="7" t="s">
        <v>89</v>
      </c>
      <c r="I24" s="7" t="s">
        <v>90</v>
      </c>
    </row>
    <row r="25" spans="1:10" ht="18" customHeight="1" x14ac:dyDescent="0.25">
      <c r="A25" s="14">
        <f t="shared" si="1"/>
        <v>17</v>
      </c>
      <c r="B25" s="39"/>
      <c r="C25" s="15" t="s">
        <v>111</v>
      </c>
      <c r="D25" s="14" t="s">
        <v>19</v>
      </c>
      <c r="E25" s="16"/>
      <c r="F25" s="118"/>
      <c r="G25" s="144">
        <f t="shared" si="0"/>
        <v>132</v>
      </c>
      <c r="H25" s="7" t="s">
        <v>89</v>
      </c>
      <c r="I25" s="7" t="s">
        <v>90</v>
      </c>
    </row>
    <row r="26" spans="1:10" ht="18" customHeight="1" x14ac:dyDescent="0.25">
      <c r="A26" s="14">
        <f t="shared" si="1"/>
        <v>18</v>
      </c>
      <c r="B26" s="39"/>
      <c r="C26" s="15" t="s">
        <v>111</v>
      </c>
      <c r="D26" s="14" t="s">
        <v>19</v>
      </c>
      <c r="E26" s="16"/>
      <c r="F26" s="118"/>
      <c r="G26" s="144">
        <f t="shared" si="0"/>
        <v>132</v>
      </c>
      <c r="H26" s="7" t="s">
        <v>89</v>
      </c>
      <c r="I26" s="7" t="s">
        <v>90</v>
      </c>
    </row>
    <row r="27" spans="1:10" ht="18" customHeight="1" x14ac:dyDescent="0.25">
      <c r="A27" s="14">
        <f t="shared" si="1"/>
        <v>19</v>
      </c>
      <c r="B27" s="39"/>
      <c r="C27" s="15" t="s">
        <v>111</v>
      </c>
      <c r="D27" s="14" t="s">
        <v>19</v>
      </c>
      <c r="E27" s="16"/>
      <c r="F27" s="118"/>
      <c r="G27" s="144">
        <f t="shared" si="0"/>
        <v>132</v>
      </c>
      <c r="H27" s="7" t="s">
        <v>89</v>
      </c>
      <c r="I27" s="7" t="s">
        <v>90</v>
      </c>
    </row>
    <row r="28" spans="1:10" ht="18" customHeight="1" x14ac:dyDescent="0.25">
      <c r="A28" s="14">
        <f t="shared" si="1"/>
        <v>20</v>
      </c>
      <c r="B28" s="39"/>
      <c r="C28" s="15" t="s">
        <v>111</v>
      </c>
      <c r="D28" s="14" t="s">
        <v>19</v>
      </c>
      <c r="E28" s="16"/>
      <c r="F28" s="118"/>
      <c r="G28" s="144">
        <f t="shared" si="0"/>
        <v>132</v>
      </c>
      <c r="H28" s="7" t="s">
        <v>89</v>
      </c>
      <c r="I28" s="7" t="s">
        <v>90</v>
      </c>
    </row>
    <row r="29" spans="1:10" ht="18" customHeight="1" x14ac:dyDescent="0.25">
      <c r="A29" s="14">
        <f t="shared" si="1"/>
        <v>21</v>
      </c>
      <c r="B29" s="39"/>
      <c r="C29" s="15" t="s">
        <v>111</v>
      </c>
      <c r="D29" s="14" t="s">
        <v>19</v>
      </c>
      <c r="E29" s="16"/>
      <c r="F29" s="118"/>
      <c r="G29" s="144">
        <f t="shared" si="0"/>
        <v>132</v>
      </c>
      <c r="H29" s="7" t="s">
        <v>89</v>
      </c>
      <c r="I29" s="7" t="s">
        <v>90</v>
      </c>
    </row>
    <row r="30" spans="1:10" ht="18" customHeight="1" x14ac:dyDescent="0.25">
      <c r="A30" s="14">
        <f t="shared" si="1"/>
        <v>22</v>
      </c>
      <c r="B30" s="39"/>
      <c r="C30" s="15" t="s">
        <v>111</v>
      </c>
      <c r="D30" s="14" t="s">
        <v>19</v>
      </c>
      <c r="E30" s="16"/>
      <c r="F30" s="118"/>
      <c r="G30" s="144">
        <f t="shared" si="0"/>
        <v>132</v>
      </c>
      <c r="H30" s="7" t="s">
        <v>89</v>
      </c>
      <c r="I30" s="7" t="s">
        <v>90</v>
      </c>
    </row>
    <row r="31" spans="1:10" ht="18" customHeight="1" x14ac:dyDescent="0.25">
      <c r="A31" s="14">
        <f t="shared" si="1"/>
        <v>23</v>
      </c>
      <c r="B31" s="39"/>
      <c r="C31" s="15" t="s">
        <v>111</v>
      </c>
      <c r="D31" s="14" t="s">
        <v>19</v>
      </c>
      <c r="E31" s="16"/>
      <c r="F31" s="119"/>
      <c r="G31" s="144">
        <f t="shared" si="0"/>
        <v>132</v>
      </c>
      <c r="H31" s="7" t="s">
        <v>89</v>
      </c>
      <c r="I31" s="7" t="s">
        <v>90</v>
      </c>
    </row>
    <row r="32" spans="1:10" ht="18" customHeight="1" x14ac:dyDescent="0.25">
      <c r="A32" s="14">
        <f t="shared" si="1"/>
        <v>24</v>
      </c>
      <c r="B32" s="39"/>
      <c r="C32" s="15" t="s">
        <v>111</v>
      </c>
      <c r="D32" s="14" t="s">
        <v>19</v>
      </c>
      <c r="E32" s="16"/>
      <c r="F32" s="118"/>
      <c r="G32" s="144">
        <f t="shared" si="0"/>
        <v>132</v>
      </c>
      <c r="H32" s="7" t="s">
        <v>89</v>
      </c>
      <c r="I32" s="7" t="s">
        <v>90</v>
      </c>
    </row>
    <row r="33" spans="1:9" ht="18" customHeight="1" x14ac:dyDescent="0.25">
      <c r="A33" s="14">
        <f t="shared" si="1"/>
        <v>25</v>
      </c>
      <c r="B33" s="39"/>
      <c r="C33" s="15" t="s">
        <v>111</v>
      </c>
      <c r="D33" s="14"/>
      <c r="E33" s="16"/>
      <c r="F33" s="118"/>
      <c r="G33" s="144">
        <f t="shared" si="0"/>
        <v>132</v>
      </c>
      <c r="H33" s="28"/>
      <c r="I33" s="7"/>
    </row>
    <row r="34" spans="1:9" ht="18" customHeight="1" x14ac:dyDescent="0.25">
      <c r="A34" s="14">
        <f t="shared" si="1"/>
        <v>26</v>
      </c>
      <c r="B34" s="39"/>
      <c r="C34" s="15" t="s">
        <v>111</v>
      </c>
      <c r="D34" s="14"/>
      <c r="E34" s="16"/>
      <c r="F34" s="118"/>
      <c r="G34" s="144">
        <f t="shared" si="0"/>
        <v>132</v>
      </c>
      <c r="H34" s="28"/>
      <c r="I34" s="7"/>
    </row>
    <row r="35" spans="1:9" ht="18" customHeight="1" x14ac:dyDescent="0.25">
      <c r="A35" s="14">
        <f t="shared" si="1"/>
        <v>27</v>
      </c>
      <c r="B35" s="39"/>
      <c r="C35" s="15" t="s">
        <v>111</v>
      </c>
      <c r="D35" s="14"/>
      <c r="E35" s="16"/>
      <c r="F35" s="118"/>
      <c r="G35" s="144">
        <f t="shared" si="0"/>
        <v>132</v>
      </c>
      <c r="H35" s="28"/>
      <c r="I35" s="7"/>
    </row>
    <row r="36" spans="1:9" ht="17.25" customHeight="1" x14ac:dyDescent="0.25">
      <c r="A36" s="14">
        <f t="shared" si="1"/>
        <v>28</v>
      </c>
      <c r="B36" s="39"/>
      <c r="C36" s="15" t="s">
        <v>111</v>
      </c>
      <c r="D36" s="14"/>
      <c r="E36" s="16"/>
      <c r="F36" s="118"/>
      <c r="G36" s="144">
        <f t="shared" si="0"/>
        <v>132</v>
      </c>
      <c r="H36" s="28"/>
      <c r="I36" s="7"/>
    </row>
    <row r="37" spans="1:9" ht="18" customHeight="1" x14ac:dyDescent="0.25">
      <c r="A37" s="14">
        <f t="shared" si="1"/>
        <v>29</v>
      </c>
      <c r="B37" s="39"/>
      <c r="C37" s="15" t="s">
        <v>111</v>
      </c>
      <c r="D37" s="14"/>
      <c r="E37" s="16"/>
      <c r="F37" s="118"/>
      <c r="G37" s="144">
        <f t="shared" si="0"/>
        <v>132</v>
      </c>
      <c r="H37" s="28"/>
      <c r="I37" s="7"/>
    </row>
    <row r="38" spans="1:9" ht="18" customHeight="1" x14ac:dyDescent="0.25">
      <c r="A38" s="14">
        <f t="shared" si="1"/>
        <v>30</v>
      </c>
      <c r="B38" s="39"/>
      <c r="C38" s="15" t="s">
        <v>111</v>
      </c>
      <c r="D38" s="14"/>
      <c r="E38" s="16"/>
      <c r="F38" s="118"/>
      <c r="G38" s="144">
        <f t="shared" si="0"/>
        <v>132</v>
      </c>
      <c r="H38" s="28"/>
      <c r="I38" s="7"/>
    </row>
    <row r="39" spans="1:9" ht="18" customHeight="1" x14ac:dyDescent="0.25">
      <c r="A39" s="14">
        <f t="shared" si="1"/>
        <v>31</v>
      </c>
      <c r="B39" s="39"/>
      <c r="C39" s="15" t="s">
        <v>111</v>
      </c>
      <c r="D39" s="14"/>
      <c r="E39" s="16"/>
      <c r="F39" s="118"/>
      <c r="G39" s="144">
        <f t="shared" si="0"/>
        <v>132</v>
      </c>
      <c r="H39" s="28"/>
      <c r="I39" s="29"/>
    </row>
    <row r="40" spans="1:9" ht="18" customHeight="1" x14ac:dyDescent="0.25">
      <c r="A40" s="14">
        <f t="shared" si="1"/>
        <v>32</v>
      </c>
      <c r="B40" s="39"/>
      <c r="C40" s="15" t="s">
        <v>111</v>
      </c>
      <c r="D40" s="14" t="s">
        <v>19</v>
      </c>
      <c r="E40" s="16"/>
      <c r="F40" s="118"/>
      <c r="G40" s="144">
        <f t="shared" si="0"/>
        <v>132</v>
      </c>
      <c r="H40" s="28"/>
      <c r="I40" s="29"/>
    </row>
    <row r="41" spans="1:9" ht="18" customHeight="1" x14ac:dyDescent="0.25">
      <c r="A41" s="14">
        <f t="shared" si="1"/>
        <v>33</v>
      </c>
      <c r="B41" s="39"/>
      <c r="C41" s="15" t="s">
        <v>111</v>
      </c>
      <c r="D41" s="147" t="s">
        <v>19</v>
      </c>
      <c r="E41" s="16"/>
      <c r="F41" s="118"/>
      <c r="G41" s="144">
        <f t="shared" si="0"/>
        <v>132</v>
      </c>
      <c r="H41" s="28"/>
      <c r="I41" s="29"/>
    </row>
    <row r="42" spans="1:9" ht="18" customHeight="1" x14ac:dyDescent="0.25">
      <c r="A42" s="14">
        <f t="shared" si="1"/>
        <v>34</v>
      </c>
      <c r="B42" s="39"/>
      <c r="C42" s="15" t="s">
        <v>111</v>
      </c>
      <c r="D42" s="147" t="s">
        <v>19</v>
      </c>
      <c r="E42" s="113"/>
      <c r="F42" s="118"/>
      <c r="G42" s="144">
        <f t="shared" si="0"/>
        <v>132</v>
      </c>
      <c r="H42" s="28"/>
      <c r="I42" s="29"/>
    </row>
    <row r="43" spans="1:9" ht="18" customHeight="1" x14ac:dyDescent="0.25">
      <c r="A43" s="14">
        <f t="shared" si="1"/>
        <v>35</v>
      </c>
      <c r="B43" s="39"/>
      <c r="C43" s="15" t="s">
        <v>111</v>
      </c>
      <c r="D43" s="147" t="s">
        <v>19</v>
      </c>
      <c r="E43" s="16"/>
      <c r="F43" s="118"/>
      <c r="G43" s="144">
        <f t="shared" si="0"/>
        <v>132</v>
      </c>
      <c r="H43" s="28"/>
      <c r="I43" s="29"/>
    </row>
    <row r="44" spans="1:9" ht="18" customHeight="1" x14ac:dyDescent="0.25">
      <c r="A44" s="14">
        <f t="shared" si="1"/>
        <v>36</v>
      </c>
      <c r="B44" s="39"/>
      <c r="C44" s="15" t="s">
        <v>111</v>
      </c>
      <c r="D44" s="147" t="s">
        <v>19</v>
      </c>
      <c r="E44" s="16"/>
      <c r="F44" s="118"/>
      <c r="G44" s="144">
        <f t="shared" si="0"/>
        <v>132</v>
      </c>
      <c r="H44" s="28"/>
      <c r="I44" s="29"/>
    </row>
    <row r="45" spans="1:9" ht="18" customHeight="1" x14ac:dyDescent="0.25">
      <c r="A45" s="14">
        <f t="shared" si="1"/>
        <v>37</v>
      </c>
      <c r="B45" s="39"/>
      <c r="C45" s="15" t="s">
        <v>111</v>
      </c>
      <c r="D45" s="147" t="s">
        <v>19</v>
      </c>
      <c r="E45" s="16"/>
      <c r="F45" s="118"/>
      <c r="G45" s="144">
        <f t="shared" si="0"/>
        <v>132</v>
      </c>
      <c r="H45" s="28"/>
      <c r="I45" s="29"/>
    </row>
    <row r="46" spans="1:9" ht="18" customHeight="1" x14ac:dyDescent="0.25">
      <c r="A46" s="14">
        <f t="shared" si="1"/>
        <v>38</v>
      </c>
      <c r="B46" s="39"/>
      <c r="C46" s="15" t="s">
        <v>111</v>
      </c>
      <c r="D46" s="147" t="s">
        <v>19</v>
      </c>
      <c r="E46" s="16"/>
      <c r="F46" s="118"/>
      <c r="G46" s="144">
        <f t="shared" si="0"/>
        <v>132</v>
      </c>
      <c r="H46" s="28"/>
      <c r="I46" s="29"/>
    </row>
    <row r="47" spans="1:9" ht="18" customHeight="1" x14ac:dyDescent="0.25">
      <c r="A47" s="14">
        <f t="shared" si="1"/>
        <v>39</v>
      </c>
      <c r="B47" s="39"/>
      <c r="C47" s="15" t="s">
        <v>111</v>
      </c>
      <c r="D47" s="147" t="s">
        <v>19</v>
      </c>
      <c r="E47" s="16"/>
      <c r="F47" s="118"/>
      <c r="G47" s="144">
        <f t="shared" si="0"/>
        <v>132</v>
      </c>
      <c r="H47" s="28"/>
      <c r="I47" s="29"/>
    </row>
    <row r="48" spans="1:9" ht="18" customHeight="1" x14ac:dyDescent="0.25">
      <c r="A48" s="14">
        <f t="shared" si="1"/>
        <v>40</v>
      </c>
      <c r="B48" s="39"/>
      <c r="C48" s="15" t="s">
        <v>111</v>
      </c>
      <c r="D48" s="147" t="s">
        <v>19</v>
      </c>
      <c r="E48" s="16"/>
      <c r="F48" s="118"/>
      <c r="G48" s="144">
        <f t="shared" si="0"/>
        <v>132</v>
      </c>
      <c r="H48" s="28"/>
      <c r="I48" s="29"/>
    </row>
    <row r="49" spans="1:9" ht="18" customHeight="1" x14ac:dyDescent="0.25">
      <c r="A49" s="14">
        <f t="shared" si="1"/>
        <v>41</v>
      </c>
      <c r="B49" s="39"/>
      <c r="C49" s="15" t="s">
        <v>111</v>
      </c>
      <c r="D49" s="147" t="s">
        <v>19</v>
      </c>
      <c r="E49" s="16"/>
      <c r="F49" s="118"/>
      <c r="G49" s="144">
        <f t="shared" si="0"/>
        <v>132</v>
      </c>
      <c r="H49" s="28"/>
      <c r="I49" s="29"/>
    </row>
    <row r="50" spans="1:9" ht="18" customHeight="1" x14ac:dyDescent="0.25">
      <c r="A50" s="14">
        <f t="shared" si="1"/>
        <v>42</v>
      </c>
      <c r="B50" s="39"/>
      <c r="C50" s="15" t="s">
        <v>111</v>
      </c>
      <c r="D50" s="147" t="s">
        <v>19</v>
      </c>
      <c r="E50" s="16"/>
      <c r="F50" s="118"/>
      <c r="G50" s="144">
        <f t="shared" si="0"/>
        <v>132</v>
      </c>
      <c r="H50" s="28"/>
      <c r="I50" s="29"/>
    </row>
    <row r="51" spans="1:9" ht="18" customHeight="1" x14ac:dyDescent="0.25">
      <c r="A51" s="14">
        <f t="shared" si="1"/>
        <v>43</v>
      </c>
      <c r="B51" s="39"/>
      <c r="C51" s="15" t="s">
        <v>111</v>
      </c>
      <c r="D51" s="147" t="s">
        <v>19</v>
      </c>
      <c r="E51" s="16"/>
      <c r="F51" s="118"/>
      <c r="G51" s="144">
        <f t="shared" si="0"/>
        <v>132</v>
      </c>
      <c r="H51" s="28"/>
      <c r="I51" s="29"/>
    </row>
    <row r="52" spans="1:9" ht="18" customHeight="1" x14ac:dyDescent="0.25">
      <c r="A52" s="14">
        <f t="shared" si="1"/>
        <v>44</v>
      </c>
      <c r="B52" s="39"/>
      <c r="C52" s="15" t="s">
        <v>111</v>
      </c>
      <c r="D52" s="147" t="s">
        <v>19</v>
      </c>
      <c r="E52" s="16"/>
      <c r="F52" s="118"/>
      <c r="G52" s="144">
        <f t="shared" si="0"/>
        <v>132</v>
      </c>
      <c r="H52" s="28"/>
      <c r="I52" s="29"/>
    </row>
    <row r="53" spans="1:9" ht="18" customHeight="1" x14ac:dyDescent="0.25">
      <c r="A53" s="14">
        <f t="shared" si="1"/>
        <v>45</v>
      </c>
      <c r="B53" s="39"/>
      <c r="C53" s="15" t="s">
        <v>111</v>
      </c>
      <c r="D53" s="147" t="s">
        <v>19</v>
      </c>
      <c r="E53" s="16"/>
      <c r="F53" s="118"/>
      <c r="G53" s="144">
        <f t="shared" si="0"/>
        <v>132</v>
      </c>
      <c r="H53" s="28"/>
      <c r="I53" s="29"/>
    </row>
    <row r="54" spans="1:9" ht="18" customHeight="1" x14ac:dyDescent="0.25">
      <c r="A54" s="14">
        <f t="shared" si="1"/>
        <v>46</v>
      </c>
      <c r="B54" s="39"/>
      <c r="C54" s="15" t="s">
        <v>111</v>
      </c>
      <c r="D54" s="147" t="s">
        <v>19</v>
      </c>
      <c r="E54" s="16"/>
      <c r="F54" s="118"/>
      <c r="G54" s="144">
        <f t="shared" si="0"/>
        <v>132</v>
      </c>
      <c r="H54" s="28"/>
      <c r="I54" s="29"/>
    </row>
    <row r="55" spans="1:9" ht="18" customHeight="1" x14ac:dyDescent="0.25">
      <c r="A55" s="14">
        <f t="shared" si="1"/>
        <v>47</v>
      </c>
      <c r="B55" s="39"/>
      <c r="C55" s="15" t="s">
        <v>111</v>
      </c>
      <c r="D55" s="147" t="s">
        <v>19</v>
      </c>
      <c r="E55" s="16"/>
      <c r="F55" s="118"/>
      <c r="G55" s="144">
        <f t="shared" si="0"/>
        <v>132</v>
      </c>
      <c r="H55" s="28"/>
      <c r="I55" s="29"/>
    </row>
    <row r="56" spans="1:9" ht="18" customHeight="1" x14ac:dyDescent="0.25">
      <c r="A56" s="14">
        <f t="shared" si="1"/>
        <v>48</v>
      </c>
      <c r="B56" s="39"/>
      <c r="C56" s="15" t="s">
        <v>111</v>
      </c>
      <c r="D56" s="147" t="s">
        <v>19</v>
      </c>
      <c r="E56" s="16"/>
      <c r="F56" s="118"/>
      <c r="G56" s="144">
        <f t="shared" si="0"/>
        <v>132</v>
      </c>
      <c r="H56" s="28"/>
      <c r="I56" s="29"/>
    </row>
    <row r="57" spans="1:9" ht="18" customHeight="1" x14ac:dyDescent="0.25">
      <c r="A57" s="14">
        <f t="shared" si="1"/>
        <v>49</v>
      </c>
      <c r="B57" s="39"/>
      <c r="C57" s="15" t="s">
        <v>111</v>
      </c>
      <c r="D57" s="147" t="s">
        <v>19</v>
      </c>
      <c r="E57" s="16"/>
      <c r="F57" s="118"/>
      <c r="G57" s="144">
        <f t="shared" si="0"/>
        <v>132</v>
      </c>
      <c r="H57" s="28"/>
      <c r="I57" s="29"/>
    </row>
    <row r="58" spans="1:9" ht="18" customHeight="1" x14ac:dyDescent="0.25">
      <c r="A58" s="14">
        <f t="shared" si="1"/>
        <v>50</v>
      </c>
      <c r="B58" s="39"/>
      <c r="C58" s="15" t="s">
        <v>111</v>
      </c>
      <c r="D58" s="147" t="s">
        <v>19</v>
      </c>
      <c r="E58" s="16"/>
      <c r="F58" s="118"/>
      <c r="G58" s="144">
        <f t="shared" si="0"/>
        <v>132</v>
      </c>
      <c r="H58" s="28"/>
      <c r="I58" s="29"/>
    </row>
    <row r="59" spans="1:9" ht="18" customHeight="1" x14ac:dyDescent="0.25">
      <c r="A59" s="14">
        <f t="shared" si="1"/>
        <v>51</v>
      </c>
      <c r="B59" s="39"/>
      <c r="C59" s="15" t="s">
        <v>111</v>
      </c>
      <c r="D59" s="147" t="s">
        <v>19</v>
      </c>
      <c r="E59" s="16"/>
      <c r="F59" s="118"/>
      <c r="G59" s="144">
        <f t="shared" si="0"/>
        <v>132</v>
      </c>
      <c r="H59" s="28"/>
      <c r="I59" s="29"/>
    </row>
    <row r="60" spans="1:9" ht="18" customHeight="1" x14ac:dyDescent="0.25">
      <c r="A60" s="14">
        <f t="shared" si="1"/>
        <v>52</v>
      </c>
      <c r="B60" s="39"/>
      <c r="C60" s="15" t="s">
        <v>111</v>
      </c>
      <c r="D60" s="147" t="s">
        <v>19</v>
      </c>
      <c r="E60" s="16"/>
      <c r="F60" s="118"/>
      <c r="G60" s="144">
        <f t="shared" si="0"/>
        <v>132</v>
      </c>
      <c r="H60" s="28"/>
      <c r="I60" s="29"/>
    </row>
    <row r="61" spans="1:9" ht="18" customHeight="1" x14ac:dyDescent="0.25">
      <c r="A61" s="14">
        <f t="shared" si="1"/>
        <v>53</v>
      </c>
      <c r="B61" s="39"/>
      <c r="C61" s="15" t="s">
        <v>111</v>
      </c>
      <c r="D61" s="147" t="s">
        <v>19</v>
      </c>
      <c r="E61" s="16"/>
      <c r="F61" s="118"/>
      <c r="G61" s="144">
        <f t="shared" si="0"/>
        <v>132</v>
      </c>
      <c r="H61" s="28"/>
      <c r="I61" s="29"/>
    </row>
    <row r="62" spans="1:9" ht="18" customHeight="1" x14ac:dyDescent="0.25">
      <c r="A62" s="14">
        <f t="shared" si="1"/>
        <v>54</v>
      </c>
      <c r="B62" s="39"/>
      <c r="C62" s="15" t="s">
        <v>111</v>
      </c>
      <c r="D62" s="147" t="s">
        <v>19</v>
      </c>
      <c r="E62" s="16"/>
      <c r="F62" s="118"/>
      <c r="G62" s="144">
        <f t="shared" si="0"/>
        <v>132</v>
      </c>
      <c r="H62" s="28"/>
      <c r="I62" s="29"/>
    </row>
    <row r="63" spans="1:9" ht="18" customHeight="1" x14ac:dyDescent="0.25">
      <c r="A63" s="14">
        <f t="shared" si="1"/>
        <v>55</v>
      </c>
      <c r="B63" s="39"/>
      <c r="C63" s="15" t="s">
        <v>111</v>
      </c>
      <c r="D63" s="147" t="s">
        <v>19</v>
      </c>
      <c r="E63" s="16"/>
      <c r="F63" s="118"/>
      <c r="G63" s="144">
        <f t="shared" si="0"/>
        <v>132</v>
      </c>
      <c r="H63" s="28"/>
      <c r="I63" s="29"/>
    </row>
    <row r="64" spans="1:9" ht="18" customHeight="1" x14ac:dyDescent="0.25">
      <c r="A64" s="14">
        <f t="shared" si="1"/>
        <v>56</v>
      </c>
      <c r="B64" s="39"/>
      <c r="C64" s="15" t="s">
        <v>111</v>
      </c>
      <c r="D64" s="147" t="s">
        <v>19</v>
      </c>
      <c r="E64" s="16"/>
      <c r="F64" s="118"/>
      <c r="G64" s="144">
        <f t="shared" si="0"/>
        <v>132</v>
      </c>
      <c r="H64" s="28"/>
      <c r="I64" s="29"/>
    </row>
    <row r="65" spans="1:9" ht="18" customHeight="1" x14ac:dyDescent="0.25">
      <c r="A65" s="14">
        <f t="shared" si="1"/>
        <v>57</v>
      </c>
      <c r="B65" s="39"/>
      <c r="C65" s="15" t="s">
        <v>111</v>
      </c>
      <c r="D65" s="147" t="s">
        <v>19</v>
      </c>
      <c r="E65" s="16"/>
      <c r="F65" s="118"/>
      <c r="G65" s="144">
        <f t="shared" si="0"/>
        <v>132</v>
      </c>
      <c r="H65" s="28"/>
      <c r="I65" s="29"/>
    </row>
    <row r="66" spans="1:9" ht="18" customHeight="1" x14ac:dyDescent="0.25">
      <c r="A66" s="14">
        <f t="shared" si="1"/>
        <v>58</v>
      </c>
      <c r="B66" s="39"/>
      <c r="C66" s="15" t="s">
        <v>111</v>
      </c>
      <c r="D66" s="147" t="s">
        <v>19</v>
      </c>
      <c r="E66" s="16"/>
      <c r="F66" s="118"/>
      <c r="G66" s="144">
        <f t="shared" si="0"/>
        <v>132</v>
      </c>
      <c r="H66" s="28"/>
      <c r="I66" s="29"/>
    </row>
    <row r="67" spans="1:9" ht="18" customHeight="1" x14ac:dyDescent="0.25">
      <c r="A67" s="14">
        <f t="shared" si="1"/>
        <v>59</v>
      </c>
      <c r="B67" s="39"/>
      <c r="C67" s="15" t="s">
        <v>111</v>
      </c>
      <c r="D67" s="147" t="s">
        <v>19</v>
      </c>
      <c r="E67" s="16"/>
      <c r="F67" s="118"/>
      <c r="G67" s="144">
        <f t="shared" si="0"/>
        <v>132</v>
      </c>
      <c r="H67" s="28"/>
      <c r="I67" s="29"/>
    </row>
    <row r="68" spans="1:9" ht="18" customHeight="1" x14ac:dyDescent="0.25">
      <c r="A68" s="14"/>
      <c r="B68" s="39"/>
      <c r="C68" s="15" t="s">
        <v>111</v>
      </c>
      <c r="D68" s="147" t="s">
        <v>19</v>
      </c>
      <c r="E68" s="16"/>
      <c r="F68" s="118"/>
      <c r="G68" s="144">
        <f t="shared" si="0"/>
        <v>132</v>
      </c>
      <c r="H68" s="28"/>
      <c r="I68" s="29"/>
    </row>
    <row r="69" spans="1:9" ht="18" customHeight="1" x14ac:dyDescent="0.25">
      <c r="A69" s="14"/>
      <c r="B69" s="39"/>
      <c r="C69" s="15" t="s">
        <v>111</v>
      </c>
      <c r="D69" s="147" t="s">
        <v>19</v>
      </c>
      <c r="E69" s="16"/>
      <c r="F69" s="118"/>
      <c r="G69" s="144">
        <f t="shared" si="0"/>
        <v>132</v>
      </c>
      <c r="H69" s="28"/>
      <c r="I69" s="29"/>
    </row>
    <row r="70" spans="1:9" ht="18" customHeight="1" x14ac:dyDescent="0.25">
      <c r="A70" s="14"/>
      <c r="B70" s="39"/>
      <c r="C70" s="15" t="s">
        <v>111</v>
      </c>
      <c r="D70" s="147"/>
      <c r="E70" s="16"/>
      <c r="F70" s="118"/>
      <c r="G70" s="144">
        <f t="shared" si="0"/>
        <v>132</v>
      </c>
      <c r="H70" s="28"/>
      <c r="I70" s="29"/>
    </row>
    <row r="71" spans="1:9" ht="18" customHeight="1" x14ac:dyDescent="0.25">
      <c r="A71" s="14"/>
      <c r="B71" s="39"/>
      <c r="C71" s="15" t="s">
        <v>111</v>
      </c>
      <c r="D71" s="147"/>
      <c r="E71" s="16"/>
      <c r="F71" s="118"/>
      <c r="G71" s="144">
        <f t="shared" si="0"/>
        <v>132</v>
      </c>
      <c r="H71" s="28"/>
      <c r="I71" s="29"/>
    </row>
    <row r="72" spans="1:9" ht="18" customHeight="1" x14ac:dyDescent="0.25">
      <c r="A72" s="14"/>
      <c r="B72" s="39"/>
      <c r="C72" s="15" t="s">
        <v>111</v>
      </c>
      <c r="D72" s="147"/>
      <c r="E72" s="16"/>
      <c r="F72" s="118"/>
      <c r="G72" s="144">
        <f t="shared" si="0"/>
        <v>132</v>
      </c>
      <c r="H72" s="28"/>
      <c r="I72" s="29"/>
    </row>
    <row r="73" spans="1:9" ht="18" customHeight="1" x14ac:dyDescent="0.25">
      <c r="A73" s="14"/>
      <c r="B73" s="39"/>
      <c r="C73" s="15" t="s">
        <v>111</v>
      </c>
      <c r="D73" s="147"/>
      <c r="E73" s="16"/>
      <c r="F73" s="118"/>
      <c r="G73" s="144">
        <f t="shared" ref="G73:G90" si="2">+G72+E73-F73</f>
        <v>132</v>
      </c>
      <c r="H73" s="28"/>
      <c r="I73" s="29"/>
    </row>
    <row r="74" spans="1:9" ht="18" customHeight="1" x14ac:dyDescent="0.25">
      <c r="A74" s="14"/>
      <c r="B74" s="39"/>
      <c r="C74" s="15" t="s">
        <v>111</v>
      </c>
      <c r="D74" s="147"/>
      <c r="E74" s="16"/>
      <c r="F74" s="118"/>
      <c r="G74" s="144">
        <f t="shared" si="2"/>
        <v>132</v>
      </c>
      <c r="H74" s="28"/>
      <c r="I74" s="29"/>
    </row>
    <row r="75" spans="1:9" ht="18" customHeight="1" x14ac:dyDescent="0.25">
      <c r="A75" s="14"/>
      <c r="B75" s="39"/>
      <c r="C75" s="15" t="s">
        <v>111</v>
      </c>
      <c r="D75" s="147"/>
      <c r="E75" s="16"/>
      <c r="F75" s="118"/>
      <c r="G75" s="144">
        <f t="shared" si="2"/>
        <v>132</v>
      </c>
      <c r="H75" s="28"/>
      <c r="I75" s="29"/>
    </row>
    <row r="76" spans="1:9" ht="18" customHeight="1" x14ac:dyDescent="0.25">
      <c r="A76" s="14"/>
      <c r="B76" s="39"/>
      <c r="C76" s="15" t="s">
        <v>111</v>
      </c>
      <c r="D76" s="147"/>
      <c r="E76" s="16"/>
      <c r="F76" s="118"/>
      <c r="G76" s="144">
        <f t="shared" si="2"/>
        <v>132</v>
      </c>
      <c r="H76" s="28"/>
      <c r="I76" s="29"/>
    </row>
    <row r="77" spans="1:9" ht="18" customHeight="1" x14ac:dyDescent="0.25">
      <c r="A77" s="14"/>
      <c r="B77" s="39"/>
      <c r="C77" s="15" t="s">
        <v>111</v>
      </c>
      <c r="D77" s="147"/>
      <c r="E77" s="16"/>
      <c r="F77" s="118"/>
      <c r="G77" s="144">
        <f t="shared" si="2"/>
        <v>132</v>
      </c>
      <c r="H77" s="28"/>
      <c r="I77" s="29"/>
    </row>
    <row r="78" spans="1:9" ht="18" customHeight="1" x14ac:dyDescent="0.25">
      <c r="A78" s="14"/>
      <c r="B78" s="39"/>
      <c r="C78" s="15" t="s">
        <v>111</v>
      </c>
      <c r="D78" s="147"/>
      <c r="E78" s="16"/>
      <c r="F78" s="118"/>
      <c r="G78" s="144">
        <f t="shared" si="2"/>
        <v>132</v>
      </c>
      <c r="H78" s="28"/>
      <c r="I78" s="29"/>
    </row>
    <row r="79" spans="1:9" ht="18" customHeight="1" x14ac:dyDescent="0.25">
      <c r="A79" s="14"/>
      <c r="B79" s="39"/>
      <c r="C79" s="15" t="s">
        <v>111</v>
      </c>
      <c r="D79" s="147"/>
      <c r="E79" s="16"/>
      <c r="F79" s="118"/>
      <c r="G79" s="144">
        <f t="shared" si="2"/>
        <v>132</v>
      </c>
      <c r="H79" s="28"/>
      <c r="I79" s="29"/>
    </row>
    <row r="80" spans="1:9" ht="18" customHeight="1" x14ac:dyDescent="0.25">
      <c r="A80" s="14"/>
      <c r="B80" s="39"/>
      <c r="C80" s="15" t="s">
        <v>111</v>
      </c>
      <c r="D80" s="147"/>
      <c r="E80" s="16"/>
      <c r="F80" s="118"/>
      <c r="G80" s="144">
        <f t="shared" si="2"/>
        <v>132</v>
      </c>
      <c r="H80" s="28"/>
      <c r="I80" s="29"/>
    </row>
    <row r="81" spans="1:9" ht="18" customHeight="1" x14ac:dyDescent="0.25">
      <c r="A81" s="14"/>
      <c r="B81" s="39"/>
      <c r="C81" s="15" t="s">
        <v>111</v>
      </c>
      <c r="D81" s="147"/>
      <c r="E81" s="16"/>
      <c r="F81" s="118"/>
      <c r="G81" s="144">
        <f t="shared" si="2"/>
        <v>132</v>
      </c>
      <c r="H81" s="28"/>
      <c r="I81" s="29"/>
    </row>
    <row r="82" spans="1:9" ht="18" customHeight="1" x14ac:dyDescent="0.25">
      <c r="A82" s="14"/>
      <c r="B82" s="39"/>
      <c r="C82" s="15" t="s">
        <v>111</v>
      </c>
      <c r="D82" s="147"/>
      <c r="E82" s="16"/>
      <c r="F82" s="118"/>
      <c r="G82" s="144">
        <f t="shared" si="2"/>
        <v>132</v>
      </c>
      <c r="H82" s="28"/>
      <c r="I82" s="29"/>
    </row>
    <row r="83" spans="1:9" ht="18" customHeight="1" x14ac:dyDescent="0.25">
      <c r="A83" s="14"/>
      <c r="B83" s="39"/>
      <c r="C83" s="15" t="s">
        <v>111</v>
      </c>
      <c r="D83" s="147"/>
      <c r="E83" s="16"/>
      <c r="F83" s="118"/>
      <c r="G83" s="144">
        <f t="shared" si="2"/>
        <v>132</v>
      </c>
      <c r="H83" s="28"/>
      <c r="I83" s="29"/>
    </row>
    <row r="84" spans="1:9" ht="18" customHeight="1" x14ac:dyDescent="0.25">
      <c r="A84" s="14">
        <f>+A67+1</f>
        <v>60</v>
      </c>
      <c r="B84" s="39"/>
      <c r="C84" s="15" t="s">
        <v>111</v>
      </c>
      <c r="D84" s="147"/>
      <c r="E84" s="16"/>
      <c r="F84" s="118"/>
      <c r="G84" s="144">
        <f t="shared" si="2"/>
        <v>132</v>
      </c>
      <c r="H84" s="28"/>
      <c r="I84" s="29"/>
    </row>
    <row r="85" spans="1:9" ht="18" customHeight="1" x14ac:dyDescent="0.25">
      <c r="A85" s="14">
        <f t="shared" ref="A85:A90" si="3">+A84+1</f>
        <v>61</v>
      </c>
      <c r="B85" s="39"/>
      <c r="C85" s="15" t="s">
        <v>111</v>
      </c>
      <c r="D85" s="147"/>
      <c r="E85" s="16"/>
      <c r="F85" s="118"/>
      <c r="G85" s="144">
        <f t="shared" si="2"/>
        <v>132</v>
      </c>
      <c r="H85" s="28"/>
      <c r="I85" s="29"/>
    </row>
    <row r="86" spans="1:9" ht="18" customHeight="1" x14ac:dyDescent="0.25">
      <c r="A86" s="14">
        <f t="shared" si="3"/>
        <v>62</v>
      </c>
      <c r="B86" s="39"/>
      <c r="C86" s="15"/>
      <c r="D86" s="147"/>
      <c r="E86" s="16"/>
      <c r="F86" s="118"/>
      <c r="G86" s="144">
        <f t="shared" si="2"/>
        <v>132</v>
      </c>
      <c r="H86" s="28"/>
      <c r="I86" s="29"/>
    </row>
    <row r="87" spans="1:9" ht="18" customHeight="1" x14ac:dyDescent="0.25">
      <c r="A87" s="14">
        <f t="shared" si="3"/>
        <v>63</v>
      </c>
      <c r="B87" s="39"/>
      <c r="C87" s="15"/>
      <c r="D87" s="147"/>
      <c r="E87" s="16"/>
      <c r="F87" s="118"/>
      <c r="G87" s="144">
        <f t="shared" si="2"/>
        <v>132</v>
      </c>
      <c r="H87" s="28"/>
      <c r="I87" s="29"/>
    </row>
    <row r="88" spans="1:9" ht="18" customHeight="1" x14ac:dyDescent="0.25">
      <c r="A88" s="14">
        <f t="shared" si="3"/>
        <v>64</v>
      </c>
      <c r="B88" s="39"/>
      <c r="C88" s="15"/>
      <c r="D88" s="147"/>
      <c r="E88" s="16"/>
      <c r="F88" s="118"/>
      <c r="G88" s="144">
        <f t="shared" si="2"/>
        <v>132</v>
      </c>
      <c r="H88" s="28"/>
      <c r="I88" s="29"/>
    </row>
    <row r="89" spans="1:9" ht="18" customHeight="1" x14ac:dyDescent="0.25">
      <c r="A89" s="14">
        <f t="shared" si="3"/>
        <v>65</v>
      </c>
      <c r="B89" s="39"/>
      <c r="C89" s="15"/>
      <c r="D89" s="133"/>
      <c r="E89" s="16"/>
      <c r="F89" s="118"/>
      <c r="G89" s="144">
        <f t="shared" si="2"/>
        <v>132</v>
      </c>
      <c r="H89" s="28"/>
      <c r="I89" s="29"/>
    </row>
    <row r="90" spans="1:9" ht="18" customHeight="1" x14ac:dyDescent="0.25">
      <c r="A90" s="14">
        <f t="shared" si="3"/>
        <v>66</v>
      </c>
      <c r="B90" s="39"/>
      <c r="C90" s="15"/>
      <c r="D90" s="133"/>
      <c r="E90" s="30"/>
      <c r="F90" s="118"/>
      <c r="G90" s="144">
        <f t="shared" si="2"/>
        <v>132</v>
      </c>
      <c r="H90" s="28"/>
      <c r="I90" s="29"/>
    </row>
    <row r="91" spans="1:9" x14ac:dyDescent="0.25">
      <c r="A91" s="7"/>
      <c r="B91" s="39"/>
      <c r="C91" s="34" t="s">
        <v>13</v>
      </c>
      <c r="D91" s="7"/>
      <c r="E91" s="36">
        <f>SUM(E9:E90)</f>
        <v>0</v>
      </c>
      <c r="F91" s="121">
        <f>SUM(F9:F90)</f>
        <v>0</v>
      </c>
      <c r="G91" s="35">
        <f>+E91-F91+G8</f>
        <v>132</v>
      </c>
      <c r="H91" s="35"/>
      <c r="I91" s="36"/>
    </row>
    <row r="92" spans="1:9" x14ac:dyDescent="0.25">
      <c r="B92" s="148"/>
    </row>
    <row r="93" spans="1:9" x14ac:dyDescent="0.25">
      <c r="B93" s="148"/>
    </row>
    <row r="94" spans="1:9" x14ac:dyDescent="0.25">
      <c r="B94" s="148"/>
    </row>
    <row r="95" spans="1:9" x14ac:dyDescent="0.25">
      <c r="B95" s="148"/>
    </row>
    <row r="96" spans="1:9" x14ac:dyDescent="0.25">
      <c r="B96" s="148"/>
    </row>
    <row r="97" spans="2:2" x14ac:dyDescent="0.25">
      <c r="B97" s="148"/>
    </row>
  </sheetData>
  <mergeCells count="1">
    <mergeCell ref="A4:I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7"/>
  <dimension ref="A1:J113"/>
  <sheetViews>
    <sheetView topLeftCell="A65" workbookViewId="0">
      <selection activeCell="E104" sqref="E104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64.2</v>
      </c>
      <c r="H8" s="7"/>
      <c r="I8" s="7" t="s">
        <v>145</v>
      </c>
    </row>
    <row r="9" spans="1:10" ht="18" customHeight="1" x14ac:dyDescent="0.25">
      <c r="A9" s="14">
        <v>1</v>
      </c>
      <c r="B9" s="39">
        <v>45659</v>
      </c>
      <c r="C9" s="15" t="s">
        <v>112</v>
      </c>
      <c r="D9" s="14" t="s">
        <v>23</v>
      </c>
      <c r="E9" s="143"/>
      <c r="F9" s="119">
        <v>2</v>
      </c>
      <c r="G9" s="163">
        <f t="shared" ref="G9:G73" si="0">+G8+E9-F9</f>
        <v>62.2</v>
      </c>
      <c r="H9" s="28" t="s">
        <v>91</v>
      </c>
      <c r="I9" s="29" t="s">
        <v>90</v>
      </c>
    </row>
    <row r="10" spans="1:10" ht="18" customHeight="1" x14ac:dyDescent="0.25">
      <c r="A10" s="14">
        <f t="shared" ref="A10:A74" si="1">+A9+1</f>
        <v>2</v>
      </c>
      <c r="B10" s="39">
        <v>45660</v>
      </c>
      <c r="C10" s="15" t="s">
        <v>112</v>
      </c>
      <c r="D10" s="14" t="s">
        <v>23</v>
      </c>
      <c r="E10" s="16"/>
      <c r="F10" s="152">
        <v>2</v>
      </c>
      <c r="G10" s="163">
        <f t="shared" si="0"/>
        <v>60.2</v>
      </c>
      <c r="H10" s="28" t="s">
        <v>91</v>
      </c>
      <c r="I10" s="29" t="s">
        <v>90</v>
      </c>
    </row>
    <row r="11" spans="1:10" ht="18" customHeight="1" x14ac:dyDescent="0.25">
      <c r="A11" s="14">
        <f t="shared" si="1"/>
        <v>3</v>
      </c>
      <c r="B11" s="39">
        <v>45661</v>
      </c>
      <c r="C11" s="15" t="s">
        <v>112</v>
      </c>
      <c r="D11" s="14" t="s">
        <v>23</v>
      </c>
      <c r="E11" s="143"/>
      <c r="F11" s="152">
        <v>2.8</v>
      </c>
      <c r="G11" s="163">
        <f t="shared" si="0"/>
        <v>57.400000000000006</v>
      </c>
      <c r="H11" s="28" t="s">
        <v>129</v>
      </c>
      <c r="I11" s="29" t="s">
        <v>90</v>
      </c>
    </row>
    <row r="12" spans="1:10" ht="18" customHeight="1" x14ac:dyDescent="0.25">
      <c r="A12" s="14">
        <f t="shared" si="1"/>
        <v>4</v>
      </c>
      <c r="B12" s="39"/>
      <c r="C12" s="15" t="s">
        <v>112</v>
      </c>
      <c r="D12" s="14" t="s">
        <v>23</v>
      </c>
      <c r="E12" s="319"/>
      <c r="F12" s="152"/>
      <c r="G12" s="163">
        <f t="shared" si="0"/>
        <v>57.400000000000006</v>
      </c>
      <c r="H12" s="28" t="s">
        <v>129</v>
      </c>
      <c r="I12" s="29" t="s">
        <v>90</v>
      </c>
    </row>
    <row r="13" spans="1:10" ht="18" customHeight="1" x14ac:dyDescent="0.25">
      <c r="A13" s="14">
        <f t="shared" si="1"/>
        <v>5</v>
      </c>
      <c r="B13" s="39"/>
      <c r="C13" s="15" t="s">
        <v>112</v>
      </c>
      <c r="D13" s="14" t="s">
        <v>23</v>
      </c>
      <c r="E13" s="135"/>
      <c r="F13" s="153"/>
      <c r="G13" s="163">
        <f t="shared" si="0"/>
        <v>57.400000000000006</v>
      </c>
      <c r="H13" s="28" t="s">
        <v>129</v>
      </c>
      <c r="I13" s="29" t="s">
        <v>90</v>
      </c>
    </row>
    <row r="14" spans="1:10" ht="18" customHeight="1" x14ac:dyDescent="0.25">
      <c r="A14" s="14">
        <f t="shared" si="1"/>
        <v>6</v>
      </c>
      <c r="B14" s="39"/>
      <c r="C14" s="15" t="s">
        <v>112</v>
      </c>
      <c r="D14" s="14" t="s">
        <v>23</v>
      </c>
      <c r="E14" s="145"/>
      <c r="F14" s="153"/>
      <c r="G14" s="163">
        <f t="shared" si="0"/>
        <v>57.400000000000006</v>
      </c>
      <c r="H14" s="28" t="s">
        <v>91</v>
      </c>
      <c r="I14" s="29" t="s">
        <v>90</v>
      </c>
    </row>
    <row r="15" spans="1:10" ht="18" customHeight="1" x14ac:dyDescent="0.25">
      <c r="A15" s="14">
        <f t="shared" si="1"/>
        <v>7</v>
      </c>
      <c r="B15" s="39"/>
      <c r="C15" s="15" t="s">
        <v>112</v>
      </c>
      <c r="D15" s="14" t="s">
        <v>23</v>
      </c>
      <c r="E15" s="154"/>
      <c r="F15" s="153"/>
      <c r="G15" s="163">
        <f t="shared" si="0"/>
        <v>57.400000000000006</v>
      </c>
      <c r="H15" s="28" t="s">
        <v>91</v>
      </c>
      <c r="I15" s="29" t="s">
        <v>90</v>
      </c>
      <c r="J15" s="26"/>
    </row>
    <row r="16" spans="1:10" ht="18" customHeight="1" x14ac:dyDescent="0.25">
      <c r="A16" s="14">
        <f t="shared" si="1"/>
        <v>8</v>
      </c>
      <c r="B16" s="39"/>
      <c r="C16" s="15" t="s">
        <v>112</v>
      </c>
      <c r="D16" s="14" t="s">
        <v>23</v>
      </c>
      <c r="E16" s="113"/>
      <c r="F16" s="152"/>
      <c r="G16" s="163">
        <f t="shared" si="0"/>
        <v>57.400000000000006</v>
      </c>
      <c r="H16" s="28" t="s">
        <v>91</v>
      </c>
      <c r="I16" s="29" t="s">
        <v>90</v>
      </c>
    </row>
    <row r="17" spans="1:9" ht="18" customHeight="1" x14ac:dyDescent="0.25">
      <c r="A17" s="14">
        <f t="shared" si="1"/>
        <v>9</v>
      </c>
      <c r="B17" s="43"/>
      <c r="C17" s="15" t="s">
        <v>112</v>
      </c>
      <c r="D17" s="14" t="s">
        <v>23</v>
      </c>
      <c r="E17" s="132"/>
      <c r="F17" s="152"/>
      <c r="G17" s="163">
        <f t="shared" si="0"/>
        <v>57.400000000000006</v>
      </c>
      <c r="H17" s="28" t="s">
        <v>91</v>
      </c>
      <c r="I17" s="29" t="s">
        <v>90</v>
      </c>
    </row>
    <row r="18" spans="1:9" ht="18" customHeight="1" x14ac:dyDescent="0.25">
      <c r="A18" s="14">
        <f t="shared" si="1"/>
        <v>10</v>
      </c>
      <c r="B18" s="43"/>
      <c r="C18" s="15" t="s">
        <v>112</v>
      </c>
      <c r="D18" s="14" t="s">
        <v>23</v>
      </c>
      <c r="E18" s="16"/>
      <c r="F18" s="152"/>
      <c r="G18" s="163">
        <f t="shared" si="0"/>
        <v>57.400000000000006</v>
      </c>
      <c r="H18" s="28" t="s">
        <v>91</v>
      </c>
      <c r="I18" s="29" t="s">
        <v>90</v>
      </c>
    </row>
    <row r="19" spans="1:9" ht="18" customHeight="1" x14ac:dyDescent="0.25">
      <c r="A19" s="14">
        <f t="shared" si="1"/>
        <v>11</v>
      </c>
      <c r="B19" s="43"/>
      <c r="C19" s="15" t="s">
        <v>112</v>
      </c>
      <c r="D19" s="14" t="s">
        <v>23</v>
      </c>
      <c r="E19" s="16"/>
      <c r="F19" s="152"/>
      <c r="G19" s="163">
        <f t="shared" si="0"/>
        <v>57.400000000000006</v>
      </c>
      <c r="H19" s="28" t="s">
        <v>91</v>
      </c>
      <c r="I19" s="29" t="s">
        <v>90</v>
      </c>
    </row>
    <row r="20" spans="1:9" ht="18" customHeight="1" x14ac:dyDescent="0.25">
      <c r="A20" s="14">
        <f t="shared" si="1"/>
        <v>12</v>
      </c>
      <c r="B20" s="39"/>
      <c r="C20" s="15" t="s">
        <v>112</v>
      </c>
      <c r="D20" s="14" t="s">
        <v>23</v>
      </c>
      <c r="E20" s="132"/>
      <c r="F20" s="152"/>
      <c r="G20" s="163">
        <f t="shared" si="0"/>
        <v>57.400000000000006</v>
      </c>
      <c r="H20" s="28" t="s">
        <v>129</v>
      </c>
      <c r="I20" s="29" t="s">
        <v>90</v>
      </c>
    </row>
    <row r="21" spans="1:9" ht="18" customHeight="1" x14ac:dyDescent="0.25">
      <c r="A21" s="14">
        <f t="shared" si="1"/>
        <v>13</v>
      </c>
      <c r="B21" s="42"/>
      <c r="C21" s="15" t="s">
        <v>112</v>
      </c>
      <c r="D21" s="14" t="s">
        <v>23</v>
      </c>
      <c r="E21" s="132"/>
      <c r="F21" s="152"/>
      <c r="G21" s="163">
        <f t="shared" si="0"/>
        <v>57.400000000000006</v>
      </c>
      <c r="H21" s="28" t="s">
        <v>91</v>
      </c>
      <c r="I21" s="29" t="s">
        <v>90</v>
      </c>
    </row>
    <row r="22" spans="1:9" ht="18" customHeight="1" x14ac:dyDescent="0.25">
      <c r="A22" s="14">
        <f t="shared" si="1"/>
        <v>14</v>
      </c>
      <c r="B22" s="39"/>
      <c r="C22" s="15" t="s">
        <v>112</v>
      </c>
      <c r="D22" s="14" t="s">
        <v>23</v>
      </c>
      <c r="E22" s="132"/>
      <c r="F22" s="152"/>
      <c r="G22" s="163">
        <f t="shared" si="0"/>
        <v>57.400000000000006</v>
      </c>
      <c r="H22" s="28" t="s">
        <v>91</v>
      </c>
      <c r="I22" s="29" t="s">
        <v>90</v>
      </c>
    </row>
    <row r="23" spans="1:9" ht="18" customHeight="1" x14ac:dyDescent="0.25">
      <c r="A23" s="14">
        <f t="shared" si="1"/>
        <v>15</v>
      </c>
      <c r="B23" s="39"/>
      <c r="C23" s="15" t="s">
        <v>112</v>
      </c>
      <c r="D23" s="14" t="s">
        <v>23</v>
      </c>
      <c r="E23" s="132"/>
      <c r="F23" s="152"/>
      <c r="G23" s="163">
        <f t="shared" si="0"/>
        <v>57.400000000000006</v>
      </c>
      <c r="H23" s="28" t="s">
        <v>91</v>
      </c>
      <c r="I23" s="29" t="s">
        <v>90</v>
      </c>
    </row>
    <row r="24" spans="1:9" ht="18" customHeight="1" x14ac:dyDescent="0.25">
      <c r="A24" s="14">
        <f t="shared" si="1"/>
        <v>16</v>
      </c>
      <c r="B24" s="39"/>
      <c r="C24" s="15" t="s">
        <v>112</v>
      </c>
      <c r="D24" s="14" t="s">
        <v>23</v>
      </c>
      <c r="E24" s="132"/>
      <c r="F24" s="155"/>
      <c r="G24" s="163">
        <f t="shared" si="0"/>
        <v>57.400000000000006</v>
      </c>
      <c r="H24" s="28" t="s">
        <v>91</v>
      </c>
      <c r="I24" s="29" t="s">
        <v>90</v>
      </c>
    </row>
    <row r="25" spans="1:9" ht="18" customHeight="1" x14ac:dyDescent="0.25">
      <c r="A25" s="14">
        <f t="shared" si="1"/>
        <v>17</v>
      </c>
      <c r="B25" s="39"/>
      <c r="C25" s="15" t="s">
        <v>112</v>
      </c>
      <c r="D25" s="14" t="s">
        <v>23</v>
      </c>
      <c r="E25" s="132"/>
      <c r="F25" s="152"/>
      <c r="G25" s="163">
        <f t="shared" si="0"/>
        <v>57.400000000000006</v>
      </c>
      <c r="H25" s="28" t="s">
        <v>91</v>
      </c>
      <c r="I25" s="29" t="s">
        <v>90</v>
      </c>
    </row>
    <row r="26" spans="1:9" ht="18" customHeight="1" x14ac:dyDescent="0.25">
      <c r="A26" s="14">
        <f t="shared" si="1"/>
        <v>18</v>
      </c>
      <c r="B26" s="39"/>
      <c r="C26" s="15" t="s">
        <v>112</v>
      </c>
      <c r="D26" s="14" t="s">
        <v>23</v>
      </c>
      <c r="E26" s="16"/>
      <c r="F26" s="152"/>
      <c r="G26" s="163">
        <f t="shared" si="0"/>
        <v>57.400000000000006</v>
      </c>
      <c r="H26" s="28" t="s">
        <v>91</v>
      </c>
      <c r="I26" s="29" t="s">
        <v>90</v>
      </c>
    </row>
    <row r="27" spans="1:9" ht="18" customHeight="1" x14ac:dyDescent="0.25">
      <c r="A27" s="14">
        <f t="shared" si="1"/>
        <v>19</v>
      </c>
      <c r="B27" s="39"/>
      <c r="C27" s="15" t="s">
        <v>112</v>
      </c>
      <c r="D27" s="14" t="s">
        <v>23</v>
      </c>
      <c r="E27" s="132"/>
      <c r="F27" s="152"/>
      <c r="G27" s="163">
        <f t="shared" si="0"/>
        <v>57.400000000000006</v>
      </c>
      <c r="H27" s="28" t="s">
        <v>91</v>
      </c>
      <c r="I27" s="29" t="s">
        <v>90</v>
      </c>
    </row>
    <row r="28" spans="1:9" ht="18" customHeight="1" x14ac:dyDescent="0.25">
      <c r="A28" s="14">
        <f t="shared" si="1"/>
        <v>20</v>
      </c>
      <c r="B28" s="39"/>
      <c r="C28" s="15" t="s">
        <v>112</v>
      </c>
      <c r="D28" s="14" t="s">
        <v>23</v>
      </c>
      <c r="E28" s="132"/>
      <c r="F28" s="152"/>
      <c r="G28" s="163">
        <f t="shared" si="0"/>
        <v>57.400000000000006</v>
      </c>
      <c r="H28" s="28" t="s">
        <v>91</v>
      </c>
      <c r="I28" s="29" t="s">
        <v>90</v>
      </c>
    </row>
    <row r="29" spans="1:9" ht="18" customHeight="1" x14ac:dyDescent="0.25">
      <c r="A29" s="14">
        <f t="shared" si="1"/>
        <v>21</v>
      </c>
      <c r="B29" s="39"/>
      <c r="C29" s="15" t="s">
        <v>112</v>
      </c>
      <c r="D29" s="14" t="s">
        <v>23</v>
      </c>
      <c r="E29" s="16"/>
      <c r="F29" s="119"/>
      <c r="G29" s="163">
        <f t="shared" si="0"/>
        <v>57.400000000000006</v>
      </c>
      <c r="H29" s="28" t="s">
        <v>91</v>
      </c>
      <c r="I29" s="29" t="s">
        <v>90</v>
      </c>
    </row>
    <row r="30" spans="1:9" ht="18" customHeight="1" x14ac:dyDescent="0.25">
      <c r="A30" s="14">
        <f t="shared" si="1"/>
        <v>22</v>
      </c>
      <c r="B30" s="39"/>
      <c r="C30" s="15" t="s">
        <v>112</v>
      </c>
      <c r="D30" s="14" t="s">
        <v>23</v>
      </c>
      <c r="E30" s="132"/>
      <c r="F30" s="119"/>
      <c r="G30" s="163">
        <f t="shared" si="0"/>
        <v>57.400000000000006</v>
      </c>
      <c r="H30" s="28" t="s">
        <v>91</v>
      </c>
      <c r="I30" s="29" t="s">
        <v>90</v>
      </c>
    </row>
    <row r="31" spans="1:9" ht="18" customHeight="1" x14ac:dyDescent="0.25">
      <c r="A31" s="14">
        <f t="shared" si="1"/>
        <v>23</v>
      </c>
      <c r="B31" s="39"/>
      <c r="C31" s="15" t="s">
        <v>112</v>
      </c>
      <c r="D31" s="14" t="s">
        <v>23</v>
      </c>
      <c r="E31" s="132"/>
      <c r="F31" s="119"/>
      <c r="G31" s="163">
        <f t="shared" si="0"/>
        <v>57.400000000000006</v>
      </c>
      <c r="H31" s="28" t="s">
        <v>91</v>
      </c>
      <c r="I31" s="29" t="s">
        <v>90</v>
      </c>
    </row>
    <row r="32" spans="1:9" ht="18" customHeight="1" x14ac:dyDescent="0.25">
      <c r="A32" s="14">
        <f t="shared" si="1"/>
        <v>24</v>
      </c>
      <c r="B32" s="39"/>
      <c r="C32" s="15" t="s">
        <v>112</v>
      </c>
      <c r="D32" s="14" t="s">
        <v>23</v>
      </c>
      <c r="E32" s="16"/>
      <c r="F32" s="119"/>
      <c r="G32" s="163">
        <f t="shared" si="0"/>
        <v>57.400000000000006</v>
      </c>
      <c r="H32" s="28" t="s">
        <v>91</v>
      </c>
      <c r="I32" s="29" t="s">
        <v>90</v>
      </c>
    </row>
    <row r="33" spans="1:9" ht="18" customHeight="1" x14ac:dyDescent="0.25">
      <c r="A33" s="14">
        <f t="shared" si="1"/>
        <v>25</v>
      </c>
      <c r="B33" s="39"/>
      <c r="C33" s="15" t="s">
        <v>112</v>
      </c>
      <c r="D33" s="14" t="s">
        <v>23</v>
      </c>
      <c r="E33" s="16"/>
      <c r="F33" s="119"/>
      <c r="G33" s="163">
        <f t="shared" si="0"/>
        <v>57.400000000000006</v>
      </c>
      <c r="H33" s="28" t="s">
        <v>91</v>
      </c>
      <c r="I33" s="29" t="s">
        <v>90</v>
      </c>
    </row>
    <row r="34" spans="1:9" ht="18" customHeight="1" x14ac:dyDescent="0.25">
      <c r="A34" s="14">
        <f t="shared" si="1"/>
        <v>26</v>
      </c>
      <c r="B34" s="39"/>
      <c r="C34" s="15" t="s">
        <v>112</v>
      </c>
      <c r="D34" s="14" t="s">
        <v>23</v>
      </c>
      <c r="E34" s="132"/>
      <c r="F34" s="119"/>
      <c r="G34" s="163">
        <f t="shared" si="0"/>
        <v>57.400000000000006</v>
      </c>
      <c r="H34" s="28" t="s">
        <v>91</v>
      </c>
      <c r="I34" s="29" t="s">
        <v>90</v>
      </c>
    </row>
    <row r="35" spans="1:9" ht="18" customHeight="1" x14ac:dyDescent="0.25">
      <c r="A35" s="14">
        <f t="shared" si="1"/>
        <v>27</v>
      </c>
      <c r="B35" s="39"/>
      <c r="C35" s="15" t="s">
        <v>112</v>
      </c>
      <c r="D35" s="14" t="s">
        <v>23</v>
      </c>
      <c r="E35" s="16"/>
      <c r="F35" s="119"/>
      <c r="G35" s="163">
        <f t="shared" si="0"/>
        <v>57.400000000000006</v>
      </c>
      <c r="H35" s="28" t="s">
        <v>91</v>
      </c>
      <c r="I35" s="29" t="s">
        <v>90</v>
      </c>
    </row>
    <row r="36" spans="1:9" ht="18" customHeight="1" x14ac:dyDescent="0.25">
      <c r="A36" s="14">
        <f t="shared" si="1"/>
        <v>28</v>
      </c>
      <c r="B36" s="39"/>
      <c r="C36" s="15" t="s">
        <v>112</v>
      </c>
      <c r="D36" s="14" t="s">
        <v>23</v>
      </c>
      <c r="E36" s="16"/>
      <c r="F36" s="119"/>
      <c r="G36" s="163">
        <f t="shared" si="0"/>
        <v>57.400000000000006</v>
      </c>
      <c r="H36" s="28"/>
      <c r="I36" s="29"/>
    </row>
    <row r="37" spans="1:9" ht="18" customHeight="1" x14ac:dyDescent="0.25">
      <c r="A37" s="14">
        <f t="shared" si="1"/>
        <v>29</v>
      </c>
      <c r="B37" s="39"/>
      <c r="C37" s="15" t="s">
        <v>112</v>
      </c>
      <c r="D37" s="14" t="s">
        <v>23</v>
      </c>
      <c r="E37" s="16"/>
      <c r="F37" s="119"/>
      <c r="G37" s="163">
        <f t="shared" si="0"/>
        <v>57.400000000000006</v>
      </c>
      <c r="H37" s="28"/>
      <c r="I37" s="29"/>
    </row>
    <row r="38" spans="1:9" ht="18" customHeight="1" x14ac:dyDescent="0.25">
      <c r="A38" s="14">
        <f t="shared" si="1"/>
        <v>30</v>
      </c>
      <c r="B38" s="39"/>
      <c r="C38" s="15" t="s">
        <v>112</v>
      </c>
      <c r="D38" s="14" t="s">
        <v>23</v>
      </c>
      <c r="E38" s="132"/>
      <c r="F38" s="119"/>
      <c r="G38" s="163">
        <f t="shared" si="0"/>
        <v>57.400000000000006</v>
      </c>
      <c r="H38" s="28"/>
      <c r="I38" s="29"/>
    </row>
    <row r="39" spans="1:9" ht="18" customHeight="1" x14ac:dyDescent="0.25">
      <c r="A39" s="14">
        <f t="shared" si="1"/>
        <v>31</v>
      </c>
      <c r="B39" s="39"/>
      <c r="C39" s="15" t="s">
        <v>112</v>
      </c>
      <c r="D39" s="14" t="s">
        <v>23</v>
      </c>
      <c r="E39" s="16"/>
      <c r="F39" s="119"/>
      <c r="G39" s="163">
        <f t="shared" si="0"/>
        <v>57.400000000000006</v>
      </c>
      <c r="H39" s="28"/>
      <c r="I39" s="29"/>
    </row>
    <row r="40" spans="1:9" ht="18" customHeight="1" x14ac:dyDescent="0.25">
      <c r="A40" s="14">
        <f t="shared" si="1"/>
        <v>32</v>
      </c>
      <c r="B40" s="39"/>
      <c r="C40" s="15" t="s">
        <v>112</v>
      </c>
      <c r="D40" s="14" t="s">
        <v>23</v>
      </c>
      <c r="E40" s="16"/>
      <c r="F40" s="119"/>
      <c r="G40" s="163">
        <f t="shared" si="0"/>
        <v>57.400000000000006</v>
      </c>
      <c r="H40" s="28"/>
      <c r="I40" s="29"/>
    </row>
    <row r="41" spans="1:9" ht="18" customHeight="1" x14ac:dyDescent="0.25">
      <c r="A41" s="14">
        <f t="shared" si="1"/>
        <v>33</v>
      </c>
      <c r="B41" s="39"/>
      <c r="C41" s="15" t="s">
        <v>112</v>
      </c>
      <c r="D41" s="14" t="s">
        <v>23</v>
      </c>
      <c r="E41" s="16"/>
      <c r="F41" s="119"/>
      <c r="G41" s="163">
        <f t="shared" si="0"/>
        <v>57.400000000000006</v>
      </c>
      <c r="H41" s="28"/>
      <c r="I41" s="29"/>
    </row>
    <row r="42" spans="1:9" ht="18" customHeight="1" x14ac:dyDescent="0.25">
      <c r="A42" s="14">
        <f t="shared" si="1"/>
        <v>34</v>
      </c>
      <c r="B42" s="39"/>
      <c r="C42" s="15" t="s">
        <v>112</v>
      </c>
      <c r="D42" s="14" t="s">
        <v>23</v>
      </c>
      <c r="E42" s="156"/>
      <c r="F42" s="157"/>
      <c r="G42" s="163">
        <f t="shared" si="0"/>
        <v>57.400000000000006</v>
      </c>
      <c r="H42" s="28"/>
      <c r="I42" s="29"/>
    </row>
    <row r="43" spans="1:9" ht="18" customHeight="1" x14ac:dyDescent="0.25">
      <c r="A43" s="14">
        <f t="shared" si="1"/>
        <v>35</v>
      </c>
      <c r="B43" s="39"/>
      <c r="C43" s="15" t="s">
        <v>112</v>
      </c>
      <c r="D43" s="14" t="s">
        <v>23</v>
      </c>
      <c r="E43" s="16"/>
      <c r="F43" s="119"/>
      <c r="G43" s="163">
        <f t="shared" si="0"/>
        <v>57.400000000000006</v>
      </c>
      <c r="H43" s="28"/>
      <c r="I43" s="29"/>
    </row>
    <row r="44" spans="1:9" ht="18" customHeight="1" x14ac:dyDescent="0.25">
      <c r="A44" s="14">
        <f t="shared" si="1"/>
        <v>36</v>
      </c>
      <c r="B44" s="39"/>
      <c r="C44" s="15" t="s">
        <v>112</v>
      </c>
      <c r="D44" s="14" t="s">
        <v>23</v>
      </c>
      <c r="E44" s="16"/>
      <c r="F44" s="119"/>
      <c r="G44" s="163">
        <f t="shared" si="0"/>
        <v>57.400000000000006</v>
      </c>
      <c r="H44" s="28"/>
      <c r="I44" s="29"/>
    </row>
    <row r="45" spans="1:9" ht="18" customHeight="1" x14ac:dyDescent="0.25">
      <c r="A45" s="14">
        <f t="shared" si="1"/>
        <v>37</v>
      </c>
      <c r="B45" s="39"/>
      <c r="C45" s="15" t="s">
        <v>112</v>
      </c>
      <c r="D45" s="14" t="s">
        <v>23</v>
      </c>
      <c r="E45" s="132"/>
      <c r="F45" s="119"/>
      <c r="G45" s="163">
        <f t="shared" si="0"/>
        <v>57.400000000000006</v>
      </c>
      <c r="H45" s="28"/>
      <c r="I45" s="29"/>
    </row>
    <row r="46" spans="1:9" ht="18" customHeight="1" x14ac:dyDescent="0.25">
      <c r="A46" s="14">
        <f t="shared" si="1"/>
        <v>38</v>
      </c>
      <c r="B46" s="39"/>
      <c r="C46" s="15" t="s">
        <v>112</v>
      </c>
      <c r="D46" s="14" t="s">
        <v>23</v>
      </c>
      <c r="E46" s="132"/>
      <c r="F46" s="119"/>
      <c r="G46" s="163">
        <f t="shared" si="0"/>
        <v>57.400000000000006</v>
      </c>
      <c r="H46" s="28"/>
      <c r="I46" s="29"/>
    </row>
    <row r="47" spans="1:9" ht="18" customHeight="1" x14ac:dyDescent="0.25">
      <c r="A47" s="14">
        <f t="shared" si="1"/>
        <v>39</v>
      </c>
      <c r="B47" s="39"/>
      <c r="C47" s="15" t="s">
        <v>112</v>
      </c>
      <c r="D47" s="14" t="s">
        <v>23</v>
      </c>
      <c r="E47" s="132"/>
      <c r="F47" s="119"/>
      <c r="G47" s="163">
        <f t="shared" si="0"/>
        <v>57.400000000000006</v>
      </c>
      <c r="H47" s="28"/>
      <c r="I47" s="29"/>
    </row>
    <row r="48" spans="1:9" ht="18" customHeight="1" x14ac:dyDescent="0.25">
      <c r="A48" s="14">
        <f t="shared" si="1"/>
        <v>40</v>
      </c>
      <c r="B48" s="39"/>
      <c r="C48" s="15" t="s">
        <v>112</v>
      </c>
      <c r="D48" s="14" t="s">
        <v>23</v>
      </c>
      <c r="E48" s="132"/>
      <c r="F48" s="119"/>
      <c r="G48" s="163">
        <f t="shared" si="0"/>
        <v>57.400000000000006</v>
      </c>
      <c r="H48" s="28"/>
      <c r="I48" s="29"/>
    </row>
    <row r="49" spans="1:9" ht="18" customHeight="1" x14ac:dyDescent="0.25">
      <c r="A49" s="14">
        <f t="shared" si="1"/>
        <v>41</v>
      </c>
      <c r="B49" s="39"/>
      <c r="C49" s="15" t="s">
        <v>112</v>
      </c>
      <c r="D49" s="14" t="s">
        <v>23</v>
      </c>
      <c r="E49" s="16"/>
      <c r="F49" s="119"/>
      <c r="G49" s="163">
        <f t="shared" si="0"/>
        <v>57.400000000000006</v>
      </c>
      <c r="H49" s="28"/>
      <c r="I49" s="29"/>
    </row>
    <row r="50" spans="1:9" ht="18" customHeight="1" x14ac:dyDescent="0.25">
      <c r="A50" s="14">
        <f t="shared" si="1"/>
        <v>42</v>
      </c>
      <c r="B50" s="39"/>
      <c r="C50" s="15" t="s">
        <v>112</v>
      </c>
      <c r="D50" s="14" t="s">
        <v>23</v>
      </c>
      <c r="E50" s="132"/>
      <c r="F50" s="119"/>
      <c r="G50" s="163">
        <f t="shared" si="0"/>
        <v>57.400000000000006</v>
      </c>
      <c r="H50" s="28"/>
      <c r="I50" s="29"/>
    </row>
    <row r="51" spans="1:9" s="162" customFormat="1" ht="18" customHeight="1" x14ac:dyDescent="0.25">
      <c r="A51" s="14">
        <f t="shared" si="1"/>
        <v>43</v>
      </c>
      <c r="B51" s="159"/>
      <c r="C51" s="15" t="s">
        <v>112</v>
      </c>
      <c r="D51" s="14" t="s">
        <v>23</v>
      </c>
      <c r="E51" s="160"/>
      <c r="F51" s="161"/>
      <c r="G51" s="163">
        <f t="shared" si="0"/>
        <v>57.400000000000006</v>
      </c>
      <c r="H51" s="28"/>
      <c r="I51" s="29"/>
    </row>
    <row r="52" spans="1:9" ht="18" customHeight="1" x14ac:dyDescent="0.25">
      <c r="A52" s="14">
        <f t="shared" si="1"/>
        <v>44</v>
      </c>
      <c r="B52" s="39"/>
      <c r="C52" s="15" t="s">
        <v>112</v>
      </c>
      <c r="D52" s="14" t="s">
        <v>23</v>
      </c>
      <c r="E52" s="16"/>
      <c r="F52" s="119"/>
      <c r="G52" s="163">
        <f t="shared" si="0"/>
        <v>57.400000000000006</v>
      </c>
      <c r="H52" s="28"/>
      <c r="I52" s="29"/>
    </row>
    <row r="53" spans="1:9" ht="18" customHeight="1" x14ac:dyDescent="0.25">
      <c r="A53" s="14">
        <f t="shared" si="1"/>
        <v>45</v>
      </c>
      <c r="B53" s="39"/>
      <c r="C53" s="15" t="s">
        <v>112</v>
      </c>
      <c r="D53" s="14" t="s">
        <v>19</v>
      </c>
      <c r="E53" s="16"/>
      <c r="F53" s="119"/>
      <c r="G53" s="163">
        <f t="shared" si="0"/>
        <v>57.400000000000006</v>
      </c>
      <c r="H53" s="28"/>
      <c r="I53" s="29"/>
    </row>
    <row r="54" spans="1:9" ht="18" customHeight="1" x14ac:dyDescent="0.25">
      <c r="A54" s="14">
        <f t="shared" si="1"/>
        <v>46</v>
      </c>
      <c r="B54" s="39"/>
      <c r="C54" s="15" t="s">
        <v>112</v>
      </c>
      <c r="D54" s="14" t="s">
        <v>19</v>
      </c>
      <c r="E54" s="16"/>
      <c r="F54" s="119"/>
      <c r="G54" s="163">
        <f t="shared" si="0"/>
        <v>57.400000000000006</v>
      </c>
      <c r="H54" s="28"/>
      <c r="I54" s="29"/>
    </row>
    <row r="55" spans="1:9" ht="18" customHeight="1" x14ac:dyDescent="0.25">
      <c r="A55" s="14">
        <f t="shared" si="1"/>
        <v>47</v>
      </c>
      <c r="B55" s="39"/>
      <c r="C55" s="15" t="s">
        <v>112</v>
      </c>
      <c r="D55" s="14" t="s">
        <v>19</v>
      </c>
      <c r="E55" s="16"/>
      <c r="F55" s="119"/>
      <c r="G55" s="163">
        <f t="shared" si="0"/>
        <v>57.400000000000006</v>
      </c>
      <c r="H55" s="28"/>
      <c r="I55" s="29"/>
    </row>
    <row r="56" spans="1:9" ht="18" customHeight="1" x14ac:dyDescent="0.25">
      <c r="A56" s="14">
        <f t="shared" si="1"/>
        <v>48</v>
      </c>
      <c r="B56" s="39"/>
      <c r="C56" s="15" t="s">
        <v>112</v>
      </c>
      <c r="D56" s="14" t="s">
        <v>19</v>
      </c>
      <c r="E56" s="113"/>
      <c r="F56" s="119"/>
      <c r="G56" s="163">
        <f t="shared" si="0"/>
        <v>57.400000000000006</v>
      </c>
      <c r="H56" s="28"/>
      <c r="I56" s="29"/>
    </row>
    <row r="57" spans="1:9" ht="18" customHeight="1" x14ac:dyDescent="0.25">
      <c r="A57" s="14">
        <f t="shared" si="1"/>
        <v>49</v>
      </c>
      <c r="B57" s="39"/>
      <c r="C57" s="15" t="s">
        <v>112</v>
      </c>
      <c r="D57" s="14" t="s">
        <v>19</v>
      </c>
      <c r="E57" s="16"/>
      <c r="F57" s="119"/>
      <c r="G57" s="163">
        <f t="shared" si="0"/>
        <v>57.400000000000006</v>
      </c>
      <c r="H57" s="28"/>
      <c r="I57" s="29"/>
    </row>
    <row r="58" spans="1:9" ht="18" customHeight="1" x14ac:dyDescent="0.25">
      <c r="A58" s="14">
        <f t="shared" si="1"/>
        <v>50</v>
      </c>
      <c r="B58" s="39"/>
      <c r="C58" s="15" t="s">
        <v>112</v>
      </c>
      <c r="D58" s="14" t="s">
        <v>19</v>
      </c>
      <c r="E58" s="16"/>
      <c r="F58" s="119"/>
      <c r="G58" s="163">
        <f t="shared" si="0"/>
        <v>57.400000000000006</v>
      </c>
      <c r="H58" s="28"/>
      <c r="I58" s="29"/>
    </row>
    <row r="59" spans="1:9" ht="18" customHeight="1" x14ac:dyDescent="0.25">
      <c r="A59" s="14">
        <f t="shared" si="1"/>
        <v>51</v>
      </c>
      <c r="B59" s="39"/>
      <c r="C59" s="15" t="s">
        <v>112</v>
      </c>
      <c r="D59" s="14" t="s">
        <v>19</v>
      </c>
      <c r="E59" s="16"/>
      <c r="F59" s="119"/>
      <c r="G59" s="163">
        <f t="shared" si="0"/>
        <v>57.400000000000006</v>
      </c>
      <c r="H59" s="28"/>
      <c r="I59" s="29"/>
    </row>
    <row r="60" spans="1:9" ht="18" customHeight="1" x14ac:dyDescent="0.25">
      <c r="A60" s="14">
        <f t="shared" si="1"/>
        <v>52</v>
      </c>
      <c r="B60" s="39"/>
      <c r="C60" s="15" t="s">
        <v>112</v>
      </c>
      <c r="D60" s="14" t="s">
        <v>19</v>
      </c>
      <c r="E60" s="16"/>
      <c r="F60" s="119"/>
      <c r="G60" s="163">
        <f t="shared" si="0"/>
        <v>57.400000000000006</v>
      </c>
      <c r="H60" s="28"/>
      <c r="I60" s="29"/>
    </row>
    <row r="61" spans="1:9" ht="18" customHeight="1" x14ac:dyDescent="0.25">
      <c r="A61" s="14">
        <f t="shared" si="1"/>
        <v>53</v>
      </c>
      <c r="B61" s="39"/>
      <c r="C61" s="15" t="s">
        <v>112</v>
      </c>
      <c r="D61" s="14" t="s">
        <v>19</v>
      </c>
      <c r="E61" s="16"/>
      <c r="F61" s="119"/>
      <c r="G61" s="163">
        <f t="shared" si="0"/>
        <v>57.400000000000006</v>
      </c>
      <c r="H61" s="28"/>
      <c r="I61" s="29"/>
    </row>
    <row r="62" spans="1:9" ht="18" customHeight="1" x14ac:dyDescent="0.25">
      <c r="A62" s="14">
        <f t="shared" si="1"/>
        <v>54</v>
      </c>
      <c r="B62" s="39"/>
      <c r="C62" s="15" t="s">
        <v>112</v>
      </c>
      <c r="D62" s="14" t="s">
        <v>19</v>
      </c>
      <c r="E62" s="16"/>
      <c r="F62" s="119"/>
      <c r="G62" s="163">
        <f t="shared" si="0"/>
        <v>57.400000000000006</v>
      </c>
      <c r="H62" s="28"/>
      <c r="I62" s="29"/>
    </row>
    <row r="63" spans="1:9" ht="18" customHeight="1" x14ac:dyDescent="0.25">
      <c r="A63" s="14">
        <f t="shared" si="1"/>
        <v>55</v>
      </c>
      <c r="B63" s="39"/>
      <c r="C63" s="15" t="s">
        <v>112</v>
      </c>
      <c r="D63" s="14" t="s">
        <v>19</v>
      </c>
      <c r="E63" s="113"/>
      <c r="F63" s="119"/>
      <c r="G63" s="163">
        <f t="shared" si="0"/>
        <v>57.400000000000006</v>
      </c>
      <c r="H63" s="28"/>
      <c r="I63" s="29"/>
    </row>
    <row r="64" spans="1:9" ht="18" customHeight="1" x14ac:dyDescent="0.25">
      <c r="A64" s="14">
        <f t="shared" si="1"/>
        <v>56</v>
      </c>
      <c r="B64" s="39"/>
      <c r="C64" s="15" t="s">
        <v>112</v>
      </c>
      <c r="D64" s="14" t="s">
        <v>19</v>
      </c>
      <c r="E64" s="16"/>
      <c r="F64" s="119"/>
      <c r="G64" s="163">
        <f t="shared" si="0"/>
        <v>57.400000000000006</v>
      </c>
      <c r="H64" s="28"/>
      <c r="I64" s="29"/>
    </row>
    <row r="65" spans="1:10" ht="18" customHeight="1" x14ac:dyDescent="0.25">
      <c r="A65" s="14">
        <f t="shared" si="1"/>
        <v>57</v>
      </c>
      <c r="B65" s="39"/>
      <c r="C65" s="15" t="s">
        <v>112</v>
      </c>
      <c r="D65" s="14" t="s">
        <v>19</v>
      </c>
      <c r="E65" s="16"/>
      <c r="F65" s="119"/>
      <c r="G65" s="163">
        <f t="shared" si="0"/>
        <v>57.400000000000006</v>
      </c>
      <c r="H65" s="28"/>
      <c r="I65" s="29"/>
    </row>
    <row r="66" spans="1:10" ht="18" customHeight="1" x14ac:dyDescent="0.25">
      <c r="A66" s="14">
        <f t="shared" si="1"/>
        <v>58</v>
      </c>
      <c r="B66" s="39"/>
      <c r="C66" s="15" t="s">
        <v>112</v>
      </c>
      <c r="D66" s="14" t="s">
        <v>19</v>
      </c>
      <c r="E66" s="16"/>
      <c r="F66" s="119"/>
      <c r="G66" s="163">
        <f t="shared" si="0"/>
        <v>57.400000000000006</v>
      </c>
      <c r="H66" s="28"/>
      <c r="I66" s="29"/>
    </row>
    <row r="67" spans="1:10" ht="18" customHeight="1" x14ac:dyDescent="0.25">
      <c r="A67" s="14">
        <f t="shared" si="1"/>
        <v>59</v>
      </c>
      <c r="B67" s="39"/>
      <c r="C67" s="15" t="s">
        <v>112</v>
      </c>
      <c r="D67" s="14" t="s">
        <v>19</v>
      </c>
      <c r="E67" s="113"/>
      <c r="F67" s="119"/>
      <c r="G67" s="163">
        <f t="shared" si="0"/>
        <v>57.400000000000006</v>
      </c>
      <c r="H67" s="28"/>
      <c r="I67" s="29"/>
    </row>
    <row r="68" spans="1:10" ht="18" customHeight="1" x14ac:dyDescent="0.25">
      <c r="A68" s="14">
        <f t="shared" si="1"/>
        <v>60</v>
      </c>
      <c r="B68" s="39"/>
      <c r="C68" s="15" t="s">
        <v>112</v>
      </c>
      <c r="D68" s="14" t="s">
        <v>19</v>
      </c>
      <c r="E68" s="16"/>
      <c r="F68" s="119"/>
      <c r="G68" s="163">
        <f t="shared" si="0"/>
        <v>57.400000000000006</v>
      </c>
      <c r="H68" s="28"/>
      <c r="I68" s="29"/>
      <c r="J68">
        <f>2.2+1.8</f>
        <v>4</v>
      </c>
    </row>
    <row r="69" spans="1:10" ht="18" customHeight="1" x14ac:dyDescent="0.25">
      <c r="A69" s="14">
        <f t="shared" si="1"/>
        <v>61</v>
      </c>
      <c r="B69" s="39"/>
      <c r="C69" s="15" t="s">
        <v>112</v>
      </c>
      <c r="D69" s="14" t="s">
        <v>19</v>
      </c>
      <c r="E69" s="16"/>
      <c r="F69" s="119"/>
      <c r="G69" s="163">
        <f t="shared" si="0"/>
        <v>57.400000000000006</v>
      </c>
      <c r="H69" s="28"/>
      <c r="I69" s="29"/>
    </row>
    <row r="70" spans="1:10" ht="18" customHeight="1" x14ac:dyDescent="0.25">
      <c r="A70" s="14">
        <f t="shared" si="1"/>
        <v>62</v>
      </c>
      <c r="B70" s="39"/>
      <c r="C70" s="15" t="s">
        <v>112</v>
      </c>
      <c r="D70" s="14" t="s">
        <v>19</v>
      </c>
      <c r="E70" s="16"/>
      <c r="F70" s="119"/>
      <c r="G70" s="163">
        <f t="shared" si="0"/>
        <v>57.400000000000006</v>
      </c>
      <c r="H70" s="28"/>
      <c r="I70" s="29"/>
    </row>
    <row r="71" spans="1:10" ht="18" customHeight="1" x14ac:dyDescent="0.25">
      <c r="A71" s="14">
        <f t="shared" si="1"/>
        <v>63</v>
      </c>
      <c r="B71" s="39"/>
      <c r="C71" s="15" t="s">
        <v>112</v>
      </c>
      <c r="D71" s="14" t="s">
        <v>19</v>
      </c>
      <c r="E71" s="16"/>
      <c r="F71" s="119"/>
      <c r="G71" s="163">
        <f t="shared" si="0"/>
        <v>57.400000000000006</v>
      </c>
      <c r="H71" s="28"/>
      <c r="I71" s="29"/>
    </row>
    <row r="72" spans="1:10" ht="18" customHeight="1" x14ac:dyDescent="0.25">
      <c r="A72" s="14">
        <f t="shared" si="1"/>
        <v>64</v>
      </c>
      <c r="B72" s="39"/>
      <c r="C72" s="15" t="s">
        <v>112</v>
      </c>
      <c r="D72" s="14" t="s">
        <v>19</v>
      </c>
      <c r="E72" s="16"/>
      <c r="F72" s="119"/>
      <c r="G72" s="163">
        <f t="shared" si="0"/>
        <v>57.400000000000006</v>
      </c>
      <c r="H72" s="28"/>
      <c r="I72" s="29"/>
    </row>
    <row r="73" spans="1:10" ht="18" customHeight="1" x14ac:dyDescent="0.25">
      <c r="A73" s="14">
        <f t="shared" si="1"/>
        <v>65</v>
      </c>
      <c r="B73" s="39"/>
      <c r="C73" s="15" t="s">
        <v>112</v>
      </c>
      <c r="D73" s="14" t="s">
        <v>19</v>
      </c>
      <c r="E73" s="16"/>
      <c r="F73" s="119"/>
      <c r="G73" s="163">
        <f t="shared" si="0"/>
        <v>57.400000000000006</v>
      </c>
      <c r="H73" s="28"/>
      <c r="I73" s="29"/>
    </row>
    <row r="74" spans="1:10" ht="18" customHeight="1" x14ac:dyDescent="0.25">
      <c r="A74" s="14">
        <f t="shared" si="1"/>
        <v>66</v>
      </c>
      <c r="B74" s="39"/>
      <c r="C74" s="15" t="s">
        <v>112</v>
      </c>
      <c r="D74" s="14" t="s">
        <v>19</v>
      </c>
      <c r="E74" s="16"/>
      <c r="F74" s="119"/>
      <c r="G74" s="163">
        <f t="shared" ref="G74:G112" si="2">+G73+E74-F74</f>
        <v>57.400000000000006</v>
      </c>
      <c r="H74" s="28"/>
      <c r="I74" s="29"/>
    </row>
    <row r="75" spans="1:10" ht="18" customHeight="1" x14ac:dyDescent="0.25">
      <c r="A75" s="14">
        <f t="shared" ref="A75:A112" si="3">+A74+1</f>
        <v>67</v>
      </c>
      <c r="B75" s="39"/>
      <c r="C75" s="15" t="s">
        <v>112</v>
      </c>
      <c r="D75" s="14" t="s">
        <v>19</v>
      </c>
      <c r="E75" s="16"/>
      <c r="F75" s="119"/>
      <c r="G75" s="163">
        <f t="shared" si="2"/>
        <v>57.400000000000006</v>
      </c>
      <c r="H75" s="28"/>
      <c r="I75" s="29"/>
    </row>
    <row r="76" spans="1:10" ht="18" customHeight="1" x14ac:dyDescent="0.25">
      <c r="A76" s="14">
        <f t="shared" si="3"/>
        <v>68</v>
      </c>
      <c r="B76" s="39"/>
      <c r="C76" s="15" t="s">
        <v>112</v>
      </c>
      <c r="D76" s="14" t="s">
        <v>19</v>
      </c>
      <c r="E76" s="16"/>
      <c r="F76" s="119"/>
      <c r="G76" s="163">
        <f t="shared" si="2"/>
        <v>57.400000000000006</v>
      </c>
      <c r="H76" s="28"/>
      <c r="I76" s="29"/>
    </row>
    <row r="77" spans="1:10" ht="18" customHeight="1" x14ac:dyDescent="0.25">
      <c r="A77" s="14">
        <f t="shared" si="3"/>
        <v>69</v>
      </c>
      <c r="B77" s="39"/>
      <c r="C77" s="15" t="s">
        <v>112</v>
      </c>
      <c r="D77" s="14" t="s">
        <v>19</v>
      </c>
      <c r="E77" s="16"/>
      <c r="F77" s="119"/>
      <c r="G77" s="163">
        <f t="shared" si="2"/>
        <v>57.400000000000006</v>
      </c>
      <c r="H77" s="28"/>
      <c r="I77" s="29"/>
    </row>
    <row r="78" spans="1:10" ht="18" customHeight="1" x14ac:dyDescent="0.25">
      <c r="A78" s="14">
        <f t="shared" si="3"/>
        <v>70</v>
      </c>
      <c r="B78" s="39"/>
      <c r="C78" s="15" t="s">
        <v>112</v>
      </c>
      <c r="D78" s="14" t="s">
        <v>19</v>
      </c>
      <c r="E78" s="16"/>
      <c r="F78" s="119"/>
      <c r="G78" s="163">
        <f t="shared" si="2"/>
        <v>57.400000000000006</v>
      </c>
      <c r="H78" s="28"/>
      <c r="I78" s="29"/>
    </row>
    <row r="79" spans="1:10" ht="18" customHeight="1" x14ac:dyDescent="0.25">
      <c r="A79" s="14">
        <f t="shared" si="3"/>
        <v>71</v>
      </c>
      <c r="B79" s="39"/>
      <c r="C79" s="15" t="s">
        <v>112</v>
      </c>
      <c r="D79" s="14" t="s">
        <v>19</v>
      </c>
      <c r="E79" s="16"/>
      <c r="F79" s="119"/>
      <c r="G79" s="163">
        <f t="shared" si="2"/>
        <v>57.400000000000006</v>
      </c>
      <c r="H79" s="28"/>
      <c r="I79" s="29"/>
    </row>
    <row r="80" spans="1:10" ht="18" customHeight="1" x14ac:dyDescent="0.25">
      <c r="A80" s="14">
        <f t="shared" si="3"/>
        <v>72</v>
      </c>
      <c r="B80" s="39"/>
      <c r="C80" s="15" t="s">
        <v>112</v>
      </c>
      <c r="D80" s="14" t="s">
        <v>19</v>
      </c>
      <c r="E80" s="16"/>
      <c r="F80" s="119"/>
      <c r="G80" s="163">
        <f t="shared" si="2"/>
        <v>57.400000000000006</v>
      </c>
      <c r="H80" s="28"/>
      <c r="I80" s="29"/>
    </row>
    <row r="81" spans="1:9" ht="18" customHeight="1" x14ac:dyDescent="0.25">
      <c r="A81" s="14">
        <f t="shared" si="3"/>
        <v>73</v>
      </c>
      <c r="B81" s="39"/>
      <c r="C81" s="15" t="s">
        <v>112</v>
      </c>
      <c r="D81" s="14" t="s">
        <v>19</v>
      </c>
      <c r="E81" s="16"/>
      <c r="F81" s="119"/>
      <c r="G81" s="163">
        <f t="shared" si="2"/>
        <v>57.400000000000006</v>
      </c>
      <c r="H81" s="28"/>
      <c r="I81" s="29"/>
    </row>
    <row r="82" spans="1:9" ht="18" customHeight="1" x14ac:dyDescent="0.25">
      <c r="A82" s="14">
        <f t="shared" si="3"/>
        <v>74</v>
      </c>
      <c r="B82" s="39"/>
      <c r="C82" s="15" t="s">
        <v>112</v>
      </c>
      <c r="D82" s="14" t="s">
        <v>19</v>
      </c>
      <c r="E82" s="16"/>
      <c r="F82" s="119"/>
      <c r="G82" s="163">
        <f t="shared" si="2"/>
        <v>57.400000000000006</v>
      </c>
      <c r="H82" s="28"/>
      <c r="I82" s="29"/>
    </row>
    <row r="83" spans="1:9" ht="18" customHeight="1" x14ac:dyDescent="0.25">
      <c r="A83" s="14">
        <f t="shared" si="3"/>
        <v>75</v>
      </c>
      <c r="B83" s="39"/>
      <c r="C83" s="15" t="s">
        <v>112</v>
      </c>
      <c r="D83" s="14" t="s">
        <v>19</v>
      </c>
      <c r="E83" s="16"/>
      <c r="F83" s="119"/>
      <c r="G83" s="163">
        <f t="shared" si="2"/>
        <v>57.400000000000006</v>
      </c>
      <c r="H83" s="28"/>
      <c r="I83" s="29"/>
    </row>
    <row r="84" spans="1:9" ht="18" customHeight="1" x14ac:dyDescent="0.25">
      <c r="A84" s="14">
        <f t="shared" si="3"/>
        <v>76</v>
      </c>
      <c r="B84" s="39"/>
      <c r="C84" s="15" t="s">
        <v>112</v>
      </c>
      <c r="D84" s="14" t="s">
        <v>19</v>
      </c>
      <c r="E84" s="16"/>
      <c r="F84" s="119"/>
      <c r="G84" s="163">
        <f t="shared" si="2"/>
        <v>57.400000000000006</v>
      </c>
      <c r="H84" s="28"/>
      <c r="I84" s="29"/>
    </row>
    <row r="85" spans="1:9" ht="18" customHeight="1" x14ac:dyDescent="0.25">
      <c r="A85" s="14">
        <f t="shared" si="3"/>
        <v>77</v>
      </c>
      <c r="B85" s="39"/>
      <c r="C85" s="15" t="s">
        <v>112</v>
      </c>
      <c r="D85" s="14" t="s">
        <v>19</v>
      </c>
      <c r="E85" s="16"/>
      <c r="F85" s="119"/>
      <c r="G85" s="163">
        <f t="shared" si="2"/>
        <v>57.400000000000006</v>
      </c>
      <c r="H85" s="28"/>
      <c r="I85" s="29"/>
    </row>
    <row r="86" spans="1:9" ht="18" customHeight="1" x14ac:dyDescent="0.25">
      <c r="A86" s="14">
        <f t="shared" si="3"/>
        <v>78</v>
      </c>
      <c r="B86" s="39"/>
      <c r="C86" s="15" t="s">
        <v>112</v>
      </c>
      <c r="D86" s="14" t="s">
        <v>19</v>
      </c>
      <c r="E86" s="16"/>
      <c r="F86" s="119"/>
      <c r="G86" s="163">
        <f t="shared" si="2"/>
        <v>57.400000000000006</v>
      </c>
      <c r="H86" s="28"/>
      <c r="I86" s="29"/>
    </row>
    <row r="87" spans="1:9" ht="18" customHeight="1" x14ac:dyDescent="0.25">
      <c r="A87" s="14">
        <f t="shared" si="3"/>
        <v>79</v>
      </c>
      <c r="B87" s="39"/>
      <c r="C87" s="15" t="s">
        <v>112</v>
      </c>
      <c r="D87" s="14" t="s">
        <v>19</v>
      </c>
      <c r="E87" s="16"/>
      <c r="F87" s="119"/>
      <c r="G87" s="163">
        <f t="shared" si="2"/>
        <v>57.400000000000006</v>
      </c>
      <c r="H87" s="28"/>
      <c r="I87" s="29"/>
    </row>
    <row r="88" spans="1:9" ht="18" customHeight="1" x14ac:dyDescent="0.25">
      <c r="A88" s="14">
        <f t="shared" si="3"/>
        <v>80</v>
      </c>
      <c r="B88" s="39"/>
      <c r="C88" s="15" t="s">
        <v>112</v>
      </c>
      <c r="D88" s="14" t="s">
        <v>19</v>
      </c>
      <c r="E88" s="16"/>
      <c r="F88" s="119"/>
      <c r="G88" s="163">
        <f t="shared" si="2"/>
        <v>57.400000000000006</v>
      </c>
      <c r="H88" s="28"/>
      <c r="I88" s="29"/>
    </row>
    <row r="89" spans="1:9" ht="18" customHeight="1" x14ac:dyDescent="0.25">
      <c r="A89" s="14">
        <f t="shared" si="3"/>
        <v>81</v>
      </c>
      <c r="B89" s="39"/>
      <c r="C89" s="15" t="s">
        <v>112</v>
      </c>
      <c r="D89" s="14" t="s">
        <v>19</v>
      </c>
      <c r="E89" s="16"/>
      <c r="F89" s="119"/>
      <c r="G89" s="163">
        <f t="shared" si="2"/>
        <v>57.400000000000006</v>
      </c>
      <c r="H89" s="28"/>
      <c r="I89" s="29"/>
    </row>
    <row r="90" spans="1:9" ht="18" customHeight="1" x14ac:dyDescent="0.25">
      <c r="A90" s="14">
        <f t="shared" si="3"/>
        <v>82</v>
      </c>
      <c r="B90" s="39"/>
      <c r="C90" s="15" t="s">
        <v>112</v>
      </c>
      <c r="D90" s="14" t="s">
        <v>19</v>
      </c>
      <c r="E90" s="16"/>
      <c r="F90" s="119"/>
      <c r="G90" s="163">
        <f t="shared" si="2"/>
        <v>57.400000000000006</v>
      </c>
      <c r="H90" s="28"/>
      <c r="I90" s="29"/>
    </row>
    <row r="91" spans="1:9" ht="18" customHeight="1" x14ac:dyDescent="0.25">
      <c r="A91" s="14">
        <f t="shared" si="3"/>
        <v>83</v>
      </c>
      <c r="B91" s="39"/>
      <c r="C91" s="15" t="s">
        <v>112</v>
      </c>
      <c r="D91" s="14" t="s">
        <v>19</v>
      </c>
      <c r="E91" s="16"/>
      <c r="F91" s="119"/>
      <c r="G91" s="163">
        <f t="shared" si="2"/>
        <v>57.400000000000006</v>
      </c>
      <c r="H91" s="28"/>
      <c r="I91" s="29"/>
    </row>
    <row r="92" spans="1:9" ht="18" customHeight="1" x14ac:dyDescent="0.25">
      <c r="A92" s="14">
        <f t="shared" si="3"/>
        <v>84</v>
      </c>
      <c r="B92" s="39"/>
      <c r="C92" s="15" t="s">
        <v>112</v>
      </c>
      <c r="D92" s="14" t="s">
        <v>19</v>
      </c>
      <c r="E92" s="16"/>
      <c r="F92" s="119"/>
      <c r="G92" s="163">
        <f t="shared" si="2"/>
        <v>57.400000000000006</v>
      </c>
      <c r="H92" s="28"/>
      <c r="I92" s="29"/>
    </row>
    <row r="93" spans="1:9" ht="18" customHeight="1" x14ac:dyDescent="0.25">
      <c r="A93" s="14">
        <f t="shared" si="3"/>
        <v>85</v>
      </c>
      <c r="B93" s="39"/>
      <c r="C93" s="15" t="s">
        <v>112</v>
      </c>
      <c r="D93" s="14" t="s">
        <v>19</v>
      </c>
      <c r="E93" s="16"/>
      <c r="F93" s="119"/>
      <c r="G93" s="163">
        <f t="shared" si="2"/>
        <v>57.400000000000006</v>
      </c>
      <c r="H93" s="28"/>
      <c r="I93" s="29"/>
    </row>
    <row r="94" spans="1:9" ht="18" customHeight="1" x14ac:dyDescent="0.25">
      <c r="A94" s="14">
        <f t="shared" si="3"/>
        <v>86</v>
      </c>
      <c r="B94" s="39"/>
      <c r="C94" s="15" t="s">
        <v>112</v>
      </c>
      <c r="D94" s="14" t="s">
        <v>19</v>
      </c>
      <c r="E94" s="16"/>
      <c r="F94" s="119"/>
      <c r="G94" s="163">
        <f t="shared" si="2"/>
        <v>57.400000000000006</v>
      </c>
      <c r="H94" s="28"/>
      <c r="I94" s="29"/>
    </row>
    <row r="95" spans="1:9" ht="18" customHeight="1" x14ac:dyDescent="0.25">
      <c r="A95" s="14">
        <f t="shared" si="3"/>
        <v>87</v>
      </c>
      <c r="B95" s="39"/>
      <c r="C95" s="15" t="s">
        <v>112</v>
      </c>
      <c r="D95" s="14" t="s">
        <v>19</v>
      </c>
      <c r="E95" s="16"/>
      <c r="F95" s="119"/>
      <c r="G95" s="163">
        <f t="shared" si="2"/>
        <v>57.400000000000006</v>
      </c>
      <c r="H95" s="28"/>
      <c r="I95" s="29"/>
    </row>
    <row r="96" spans="1:9" ht="18" customHeight="1" x14ac:dyDescent="0.25">
      <c r="A96" s="14">
        <f t="shared" si="3"/>
        <v>88</v>
      </c>
      <c r="B96" s="39"/>
      <c r="C96" s="15" t="s">
        <v>112</v>
      </c>
      <c r="D96" s="14" t="s">
        <v>19</v>
      </c>
      <c r="E96" s="16"/>
      <c r="F96" s="119"/>
      <c r="G96" s="163">
        <f t="shared" si="2"/>
        <v>57.400000000000006</v>
      </c>
      <c r="H96" s="28"/>
      <c r="I96" s="29"/>
    </row>
    <row r="97" spans="1:9" ht="18" customHeight="1" x14ac:dyDescent="0.25">
      <c r="A97" s="14">
        <f t="shared" si="3"/>
        <v>89</v>
      </c>
      <c r="B97" s="39"/>
      <c r="C97" s="15" t="s">
        <v>112</v>
      </c>
      <c r="D97" s="14" t="s">
        <v>19</v>
      </c>
      <c r="E97" s="16"/>
      <c r="F97" s="119"/>
      <c r="G97" s="163">
        <f t="shared" si="2"/>
        <v>57.400000000000006</v>
      </c>
      <c r="H97" s="28"/>
      <c r="I97" s="29"/>
    </row>
    <row r="98" spans="1:9" ht="18" customHeight="1" x14ac:dyDescent="0.25">
      <c r="A98" s="14">
        <f t="shared" si="3"/>
        <v>90</v>
      </c>
      <c r="B98" s="39"/>
      <c r="C98" s="15" t="s">
        <v>112</v>
      </c>
      <c r="D98" s="14" t="s">
        <v>19</v>
      </c>
      <c r="E98" s="16"/>
      <c r="F98" s="119"/>
      <c r="G98" s="163">
        <f t="shared" si="2"/>
        <v>57.400000000000006</v>
      </c>
      <c r="H98" s="28"/>
      <c r="I98" s="29"/>
    </row>
    <row r="99" spans="1:9" ht="18" customHeight="1" x14ac:dyDescent="0.25">
      <c r="A99" s="14">
        <f t="shared" si="3"/>
        <v>91</v>
      </c>
      <c r="B99" s="39"/>
      <c r="C99" s="15" t="s">
        <v>112</v>
      </c>
      <c r="D99" s="14" t="s">
        <v>19</v>
      </c>
      <c r="E99" s="16"/>
      <c r="F99" s="119"/>
      <c r="G99" s="163">
        <f t="shared" si="2"/>
        <v>57.400000000000006</v>
      </c>
      <c r="H99" s="28"/>
      <c r="I99" s="29"/>
    </row>
    <row r="100" spans="1:9" ht="18" customHeight="1" x14ac:dyDescent="0.25">
      <c r="A100" s="14">
        <f t="shared" si="3"/>
        <v>92</v>
      </c>
      <c r="B100" s="39"/>
      <c r="C100" s="15" t="s">
        <v>112</v>
      </c>
      <c r="D100" s="14" t="s">
        <v>19</v>
      </c>
      <c r="E100" s="16"/>
      <c r="F100" s="119"/>
      <c r="G100" s="163">
        <f t="shared" si="2"/>
        <v>57.400000000000006</v>
      </c>
      <c r="H100" s="28"/>
      <c r="I100" s="29"/>
    </row>
    <row r="101" spans="1:9" ht="18" customHeight="1" x14ac:dyDescent="0.25">
      <c r="A101" s="14">
        <f t="shared" si="3"/>
        <v>93</v>
      </c>
      <c r="B101" s="39"/>
      <c r="C101" s="15" t="s">
        <v>112</v>
      </c>
      <c r="D101" s="14" t="s">
        <v>19</v>
      </c>
      <c r="E101" s="16"/>
      <c r="F101" s="119"/>
      <c r="G101" s="163">
        <f t="shared" si="2"/>
        <v>57.400000000000006</v>
      </c>
      <c r="H101" s="28"/>
      <c r="I101" s="29"/>
    </row>
    <row r="102" spans="1:9" ht="18" customHeight="1" x14ac:dyDescent="0.25">
      <c r="A102" s="14">
        <f t="shared" si="3"/>
        <v>94</v>
      </c>
      <c r="B102" s="39"/>
      <c r="C102" s="15" t="s">
        <v>112</v>
      </c>
      <c r="D102" s="14" t="s">
        <v>19</v>
      </c>
      <c r="E102" s="16"/>
      <c r="F102" s="119"/>
      <c r="G102" s="163">
        <f t="shared" si="2"/>
        <v>57.400000000000006</v>
      </c>
      <c r="H102" s="28"/>
      <c r="I102" s="29"/>
    </row>
    <row r="103" spans="1:9" ht="18" customHeight="1" x14ac:dyDescent="0.25">
      <c r="A103" s="14">
        <f t="shared" si="3"/>
        <v>95</v>
      </c>
      <c r="B103" s="39"/>
      <c r="C103" s="15" t="s">
        <v>112</v>
      </c>
      <c r="D103" s="14" t="s">
        <v>19</v>
      </c>
      <c r="E103" s="16"/>
      <c r="F103" s="119"/>
      <c r="G103" s="163">
        <f t="shared" si="2"/>
        <v>57.400000000000006</v>
      </c>
      <c r="H103" s="28"/>
      <c r="I103" s="29"/>
    </row>
    <row r="104" spans="1:9" ht="18" customHeight="1" x14ac:dyDescent="0.25">
      <c r="A104" s="14">
        <f t="shared" si="3"/>
        <v>96</v>
      </c>
      <c r="B104" s="39"/>
      <c r="C104" s="15" t="s">
        <v>112</v>
      </c>
      <c r="D104" s="14" t="s">
        <v>19</v>
      </c>
      <c r="E104" s="16"/>
      <c r="F104" s="119"/>
      <c r="G104" s="163">
        <f t="shared" si="2"/>
        <v>57.400000000000006</v>
      </c>
      <c r="H104" s="28"/>
      <c r="I104" s="29"/>
    </row>
    <row r="105" spans="1:9" ht="18" customHeight="1" x14ac:dyDescent="0.25">
      <c r="A105" s="14">
        <f t="shared" si="3"/>
        <v>97</v>
      </c>
      <c r="B105" s="39"/>
      <c r="C105" s="15" t="s">
        <v>112</v>
      </c>
      <c r="D105" s="14" t="s">
        <v>19</v>
      </c>
      <c r="E105" s="16"/>
      <c r="F105" s="119"/>
      <c r="G105" s="163">
        <f t="shared" si="2"/>
        <v>57.400000000000006</v>
      </c>
      <c r="H105" s="28"/>
      <c r="I105" s="29"/>
    </row>
    <row r="106" spans="1:9" ht="18" customHeight="1" x14ac:dyDescent="0.25">
      <c r="A106" s="14">
        <f t="shared" si="3"/>
        <v>98</v>
      </c>
      <c r="B106" s="39"/>
      <c r="C106" s="15" t="s">
        <v>112</v>
      </c>
      <c r="D106" s="14" t="s">
        <v>19</v>
      </c>
      <c r="E106" s="16"/>
      <c r="F106" s="119"/>
      <c r="G106" s="163">
        <f t="shared" si="2"/>
        <v>57.400000000000006</v>
      </c>
      <c r="H106" s="28"/>
      <c r="I106" s="29"/>
    </row>
    <row r="107" spans="1:9" ht="18" customHeight="1" x14ac:dyDescent="0.25">
      <c r="A107" s="14">
        <f t="shared" si="3"/>
        <v>99</v>
      </c>
      <c r="B107" s="39"/>
      <c r="C107" s="15" t="s">
        <v>112</v>
      </c>
      <c r="D107" s="14"/>
      <c r="E107" s="16"/>
      <c r="F107" s="119"/>
      <c r="G107" s="163">
        <f t="shared" si="2"/>
        <v>57.400000000000006</v>
      </c>
      <c r="H107" s="28"/>
      <c r="I107" s="29"/>
    </row>
    <row r="108" spans="1:9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57.400000000000006</v>
      </c>
      <c r="H108" s="28"/>
      <c r="I108" s="29"/>
    </row>
    <row r="109" spans="1:9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57.400000000000006</v>
      </c>
      <c r="H109" s="28"/>
      <c r="I109" s="29"/>
    </row>
    <row r="110" spans="1:9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57.400000000000006</v>
      </c>
      <c r="H110" s="28"/>
      <c r="I110" s="29"/>
    </row>
    <row r="111" spans="1:9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57.400000000000006</v>
      </c>
      <c r="H111" s="28"/>
      <c r="I111" s="29"/>
    </row>
    <row r="112" spans="1:9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57.400000000000006</v>
      </c>
      <c r="H112" s="28"/>
      <c r="I112" s="29"/>
    </row>
    <row r="113" spans="1:9" x14ac:dyDescent="0.25">
      <c r="A113" s="7"/>
      <c r="B113" s="7"/>
      <c r="C113" s="34" t="s">
        <v>13</v>
      </c>
      <c r="D113" s="7"/>
      <c r="E113" s="164">
        <f>SUM(E9:E112)</f>
        <v>0</v>
      </c>
      <c r="F113" s="165">
        <f>SUM(F9:F112)</f>
        <v>6.8</v>
      </c>
      <c r="G113" s="35">
        <f>+E113-F113+G8</f>
        <v>57.400000000000006</v>
      </c>
      <c r="H113" s="35"/>
      <c r="I113" s="36"/>
    </row>
  </sheetData>
  <mergeCells count="1">
    <mergeCell ref="A4:I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9EC5-1007-4428-A3C0-1D37C34CC6D0}">
  <sheetPr codeName="Sheet38"/>
  <dimension ref="A1:O114"/>
  <sheetViews>
    <sheetView topLeftCell="B18" workbookViewId="0">
      <selection activeCell="B42" sqref="B42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147.1</v>
      </c>
      <c r="H8" s="7"/>
      <c r="I8" s="7"/>
      <c r="J8" s="7"/>
    </row>
    <row r="9" spans="1:12" ht="18" customHeight="1" x14ac:dyDescent="0.25">
      <c r="A9" s="14">
        <v>1</v>
      </c>
      <c r="B9" s="39">
        <v>45673</v>
      </c>
      <c r="C9" s="15" t="s">
        <v>185</v>
      </c>
      <c r="D9" s="14" t="s">
        <v>23</v>
      </c>
      <c r="E9" s="143"/>
      <c r="F9" s="119">
        <v>14.71</v>
      </c>
      <c r="G9" s="163">
        <f t="shared" ref="G9:G72" si="0">+G8+E9-F9</f>
        <v>132.38999999999999</v>
      </c>
      <c r="H9" s="28"/>
      <c r="I9" s="29"/>
      <c r="J9" s="7">
        <v>10</v>
      </c>
      <c r="K9" s="349">
        <f>E9/J9</f>
        <v>0</v>
      </c>
      <c r="L9" s="162" t="s">
        <v>183</v>
      </c>
    </row>
    <row r="10" spans="1:12" ht="18" customHeight="1" x14ac:dyDescent="0.25">
      <c r="A10" s="14">
        <f t="shared" ref="A10:A73" si="1">+A9+1</f>
        <v>2</v>
      </c>
      <c r="B10" s="39">
        <v>45692</v>
      </c>
      <c r="C10" s="15" t="s">
        <v>185</v>
      </c>
      <c r="D10" s="14" t="s">
        <v>23</v>
      </c>
      <c r="E10" s="16"/>
      <c r="F10" s="152">
        <v>14.71</v>
      </c>
      <c r="G10" s="163">
        <f t="shared" si="0"/>
        <v>117.67999999999998</v>
      </c>
      <c r="H10" s="28" t="s">
        <v>129</v>
      </c>
      <c r="I10" s="29" t="s">
        <v>90</v>
      </c>
      <c r="J10" s="7"/>
    </row>
    <row r="11" spans="1:12" ht="18" customHeight="1" x14ac:dyDescent="0.25">
      <c r="A11" s="14">
        <f t="shared" si="1"/>
        <v>3</v>
      </c>
      <c r="B11" s="39">
        <v>45707</v>
      </c>
      <c r="C11" s="15"/>
      <c r="D11" s="14" t="s">
        <v>23</v>
      </c>
      <c r="E11" s="143"/>
      <c r="F11" s="152">
        <v>14.71</v>
      </c>
      <c r="G11" s="163">
        <f t="shared" si="0"/>
        <v>102.96999999999997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>
        <v>45713</v>
      </c>
      <c r="C12" s="15"/>
      <c r="D12" s="14" t="s">
        <v>23</v>
      </c>
      <c r="E12" s="319"/>
      <c r="F12" s="152">
        <v>19.71</v>
      </c>
      <c r="G12" s="163">
        <f t="shared" si="0"/>
        <v>83.259999999999962</v>
      </c>
      <c r="H12" s="28" t="s">
        <v>129</v>
      </c>
      <c r="I12" s="29"/>
      <c r="J12" s="7"/>
    </row>
    <row r="13" spans="1:12" ht="18" customHeight="1" x14ac:dyDescent="0.25">
      <c r="A13" s="14">
        <f t="shared" si="1"/>
        <v>5</v>
      </c>
      <c r="B13" s="39">
        <v>45714</v>
      </c>
      <c r="C13" s="15"/>
      <c r="D13" s="14" t="s">
        <v>23</v>
      </c>
      <c r="E13" s="135"/>
      <c r="F13" s="153">
        <v>14.71</v>
      </c>
      <c r="G13" s="163">
        <f t="shared" si="0"/>
        <v>68.549999999999955</v>
      </c>
      <c r="H13" s="28" t="s">
        <v>91</v>
      </c>
      <c r="I13" s="29"/>
      <c r="J13" s="7"/>
    </row>
    <row r="14" spans="1:12" ht="18" customHeight="1" x14ac:dyDescent="0.25">
      <c r="A14" s="14">
        <f>+A13+1</f>
        <v>6</v>
      </c>
      <c r="B14" s="39">
        <v>45715</v>
      </c>
      <c r="C14" s="15"/>
      <c r="D14" s="14" t="s">
        <v>23</v>
      </c>
      <c r="E14" s="145"/>
      <c r="F14" s="153">
        <v>14.71</v>
      </c>
      <c r="G14" s="163">
        <f>+G13+E14-F14</f>
        <v>53.839999999999954</v>
      </c>
      <c r="H14" s="28" t="s">
        <v>91</v>
      </c>
      <c r="I14" s="29"/>
      <c r="J14" s="7"/>
    </row>
    <row r="15" spans="1:12" ht="18" customHeight="1" x14ac:dyDescent="0.25">
      <c r="A15" s="14"/>
      <c r="B15" s="159">
        <v>45719</v>
      </c>
      <c r="C15" s="401"/>
      <c r="D15" s="158" t="s">
        <v>23</v>
      </c>
      <c r="E15" s="410">
        <v>15.7</v>
      </c>
      <c r="F15" s="411">
        <v>15.7</v>
      </c>
      <c r="G15" s="403">
        <f t="shared" ref="G15:G18" si="2">+G14+E15-F15</f>
        <v>53.839999999999947</v>
      </c>
      <c r="H15" s="239" t="s">
        <v>91</v>
      </c>
      <c r="I15" s="271" t="s">
        <v>381</v>
      </c>
      <c r="J15" s="271"/>
    </row>
    <row r="16" spans="1:12" ht="18" customHeight="1" x14ac:dyDescent="0.25">
      <c r="A16" s="14">
        <f>+A14+1</f>
        <v>7</v>
      </c>
      <c r="B16" s="39">
        <v>45721</v>
      </c>
      <c r="C16" s="15"/>
      <c r="D16" s="14" t="s">
        <v>23</v>
      </c>
      <c r="E16" s="154"/>
      <c r="F16" s="153">
        <v>14.71</v>
      </c>
      <c r="G16" s="163">
        <f t="shared" si="2"/>
        <v>39.129999999999946</v>
      </c>
      <c r="H16" s="28" t="s">
        <v>91</v>
      </c>
      <c r="I16" s="29" t="s">
        <v>264</v>
      </c>
      <c r="J16" s="140"/>
    </row>
    <row r="17" spans="1:13" ht="18" customHeight="1" x14ac:dyDescent="0.25">
      <c r="A17" s="14">
        <f t="shared" si="1"/>
        <v>8</v>
      </c>
      <c r="B17" s="159">
        <v>45722</v>
      </c>
      <c r="C17" s="401"/>
      <c r="D17" s="158" t="s">
        <v>23</v>
      </c>
      <c r="E17" s="412">
        <f>29.42-8.7</f>
        <v>20.720000000000002</v>
      </c>
      <c r="F17" s="155">
        <v>14.71</v>
      </c>
      <c r="G17" s="403">
        <f t="shared" si="2"/>
        <v>45.139999999999951</v>
      </c>
      <c r="H17" s="239" t="s">
        <v>91</v>
      </c>
      <c r="I17" s="401"/>
      <c r="J17" s="271" t="s">
        <v>383</v>
      </c>
      <c r="M17">
        <f>83.26/14.71</f>
        <v>5.6600951733514613</v>
      </c>
    </row>
    <row r="18" spans="1:13" s="179" customFormat="1" ht="18" customHeight="1" x14ac:dyDescent="0.25">
      <c r="A18" s="241">
        <f t="shared" si="1"/>
        <v>9</v>
      </c>
      <c r="B18" s="405">
        <v>45729</v>
      </c>
      <c r="C18" s="341"/>
      <c r="D18" s="241" t="s">
        <v>23</v>
      </c>
      <c r="E18" s="406"/>
      <c r="F18" s="407">
        <v>15.7</v>
      </c>
      <c r="G18" s="408">
        <f t="shared" si="2"/>
        <v>29.439999999999952</v>
      </c>
      <c r="H18" s="240" t="s">
        <v>91</v>
      </c>
      <c r="I18" s="341"/>
      <c r="J18" s="247"/>
    </row>
    <row r="19" spans="1:13" ht="18" customHeight="1" x14ac:dyDescent="0.25">
      <c r="A19" s="14">
        <f t="shared" si="1"/>
        <v>10</v>
      </c>
      <c r="B19" s="39">
        <v>45730</v>
      </c>
      <c r="C19" s="15"/>
      <c r="D19" s="14" t="s">
        <v>23</v>
      </c>
      <c r="E19" s="16"/>
      <c r="F19" s="152">
        <v>29.42</v>
      </c>
      <c r="G19" s="163">
        <f t="shared" si="0"/>
        <v>1.9999999999949836E-2</v>
      </c>
      <c r="H19" s="28" t="s">
        <v>91</v>
      </c>
      <c r="I19" s="29"/>
      <c r="J19" s="7"/>
    </row>
    <row r="20" spans="1:13" ht="18" customHeight="1" x14ac:dyDescent="0.25">
      <c r="A20" s="14">
        <f t="shared" si="1"/>
        <v>11</v>
      </c>
      <c r="B20" s="39">
        <v>45733</v>
      </c>
      <c r="C20" s="15"/>
      <c r="D20" s="14" t="s">
        <v>23</v>
      </c>
      <c r="E20" s="16">
        <v>15.8</v>
      </c>
      <c r="F20" s="152">
        <v>15.8</v>
      </c>
      <c r="G20" s="163">
        <f t="shared" si="0"/>
        <v>1.9999999999949836E-2</v>
      </c>
      <c r="H20" s="28" t="s">
        <v>91</v>
      </c>
      <c r="I20" s="29"/>
      <c r="J20" s="7"/>
      <c r="M20" s="409">
        <f>29.42-8.7</f>
        <v>20.720000000000002</v>
      </c>
    </row>
    <row r="21" spans="1:13" ht="18" customHeight="1" x14ac:dyDescent="0.25">
      <c r="A21" s="14">
        <f t="shared" si="1"/>
        <v>12</v>
      </c>
      <c r="B21" s="39">
        <v>45734</v>
      </c>
      <c r="C21" s="15"/>
      <c r="D21" s="14" t="s">
        <v>23</v>
      </c>
      <c r="E21" s="132">
        <f>10*15.44</f>
        <v>154.4</v>
      </c>
      <c r="F21" s="152">
        <f>2*15.44</f>
        <v>30.88</v>
      </c>
      <c r="G21" s="163">
        <f t="shared" si="0"/>
        <v>123.53999999999996</v>
      </c>
      <c r="H21" s="28" t="s">
        <v>129</v>
      </c>
      <c r="I21" s="29"/>
      <c r="J21" s="7"/>
      <c r="K21">
        <v>153</v>
      </c>
    </row>
    <row r="22" spans="1:13" ht="18" customHeight="1" x14ac:dyDescent="0.25">
      <c r="A22" s="14">
        <f t="shared" si="1"/>
        <v>13</v>
      </c>
      <c r="B22" s="42">
        <v>45735</v>
      </c>
      <c r="C22" s="15"/>
      <c r="D22" s="14" t="s">
        <v>23</v>
      </c>
      <c r="E22" s="132"/>
      <c r="F22" s="152">
        <v>15.44</v>
      </c>
      <c r="G22" s="163">
        <f t="shared" si="0"/>
        <v>108.09999999999997</v>
      </c>
      <c r="H22" s="28" t="s">
        <v>91</v>
      </c>
      <c r="I22" s="29"/>
      <c r="J22" s="7"/>
    </row>
    <row r="23" spans="1:13" ht="18" customHeight="1" x14ac:dyDescent="0.25">
      <c r="A23" s="14">
        <f t="shared" si="1"/>
        <v>14</v>
      </c>
      <c r="B23" s="39">
        <v>45736</v>
      </c>
      <c r="C23" s="15"/>
      <c r="D23" s="14" t="s">
        <v>23</v>
      </c>
      <c r="E23" s="132"/>
      <c r="F23" s="152">
        <v>15.44</v>
      </c>
      <c r="G23" s="163">
        <f t="shared" si="0"/>
        <v>92.659999999999968</v>
      </c>
      <c r="H23" s="28" t="s">
        <v>91</v>
      </c>
      <c r="I23" s="29"/>
      <c r="J23" s="7"/>
    </row>
    <row r="24" spans="1:13" ht="18" customHeight="1" x14ac:dyDescent="0.25">
      <c r="A24" s="14">
        <f t="shared" si="1"/>
        <v>15</v>
      </c>
      <c r="B24" s="39">
        <v>45737</v>
      </c>
      <c r="C24" s="15"/>
      <c r="D24" s="14" t="s">
        <v>23</v>
      </c>
      <c r="E24" s="132"/>
      <c r="F24" s="152">
        <v>15.44</v>
      </c>
      <c r="G24" s="163">
        <f t="shared" si="0"/>
        <v>77.21999999999997</v>
      </c>
      <c r="H24" s="28" t="s">
        <v>91</v>
      </c>
      <c r="I24" s="29"/>
      <c r="J24" s="7"/>
    </row>
    <row r="25" spans="1:13" ht="18" customHeight="1" x14ac:dyDescent="0.25">
      <c r="A25" s="14">
        <f t="shared" si="1"/>
        <v>16</v>
      </c>
      <c r="B25" s="39">
        <v>45740</v>
      </c>
      <c r="C25" s="15"/>
      <c r="D25" s="14" t="s">
        <v>23</v>
      </c>
      <c r="E25" s="132"/>
      <c r="F25" s="155">
        <v>15.44</v>
      </c>
      <c r="G25" s="163">
        <f t="shared" si="0"/>
        <v>61.779999999999973</v>
      </c>
      <c r="H25" s="28" t="s">
        <v>91</v>
      </c>
      <c r="I25" s="29"/>
      <c r="J25" s="7"/>
      <c r="M25">
        <f>1660*87.5</f>
        <v>145250</v>
      </c>
    </row>
    <row r="26" spans="1:13" ht="18" customHeight="1" x14ac:dyDescent="0.25">
      <c r="A26" s="14">
        <f t="shared" si="1"/>
        <v>17</v>
      </c>
      <c r="B26" s="39">
        <v>45744</v>
      </c>
      <c r="C26" s="15"/>
      <c r="D26" s="14" t="s">
        <v>23</v>
      </c>
      <c r="E26" s="132"/>
      <c r="F26" s="368">
        <v>15.44</v>
      </c>
      <c r="G26" s="163">
        <f t="shared" si="0"/>
        <v>46.339999999999975</v>
      </c>
      <c r="H26" s="28" t="s">
        <v>91</v>
      </c>
      <c r="I26" s="29"/>
      <c r="J26" s="7"/>
      <c r="M26">
        <f>+M25/2900</f>
        <v>50.086206896551722</v>
      </c>
    </row>
    <row r="27" spans="1:13" ht="18" customHeight="1" x14ac:dyDescent="0.25">
      <c r="A27" s="14">
        <f t="shared" si="1"/>
        <v>18</v>
      </c>
      <c r="B27" s="39">
        <v>45746</v>
      </c>
      <c r="C27" s="15"/>
      <c r="D27" s="14" t="s">
        <v>23</v>
      </c>
      <c r="E27" s="16"/>
      <c r="F27" s="152">
        <v>15.44</v>
      </c>
      <c r="G27" s="163">
        <f t="shared" si="0"/>
        <v>30.899999999999977</v>
      </c>
      <c r="H27" s="28" t="s">
        <v>91</v>
      </c>
      <c r="I27" s="29"/>
      <c r="J27" s="7"/>
    </row>
    <row r="28" spans="1:13" ht="18" customHeight="1" x14ac:dyDescent="0.25">
      <c r="A28" s="14">
        <f t="shared" si="1"/>
        <v>19</v>
      </c>
      <c r="B28" s="159">
        <v>45749</v>
      </c>
      <c r="C28" s="401"/>
      <c r="D28" s="158" t="s">
        <v>23</v>
      </c>
      <c r="E28" s="402">
        <v>15.5</v>
      </c>
      <c r="F28" s="155">
        <v>15.5</v>
      </c>
      <c r="G28" s="403">
        <f t="shared" si="0"/>
        <v>30.899999999999977</v>
      </c>
      <c r="H28" s="239" t="s">
        <v>91</v>
      </c>
      <c r="I28" s="401"/>
      <c r="J28" s="271" t="s">
        <v>381</v>
      </c>
    </row>
    <row r="29" spans="1:13" ht="18" customHeight="1" x14ac:dyDescent="0.25">
      <c r="A29" s="14">
        <f t="shared" si="1"/>
        <v>20</v>
      </c>
      <c r="B29" s="39">
        <v>45761</v>
      </c>
      <c r="C29" s="15"/>
      <c r="D29" s="14" t="s">
        <v>23</v>
      </c>
      <c r="E29" s="132"/>
      <c r="F29" s="152">
        <v>15.44</v>
      </c>
      <c r="G29" s="163">
        <f t="shared" si="0"/>
        <v>15.459999999999978</v>
      </c>
      <c r="H29" s="28" t="s">
        <v>91</v>
      </c>
      <c r="I29" s="29"/>
      <c r="J29" s="7"/>
      <c r="M29">
        <f>4*15.44</f>
        <v>61.76</v>
      </c>
    </row>
    <row r="30" spans="1:13" ht="18" customHeight="1" x14ac:dyDescent="0.25">
      <c r="A30" s="14">
        <f t="shared" si="1"/>
        <v>21</v>
      </c>
      <c r="B30" s="39">
        <v>45763</v>
      </c>
      <c r="C30" s="15"/>
      <c r="D30" s="14" t="s">
        <v>23</v>
      </c>
      <c r="E30" s="16"/>
      <c r="F30" s="119">
        <v>15.55</v>
      </c>
      <c r="G30" s="163">
        <f t="shared" si="0"/>
        <v>-9.0000000000022951E-2</v>
      </c>
      <c r="H30" s="28" t="s">
        <v>91</v>
      </c>
      <c r="I30" s="29"/>
      <c r="J30" s="7"/>
    </row>
    <row r="31" spans="1:13" ht="18" customHeight="1" x14ac:dyDescent="0.25">
      <c r="A31" s="14">
        <f t="shared" si="1"/>
        <v>22</v>
      </c>
      <c r="B31" s="39"/>
      <c r="C31" s="15"/>
      <c r="D31" s="14" t="s">
        <v>23</v>
      </c>
      <c r="E31" s="132">
        <f>3*16.54</f>
        <v>49.62</v>
      </c>
      <c r="F31" s="119"/>
      <c r="G31" s="163">
        <f t="shared" si="0"/>
        <v>49.529999999999973</v>
      </c>
      <c r="H31" s="28" t="s">
        <v>91</v>
      </c>
      <c r="I31" s="29"/>
      <c r="J31" s="7"/>
    </row>
    <row r="32" spans="1:13" ht="18" customHeight="1" x14ac:dyDescent="0.25">
      <c r="A32" s="14">
        <f t="shared" si="1"/>
        <v>23</v>
      </c>
      <c r="B32" s="39">
        <v>45764</v>
      </c>
      <c r="C32" s="15"/>
      <c r="D32" s="14" t="s">
        <v>23</v>
      </c>
      <c r="E32" s="132"/>
      <c r="F32" s="119">
        <v>16.54</v>
      </c>
      <c r="G32" s="163">
        <f t="shared" si="0"/>
        <v>32.989999999999974</v>
      </c>
      <c r="H32" s="28" t="s">
        <v>91</v>
      </c>
      <c r="I32" s="29"/>
      <c r="J32" s="7"/>
    </row>
    <row r="33" spans="1:15" ht="18" customHeight="1" x14ac:dyDescent="0.25">
      <c r="A33" s="14">
        <f t="shared" si="1"/>
        <v>24</v>
      </c>
      <c r="B33" s="39">
        <v>45765</v>
      </c>
      <c r="C33" s="15"/>
      <c r="D33" s="14" t="s">
        <v>23</v>
      </c>
      <c r="E33" s="16"/>
      <c r="F33" s="119">
        <v>16.54</v>
      </c>
      <c r="G33" s="163">
        <f t="shared" si="0"/>
        <v>16.449999999999974</v>
      </c>
      <c r="H33" s="28" t="s">
        <v>91</v>
      </c>
      <c r="I33" s="29"/>
      <c r="J33" s="7"/>
    </row>
    <row r="34" spans="1:15" ht="18" customHeight="1" x14ac:dyDescent="0.25">
      <c r="A34" s="14">
        <f t="shared" si="1"/>
        <v>25</v>
      </c>
      <c r="B34" s="39">
        <v>45768</v>
      </c>
      <c r="C34" s="15"/>
      <c r="D34" s="14" t="s">
        <v>23</v>
      </c>
      <c r="E34" s="16"/>
      <c r="F34" s="119">
        <v>16.54</v>
      </c>
      <c r="G34" s="163">
        <f t="shared" si="0"/>
        <v>-9.0000000000024727E-2</v>
      </c>
      <c r="H34" s="28" t="s">
        <v>91</v>
      </c>
      <c r="I34" s="29"/>
      <c r="J34" s="7"/>
    </row>
    <row r="35" spans="1:15" ht="18" customHeight="1" x14ac:dyDescent="0.25">
      <c r="A35" s="14">
        <f t="shared" si="1"/>
        <v>26</v>
      </c>
      <c r="B35" s="39">
        <v>45768</v>
      </c>
      <c r="C35" s="15"/>
      <c r="D35" s="14" t="s">
        <v>23</v>
      </c>
      <c r="E35" s="132">
        <v>510</v>
      </c>
      <c r="F35" s="119"/>
      <c r="G35" s="163">
        <f t="shared" si="0"/>
        <v>509.90999999999997</v>
      </c>
      <c r="H35" s="28" t="s">
        <v>91</v>
      </c>
      <c r="I35" s="29"/>
      <c r="J35" s="7">
        <v>33</v>
      </c>
    </row>
    <row r="36" spans="1:15" ht="18" customHeight="1" x14ac:dyDescent="0.25">
      <c r="A36" s="14">
        <f t="shared" si="1"/>
        <v>27</v>
      </c>
      <c r="B36" s="39">
        <v>45770</v>
      </c>
      <c r="C36" s="15"/>
      <c r="D36" s="14" t="s">
        <v>23</v>
      </c>
      <c r="E36" s="16"/>
      <c r="F36" s="119">
        <v>15.46</v>
      </c>
      <c r="G36" s="163">
        <f t="shared" si="0"/>
        <v>494.45</v>
      </c>
      <c r="H36" s="28" t="s">
        <v>91</v>
      </c>
      <c r="I36" s="29"/>
      <c r="J36" s="7"/>
    </row>
    <row r="37" spans="1:15" ht="18" customHeight="1" x14ac:dyDescent="0.25">
      <c r="A37" s="14">
        <f t="shared" si="1"/>
        <v>28</v>
      </c>
      <c r="B37" s="39">
        <v>45774</v>
      </c>
      <c r="C37" s="15"/>
      <c r="D37" s="14" t="s">
        <v>23</v>
      </c>
      <c r="E37" s="16"/>
      <c r="F37" s="119">
        <f>15.46*2</f>
        <v>30.92</v>
      </c>
      <c r="G37" s="163">
        <f t="shared" si="0"/>
        <v>463.53</v>
      </c>
      <c r="H37" s="28"/>
      <c r="I37" s="29"/>
      <c r="J37" s="7"/>
    </row>
    <row r="38" spans="1:15" ht="18" customHeight="1" x14ac:dyDescent="0.25">
      <c r="A38" s="14" t="e">
        <f>+#REF!+1</f>
        <v>#REF!</v>
      </c>
      <c r="B38" s="39">
        <v>45782</v>
      </c>
      <c r="C38" s="15"/>
      <c r="D38" s="14" t="s">
        <v>23</v>
      </c>
      <c r="E38" s="132"/>
      <c r="F38" s="119">
        <v>46.38</v>
      </c>
      <c r="G38" s="163">
        <f t="shared" si="0"/>
        <v>417.15</v>
      </c>
      <c r="H38" s="28"/>
      <c r="I38" s="29"/>
      <c r="J38" s="7"/>
      <c r="O38">
        <f>26+17</f>
        <v>43</v>
      </c>
    </row>
    <row r="39" spans="1:15" ht="18" customHeight="1" x14ac:dyDescent="0.25">
      <c r="A39" s="14" t="e">
        <f t="shared" si="1"/>
        <v>#REF!</v>
      </c>
      <c r="B39" s="39">
        <v>45785</v>
      </c>
      <c r="C39" s="15"/>
      <c r="D39" s="14" t="s">
        <v>23</v>
      </c>
      <c r="E39" s="16"/>
      <c r="F39" s="119">
        <v>15.46</v>
      </c>
      <c r="G39" s="163">
        <f t="shared" si="0"/>
        <v>401.69</v>
      </c>
      <c r="H39" s="28"/>
      <c r="I39" s="29"/>
      <c r="J39" s="7"/>
    </row>
    <row r="40" spans="1:15" ht="18" customHeight="1" x14ac:dyDescent="0.25">
      <c r="A40" s="14" t="e">
        <f t="shared" si="1"/>
        <v>#REF!</v>
      </c>
      <c r="B40" s="39">
        <v>45789</v>
      </c>
      <c r="C40" s="15"/>
      <c r="D40" s="14" t="s">
        <v>23</v>
      </c>
      <c r="E40" s="16"/>
      <c r="F40" s="119">
        <v>15.46</v>
      </c>
      <c r="G40" s="163">
        <f t="shared" si="0"/>
        <v>386.23</v>
      </c>
      <c r="H40" s="28"/>
      <c r="I40" s="29"/>
      <c r="J40" s="7"/>
    </row>
    <row r="41" spans="1:15" ht="18" customHeight="1" x14ac:dyDescent="0.25">
      <c r="A41" s="14" t="e">
        <f t="shared" si="1"/>
        <v>#REF!</v>
      </c>
      <c r="B41" s="39">
        <v>45792</v>
      </c>
      <c r="C41" s="15"/>
      <c r="D41" s="14" t="s">
        <v>23</v>
      </c>
      <c r="E41" s="16"/>
      <c r="F41" s="119">
        <v>15.46</v>
      </c>
      <c r="G41" s="163">
        <f t="shared" si="0"/>
        <v>370.77000000000004</v>
      </c>
      <c r="H41" s="28"/>
      <c r="I41" s="29"/>
      <c r="J41" s="7"/>
    </row>
    <row r="42" spans="1:15" ht="18" customHeight="1" x14ac:dyDescent="0.25">
      <c r="A42" s="14" t="e">
        <f t="shared" si="1"/>
        <v>#REF!</v>
      </c>
      <c r="B42" s="39"/>
      <c r="C42" s="15"/>
      <c r="D42" s="14" t="s">
        <v>23</v>
      </c>
      <c r="E42" s="156"/>
      <c r="F42" s="157">
        <v>382.38</v>
      </c>
      <c r="G42" s="163">
        <f t="shared" si="0"/>
        <v>-11.609999999999957</v>
      </c>
      <c r="H42" s="28"/>
      <c r="I42" s="29"/>
      <c r="J42" s="7"/>
    </row>
    <row r="43" spans="1:15" ht="18" customHeight="1" x14ac:dyDescent="0.25">
      <c r="A43" s="14" t="e">
        <f t="shared" si="1"/>
        <v>#REF!</v>
      </c>
      <c r="B43" s="39"/>
      <c r="C43" s="15"/>
      <c r="D43" s="14" t="s">
        <v>23</v>
      </c>
      <c r="E43" s="16"/>
      <c r="F43" s="119"/>
      <c r="G43" s="163">
        <f t="shared" si="0"/>
        <v>-11.609999999999957</v>
      </c>
      <c r="H43" s="28"/>
      <c r="I43" s="29"/>
      <c r="J43" s="7"/>
    </row>
    <row r="44" spans="1:15" ht="18" customHeight="1" x14ac:dyDescent="0.25">
      <c r="A44" s="14" t="e">
        <f t="shared" si="1"/>
        <v>#REF!</v>
      </c>
      <c r="B44" s="39"/>
      <c r="C44" s="15"/>
      <c r="D44" s="14" t="s">
        <v>23</v>
      </c>
      <c r="E44" s="16"/>
      <c r="F44" s="119"/>
      <c r="G44" s="163">
        <f t="shared" si="0"/>
        <v>-11.609999999999957</v>
      </c>
      <c r="H44" s="28"/>
      <c r="I44" s="29"/>
      <c r="J44" s="7"/>
    </row>
    <row r="45" spans="1:15" ht="18" customHeight="1" x14ac:dyDescent="0.25">
      <c r="A45" s="14" t="e">
        <f t="shared" si="1"/>
        <v>#REF!</v>
      </c>
      <c r="B45" s="39"/>
      <c r="C45" s="15"/>
      <c r="D45" s="14" t="s">
        <v>23</v>
      </c>
      <c r="E45" s="132"/>
      <c r="F45" s="119"/>
      <c r="G45" s="163">
        <f t="shared" si="0"/>
        <v>-11.609999999999957</v>
      </c>
      <c r="H45" s="28"/>
      <c r="I45" s="29"/>
      <c r="J45" s="7"/>
    </row>
    <row r="46" spans="1:15" ht="18" customHeight="1" x14ac:dyDescent="0.25">
      <c r="A46" s="14" t="e">
        <f t="shared" si="1"/>
        <v>#REF!</v>
      </c>
      <c r="B46" s="39"/>
      <c r="C46" s="15"/>
      <c r="D46" s="14" t="s">
        <v>23</v>
      </c>
      <c r="E46" s="132"/>
      <c r="F46" s="119"/>
      <c r="G46" s="163">
        <f t="shared" si="0"/>
        <v>-11.609999999999957</v>
      </c>
      <c r="H46" s="28"/>
      <c r="I46" s="29"/>
      <c r="J46" s="7"/>
    </row>
    <row r="47" spans="1:15" ht="18" customHeight="1" x14ac:dyDescent="0.25">
      <c r="A47" s="14" t="e">
        <f t="shared" si="1"/>
        <v>#REF!</v>
      </c>
      <c r="B47" s="39"/>
      <c r="C47" s="15"/>
      <c r="D47" s="14" t="s">
        <v>23</v>
      </c>
      <c r="E47" s="132"/>
      <c r="F47" s="119"/>
      <c r="G47" s="163">
        <f t="shared" si="0"/>
        <v>-11.609999999999957</v>
      </c>
      <c r="H47" s="28"/>
      <c r="I47" s="29"/>
      <c r="J47" s="7"/>
    </row>
    <row r="48" spans="1:15" ht="18" customHeight="1" x14ac:dyDescent="0.25">
      <c r="A48" s="14" t="e">
        <f t="shared" si="1"/>
        <v>#REF!</v>
      </c>
      <c r="B48" s="39"/>
      <c r="C48" s="15"/>
      <c r="D48" s="14" t="s">
        <v>23</v>
      </c>
      <c r="E48" s="132"/>
      <c r="F48" s="119"/>
      <c r="G48" s="163">
        <f t="shared" si="0"/>
        <v>-11.609999999999957</v>
      </c>
      <c r="H48" s="28"/>
      <c r="I48" s="29"/>
      <c r="J48" s="7"/>
    </row>
    <row r="49" spans="1:10" ht="18" customHeight="1" x14ac:dyDescent="0.25">
      <c r="A49" s="14" t="e">
        <f t="shared" si="1"/>
        <v>#REF!</v>
      </c>
      <c r="B49" s="39"/>
      <c r="C49" s="15"/>
      <c r="D49" s="14" t="s">
        <v>23</v>
      </c>
      <c r="E49" s="16"/>
      <c r="F49" s="119"/>
      <c r="G49" s="163">
        <f t="shared" si="0"/>
        <v>-11.609999999999957</v>
      </c>
      <c r="H49" s="28"/>
      <c r="I49" s="29"/>
      <c r="J49" s="7"/>
    </row>
    <row r="50" spans="1:10" ht="18" customHeight="1" x14ac:dyDescent="0.25">
      <c r="A50" s="14" t="e">
        <f t="shared" si="1"/>
        <v>#REF!</v>
      </c>
      <c r="B50" s="39"/>
      <c r="C50" s="15"/>
      <c r="D50" s="14" t="s">
        <v>23</v>
      </c>
      <c r="E50" s="132"/>
      <c r="F50" s="119"/>
      <c r="G50" s="163">
        <f t="shared" si="0"/>
        <v>-11.609999999999957</v>
      </c>
      <c r="H50" s="28"/>
      <c r="I50" s="29"/>
      <c r="J50" s="7"/>
    </row>
    <row r="51" spans="1:10" s="162" customFormat="1" ht="18" customHeight="1" x14ac:dyDescent="0.25">
      <c r="A51" s="14" t="e">
        <f t="shared" si="1"/>
        <v>#REF!</v>
      </c>
      <c r="B51" s="159"/>
      <c r="C51" s="15"/>
      <c r="D51" s="14" t="s">
        <v>23</v>
      </c>
      <c r="E51" s="160"/>
      <c r="F51" s="161"/>
      <c r="G51" s="163">
        <f t="shared" si="0"/>
        <v>-11.609999999999957</v>
      </c>
      <c r="H51" s="28"/>
      <c r="I51" s="29"/>
      <c r="J51" s="271"/>
    </row>
    <row r="52" spans="1:10" ht="18" customHeight="1" x14ac:dyDescent="0.25">
      <c r="A52" s="14" t="e">
        <f t="shared" si="1"/>
        <v>#REF!</v>
      </c>
      <c r="B52" s="39"/>
      <c r="C52" s="15"/>
      <c r="D52" s="14" t="s">
        <v>23</v>
      </c>
      <c r="E52" s="16"/>
      <c r="F52" s="119"/>
      <c r="G52" s="163">
        <f t="shared" si="0"/>
        <v>-11.609999999999957</v>
      </c>
      <c r="H52" s="28"/>
      <c r="I52" s="29"/>
      <c r="J52" s="7"/>
    </row>
    <row r="53" spans="1:10" ht="18" customHeight="1" x14ac:dyDescent="0.25">
      <c r="A53" s="14" t="e">
        <f t="shared" si="1"/>
        <v>#REF!</v>
      </c>
      <c r="B53" s="39"/>
      <c r="C53" s="15"/>
      <c r="D53" s="14" t="s">
        <v>19</v>
      </c>
      <c r="E53" s="16"/>
      <c r="F53" s="119"/>
      <c r="G53" s="163">
        <f t="shared" si="0"/>
        <v>-11.609999999999957</v>
      </c>
      <c r="H53" s="28"/>
      <c r="I53" s="29"/>
      <c r="J53" s="7"/>
    </row>
    <row r="54" spans="1:10" ht="18" customHeight="1" x14ac:dyDescent="0.25">
      <c r="A54" s="14" t="e">
        <f t="shared" si="1"/>
        <v>#REF!</v>
      </c>
      <c r="B54" s="39"/>
      <c r="C54" s="15"/>
      <c r="D54" s="14" t="s">
        <v>19</v>
      </c>
      <c r="E54" s="16"/>
      <c r="F54" s="119"/>
      <c r="G54" s="163">
        <f t="shared" si="0"/>
        <v>-11.609999999999957</v>
      </c>
      <c r="H54" s="28"/>
      <c r="I54" s="29"/>
      <c r="J54" s="7"/>
    </row>
    <row r="55" spans="1:10" ht="18" customHeight="1" x14ac:dyDescent="0.25">
      <c r="A55" s="14" t="e">
        <f t="shared" si="1"/>
        <v>#REF!</v>
      </c>
      <c r="B55" s="39"/>
      <c r="C55" s="15"/>
      <c r="D55" s="14" t="s">
        <v>19</v>
      </c>
      <c r="E55" s="16"/>
      <c r="F55" s="119"/>
      <c r="G55" s="163">
        <f t="shared" si="0"/>
        <v>-11.609999999999957</v>
      </c>
      <c r="H55" s="28"/>
      <c r="I55" s="29"/>
      <c r="J55" s="7"/>
    </row>
    <row r="56" spans="1:10" ht="18" customHeight="1" x14ac:dyDescent="0.25">
      <c r="A56" s="14" t="e">
        <f t="shared" si="1"/>
        <v>#REF!</v>
      </c>
      <c r="B56" s="39"/>
      <c r="C56" s="15"/>
      <c r="D56" s="14" t="s">
        <v>19</v>
      </c>
      <c r="E56" s="113"/>
      <c r="F56" s="119"/>
      <c r="G56" s="163">
        <f t="shared" si="0"/>
        <v>-11.609999999999957</v>
      </c>
      <c r="H56" s="28"/>
      <c r="I56" s="29"/>
      <c r="J56" s="7"/>
    </row>
    <row r="57" spans="1:10" ht="18" customHeight="1" x14ac:dyDescent="0.25">
      <c r="A57" s="14" t="e">
        <f t="shared" si="1"/>
        <v>#REF!</v>
      </c>
      <c r="B57" s="39"/>
      <c r="C57" s="15"/>
      <c r="D57" s="14" t="s">
        <v>19</v>
      </c>
      <c r="E57" s="16"/>
      <c r="F57" s="119"/>
      <c r="G57" s="163">
        <f t="shared" si="0"/>
        <v>-11.609999999999957</v>
      </c>
      <c r="H57" s="28"/>
      <c r="I57" s="29"/>
      <c r="J57" s="7"/>
    </row>
    <row r="58" spans="1:10" ht="18" customHeight="1" x14ac:dyDescent="0.25">
      <c r="A58" s="14" t="e">
        <f t="shared" si="1"/>
        <v>#REF!</v>
      </c>
      <c r="B58" s="39"/>
      <c r="C58" s="15"/>
      <c r="D58" s="14" t="s">
        <v>19</v>
      </c>
      <c r="E58" s="16"/>
      <c r="F58" s="119"/>
      <c r="G58" s="163">
        <f t="shared" si="0"/>
        <v>-11.609999999999957</v>
      </c>
      <c r="H58" s="28"/>
      <c r="I58" s="29"/>
      <c r="J58" s="7"/>
    </row>
    <row r="59" spans="1:10" ht="18" customHeight="1" x14ac:dyDescent="0.25">
      <c r="A59" s="14" t="e">
        <f t="shared" si="1"/>
        <v>#REF!</v>
      </c>
      <c r="B59" s="39"/>
      <c r="C59" s="15"/>
      <c r="D59" s="14" t="s">
        <v>19</v>
      </c>
      <c r="E59" s="16"/>
      <c r="F59" s="119"/>
      <c r="G59" s="163">
        <f t="shared" si="0"/>
        <v>-11.609999999999957</v>
      </c>
      <c r="H59" s="28"/>
      <c r="I59" s="29"/>
      <c r="J59" s="7"/>
    </row>
    <row r="60" spans="1:10" ht="18" customHeight="1" x14ac:dyDescent="0.25">
      <c r="A60" s="14" t="e">
        <f t="shared" si="1"/>
        <v>#REF!</v>
      </c>
      <c r="B60" s="39"/>
      <c r="C60" s="15"/>
      <c r="D60" s="14" t="s">
        <v>19</v>
      </c>
      <c r="E60" s="16"/>
      <c r="F60" s="119"/>
      <c r="G60" s="163">
        <f t="shared" si="0"/>
        <v>-11.609999999999957</v>
      </c>
      <c r="H60" s="28"/>
      <c r="I60" s="29"/>
      <c r="J60" s="7"/>
    </row>
    <row r="61" spans="1:10" ht="18" customHeight="1" x14ac:dyDescent="0.25">
      <c r="A61" s="14" t="e">
        <f t="shared" si="1"/>
        <v>#REF!</v>
      </c>
      <c r="B61" s="39"/>
      <c r="C61" s="15"/>
      <c r="D61" s="14" t="s">
        <v>19</v>
      </c>
      <c r="E61" s="16"/>
      <c r="F61" s="119"/>
      <c r="G61" s="163">
        <f t="shared" si="0"/>
        <v>-11.609999999999957</v>
      </c>
      <c r="H61" s="28"/>
      <c r="I61" s="29"/>
      <c r="J61" s="7"/>
    </row>
    <row r="62" spans="1:10" ht="18" customHeight="1" x14ac:dyDescent="0.25">
      <c r="A62" s="14" t="e">
        <f t="shared" si="1"/>
        <v>#REF!</v>
      </c>
      <c r="B62" s="39"/>
      <c r="C62" s="15"/>
      <c r="D62" s="14" t="s">
        <v>19</v>
      </c>
      <c r="E62" s="16"/>
      <c r="F62" s="119"/>
      <c r="G62" s="163">
        <f t="shared" si="0"/>
        <v>-11.609999999999957</v>
      </c>
      <c r="H62" s="28"/>
      <c r="I62" s="29"/>
      <c r="J62" s="7"/>
    </row>
    <row r="63" spans="1:10" ht="18" customHeight="1" x14ac:dyDescent="0.25">
      <c r="A63" s="14" t="e">
        <f t="shared" si="1"/>
        <v>#REF!</v>
      </c>
      <c r="B63" s="39"/>
      <c r="C63" s="15"/>
      <c r="D63" s="14" t="s">
        <v>19</v>
      </c>
      <c r="E63" s="113"/>
      <c r="F63" s="119"/>
      <c r="G63" s="163">
        <f t="shared" si="0"/>
        <v>-11.609999999999957</v>
      </c>
      <c r="H63" s="28"/>
      <c r="I63" s="29"/>
      <c r="J63" s="7"/>
    </row>
    <row r="64" spans="1:10" ht="18" customHeight="1" x14ac:dyDescent="0.25">
      <c r="A64" s="14" t="e">
        <f t="shared" si="1"/>
        <v>#REF!</v>
      </c>
      <c r="B64" s="39"/>
      <c r="C64" s="15"/>
      <c r="D64" s="14" t="s">
        <v>19</v>
      </c>
      <c r="E64" s="16"/>
      <c r="F64" s="119"/>
      <c r="G64" s="163">
        <f t="shared" si="0"/>
        <v>-11.609999999999957</v>
      </c>
      <c r="H64" s="28"/>
      <c r="I64" s="29"/>
      <c r="J64" s="7"/>
    </row>
    <row r="65" spans="1:10" ht="18" customHeight="1" x14ac:dyDescent="0.25">
      <c r="A65" s="14" t="e">
        <f t="shared" si="1"/>
        <v>#REF!</v>
      </c>
      <c r="B65" s="39"/>
      <c r="C65" s="15"/>
      <c r="D65" s="14" t="s">
        <v>19</v>
      </c>
      <c r="E65" s="16"/>
      <c r="F65" s="119"/>
      <c r="G65" s="163">
        <f t="shared" si="0"/>
        <v>-11.609999999999957</v>
      </c>
      <c r="H65" s="28"/>
      <c r="I65" s="29"/>
      <c r="J65" s="7"/>
    </row>
    <row r="66" spans="1:10" ht="18" customHeight="1" x14ac:dyDescent="0.25">
      <c r="A66" s="14" t="e">
        <f t="shared" si="1"/>
        <v>#REF!</v>
      </c>
      <c r="B66" s="39"/>
      <c r="C66" s="15"/>
      <c r="D66" s="14" t="s">
        <v>19</v>
      </c>
      <c r="E66" s="16"/>
      <c r="F66" s="119"/>
      <c r="G66" s="163">
        <f t="shared" si="0"/>
        <v>-11.609999999999957</v>
      </c>
      <c r="H66" s="28"/>
      <c r="I66" s="29"/>
      <c r="J66" s="7"/>
    </row>
    <row r="67" spans="1:10" ht="18" customHeight="1" x14ac:dyDescent="0.25">
      <c r="A67" s="14" t="e">
        <f t="shared" si="1"/>
        <v>#REF!</v>
      </c>
      <c r="B67" s="39"/>
      <c r="C67" s="15"/>
      <c r="D67" s="14" t="s">
        <v>19</v>
      </c>
      <c r="E67" s="113"/>
      <c r="F67" s="119"/>
      <c r="G67" s="163">
        <f t="shared" si="0"/>
        <v>-11.609999999999957</v>
      </c>
      <c r="H67" s="28"/>
      <c r="I67" s="29"/>
      <c r="J67" s="7"/>
    </row>
    <row r="68" spans="1:10" ht="18" customHeight="1" x14ac:dyDescent="0.25">
      <c r="A68" s="14" t="e">
        <f t="shared" si="1"/>
        <v>#REF!</v>
      </c>
      <c r="B68" s="39"/>
      <c r="C68" s="15"/>
      <c r="D68" s="14" t="s">
        <v>19</v>
      </c>
      <c r="E68" s="16"/>
      <c r="F68" s="119"/>
      <c r="G68" s="163">
        <f t="shared" si="0"/>
        <v>-11.609999999999957</v>
      </c>
      <c r="H68" s="28"/>
      <c r="I68" s="29"/>
      <c r="J68" s="7"/>
    </row>
    <row r="69" spans="1:10" ht="18" customHeight="1" x14ac:dyDescent="0.25">
      <c r="A69" s="14" t="e">
        <f t="shared" si="1"/>
        <v>#REF!</v>
      </c>
      <c r="B69" s="39"/>
      <c r="C69" s="15"/>
      <c r="D69" s="14" t="s">
        <v>19</v>
      </c>
      <c r="E69" s="16"/>
      <c r="F69" s="119"/>
      <c r="G69" s="163">
        <f t="shared" si="0"/>
        <v>-11.609999999999957</v>
      </c>
      <c r="H69" s="28"/>
      <c r="I69" s="29"/>
      <c r="J69" s="7"/>
    </row>
    <row r="70" spans="1:10" ht="18" customHeight="1" x14ac:dyDescent="0.25">
      <c r="A70" s="14" t="e">
        <f t="shared" si="1"/>
        <v>#REF!</v>
      </c>
      <c r="B70" s="39"/>
      <c r="C70" s="15"/>
      <c r="D70" s="14" t="s">
        <v>19</v>
      </c>
      <c r="E70" s="16"/>
      <c r="F70" s="119"/>
      <c r="G70" s="163">
        <f t="shared" si="0"/>
        <v>-11.609999999999957</v>
      </c>
      <c r="H70" s="28"/>
      <c r="I70" s="29"/>
      <c r="J70" s="7"/>
    </row>
    <row r="71" spans="1:10" ht="18" customHeight="1" x14ac:dyDescent="0.25">
      <c r="A71" s="14" t="e">
        <f t="shared" si="1"/>
        <v>#REF!</v>
      </c>
      <c r="B71" s="39"/>
      <c r="C71" s="15"/>
      <c r="D71" s="14" t="s">
        <v>19</v>
      </c>
      <c r="E71" s="16"/>
      <c r="F71" s="119"/>
      <c r="G71" s="163">
        <f t="shared" si="0"/>
        <v>-11.609999999999957</v>
      </c>
      <c r="H71" s="28"/>
      <c r="I71" s="29"/>
      <c r="J71" s="7"/>
    </row>
    <row r="72" spans="1:10" ht="18" customHeight="1" x14ac:dyDescent="0.25">
      <c r="A72" s="14" t="e">
        <f t="shared" si="1"/>
        <v>#REF!</v>
      </c>
      <c r="B72" s="39"/>
      <c r="C72" s="15"/>
      <c r="D72" s="14" t="s">
        <v>19</v>
      </c>
      <c r="E72" s="16"/>
      <c r="F72" s="119"/>
      <c r="G72" s="163">
        <f t="shared" si="0"/>
        <v>-11.609999999999957</v>
      </c>
      <c r="H72" s="28"/>
      <c r="I72" s="29"/>
      <c r="J72" s="7"/>
    </row>
    <row r="73" spans="1:10" ht="18" customHeight="1" x14ac:dyDescent="0.25">
      <c r="A73" s="14" t="e">
        <f t="shared" si="1"/>
        <v>#REF!</v>
      </c>
      <c r="B73" s="39"/>
      <c r="C73" s="15"/>
      <c r="D73" s="14" t="s">
        <v>19</v>
      </c>
      <c r="E73" s="16"/>
      <c r="F73" s="119"/>
      <c r="G73" s="163">
        <f t="shared" ref="G73:G112" si="3">+G72+E73-F73</f>
        <v>-11.609999999999957</v>
      </c>
      <c r="H73" s="28"/>
      <c r="I73" s="29"/>
      <c r="J73" s="7"/>
    </row>
    <row r="74" spans="1:10" ht="18" customHeight="1" x14ac:dyDescent="0.25">
      <c r="A74" s="14" t="e">
        <f t="shared" ref="A74:A112" si="4">+A73+1</f>
        <v>#REF!</v>
      </c>
      <c r="B74" s="39"/>
      <c r="C74" s="15"/>
      <c r="D74" s="14" t="s">
        <v>19</v>
      </c>
      <c r="E74" s="16"/>
      <c r="F74" s="119"/>
      <c r="G74" s="163">
        <f t="shared" si="3"/>
        <v>-11.609999999999957</v>
      </c>
      <c r="H74" s="28"/>
      <c r="I74" s="29"/>
      <c r="J74" s="7"/>
    </row>
    <row r="75" spans="1:10" ht="18" customHeight="1" x14ac:dyDescent="0.25">
      <c r="A75" s="14" t="e">
        <f t="shared" si="4"/>
        <v>#REF!</v>
      </c>
      <c r="B75" s="39"/>
      <c r="C75" s="15"/>
      <c r="D75" s="14" t="s">
        <v>19</v>
      </c>
      <c r="E75" s="16"/>
      <c r="F75" s="119"/>
      <c r="G75" s="163">
        <f t="shared" si="3"/>
        <v>-11.609999999999957</v>
      </c>
      <c r="H75" s="28"/>
      <c r="I75" s="29"/>
      <c r="J75" s="7"/>
    </row>
    <row r="76" spans="1:10" ht="18" customHeight="1" x14ac:dyDescent="0.25">
      <c r="A76" s="14" t="e">
        <f t="shared" si="4"/>
        <v>#REF!</v>
      </c>
      <c r="B76" s="39"/>
      <c r="C76" s="15"/>
      <c r="D76" s="14" t="s">
        <v>19</v>
      </c>
      <c r="E76" s="16"/>
      <c r="F76" s="119"/>
      <c r="G76" s="163">
        <f t="shared" si="3"/>
        <v>-11.609999999999957</v>
      </c>
      <c r="H76" s="28"/>
      <c r="I76" s="29"/>
      <c r="J76" s="7"/>
    </row>
    <row r="77" spans="1:10" ht="18" customHeight="1" x14ac:dyDescent="0.25">
      <c r="A77" s="14" t="e">
        <f t="shared" si="4"/>
        <v>#REF!</v>
      </c>
      <c r="B77" s="39"/>
      <c r="C77" s="15"/>
      <c r="D77" s="14" t="s">
        <v>19</v>
      </c>
      <c r="E77" s="16"/>
      <c r="F77" s="119"/>
      <c r="G77" s="163">
        <f t="shared" si="3"/>
        <v>-11.609999999999957</v>
      </c>
      <c r="H77" s="28"/>
      <c r="I77" s="29"/>
      <c r="J77" s="7"/>
    </row>
    <row r="78" spans="1:10" ht="18" customHeight="1" x14ac:dyDescent="0.25">
      <c r="A78" s="14" t="e">
        <f t="shared" si="4"/>
        <v>#REF!</v>
      </c>
      <c r="B78" s="39"/>
      <c r="C78" s="15"/>
      <c r="D78" s="14" t="s">
        <v>19</v>
      </c>
      <c r="E78" s="16"/>
      <c r="F78" s="119"/>
      <c r="G78" s="163">
        <f t="shared" si="3"/>
        <v>-11.609999999999957</v>
      </c>
      <c r="H78" s="28"/>
      <c r="I78" s="29"/>
      <c r="J78" s="7"/>
    </row>
    <row r="79" spans="1:10" ht="18" customHeight="1" x14ac:dyDescent="0.25">
      <c r="A79" s="14" t="e">
        <f t="shared" si="4"/>
        <v>#REF!</v>
      </c>
      <c r="B79" s="39"/>
      <c r="C79" s="15"/>
      <c r="D79" s="14" t="s">
        <v>19</v>
      </c>
      <c r="E79" s="16"/>
      <c r="F79" s="119"/>
      <c r="G79" s="163">
        <f t="shared" si="3"/>
        <v>-11.609999999999957</v>
      </c>
      <c r="H79" s="28"/>
      <c r="I79" s="29"/>
      <c r="J79" s="7"/>
    </row>
    <row r="80" spans="1:10" ht="18" customHeight="1" x14ac:dyDescent="0.25">
      <c r="A80" s="14" t="e">
        <f t="shared" si="4"/>
        <v>#REF!</v>
      </c>
      <c r="B80" s="39"/>
      <c r="C80" s="15"/>
      <c r="D80" s="14" t="s">
        <v>19</v>
      </c>
      <c r="E80" s="16"/>
      <c r="F80" s="119"/>
      <c r="G80" s="163">
        <f t="shared" si="3"/>
        <v>-11.609999999999957</v>
      </c>
      <c r="H80" s="28"/>
      <c r="I80" s="29"/>
      <c r="J80" s="7"/>
    </row>
    <row r="81" spans="1:10" ht="18" customHeight="1" x14ac:dyDescent="0.25">
      <c r="A81" s="14" t="e">
        <f t="shared" si="4"/>
        <v>#REF!</v>
      </c>
      <c r="B81" s="39"/>
      <c r="C81" s="15"/>
      <c r="D81" s="14" t="s">
        <v>19</v>
      </c>
      <c r="E81" s="16"/>
      <c r="F81" s="119"/>
      <c r="G81" s="163">
        <f t="shared" si="3"/>
        <v>-11.609999999999957</v>
      </c>
      <c r="H81" s="28"/>
      <c r="I81" s="29"/>
      <c r="J81" s="7"/>
    </row>
    <row r="82" spans="1:10" ht="18" customHeight="1" x14ac:dyDescent="0.25">
      <c r="A82" s="14" t="e">
        <f t="shared" si="4"/>
        <v>#REF!</v>
      </c>
      <c r="B82" s="39"/>
      <c r="C82" s="15"/>
      <c r="D82" s="14" t="s">
        <v>19</v>
      </c>
      <c r="E82" s="16"/>
      <c r="F82" s="119"/>
      <c r="G82" s="163">
        <f t="shared" si="3"/>
        <v>-11.609999999999957</v>
      </c>
      <c r="H82" s="28"/>
      <c r="I82" s="29"/>
      <c r="J82" s="7"/>
    </row>
    <row r="83" spans="1:10" ht="18" customHeight="1" x14ac:dyDescent="0.25">
      <c r="A83" s="14" t="e">
        <f t="shared" si="4"/>
        <v>#REF!</v>
      </c>
      <c r="B83" s="39"/>
      <c r="C83" s="15"/>
      <c r="D83" s="14" t="s">
        <v>19</v>
      </c>
      <c r="E83" s="16"/>
      <c r="F83" s="119"/>
      <c r="G83" s="163">
        <f t="shared" si="3"/>
        <v>-11.609999999999957</v>
      </c>
      <c r="H83" s="28"/>
      <c r="I83" s="29"/>
      <c r="J83" s="7"/>
    </row>
    <row r="84" spans="1:10" ht="18" customHeight="1" x14ac:dyDescent="0.25">
      <c r="A84" s="14" t="e">
        <f t="shared" si="4"/>
        <v>#REF!</v>
      </c>
      <c r="B84" s="39"/>
      <c r="C84" s="15"/>
      <c r="D84" s="14" t="s">
        <v>19</v>
      </c>
      <c r="E84" s="16"/>
      <c r="F84" s="119"/>
      <c r="G84" s="163">
        <f t="shared" si="3"/>
        <v>-11.609999999999957</v>
      </c>
      <c r="H84" s="28"/>
      <c r="I84" s="29"/>
      <c r="J84" s="7"/>
    </row>
    <row r="85" spans="1:10" ht="18" customHeight="1" x14ac:dyDescent="0.25">
      <c r="A85" s="14" t="e">
        <f t="shared" si="4"/>
        <v>#REF!</v>
      </c>
      <c r="B85" s="39"/>
      <c r="C85" s="15"/>
      <c r="D85" s="14" t="s">
        <v>19</v>
      </c>
      <c r="E85" s="16"/>
      <c r="F85" s="119"/>
      <c r="G85" s="163">
        <f t="shared" si="3"/>
        <v>-11.609999999999957</v>
      </c>
      <c r="H85" s="28"/>
      <c r="I85" s="29"/>
      <c r="J85" s="7"/>
    </row>
    <row r="86" spans="1:10" ht="18" customHeight="1" x14ac:dyDescent="0.25">
      <c r="A86" s="14" t="e">
        <f t="shared" si="4"/>
        <v>#REF!</v>
      </c>
      <c r="B86" s="39"/>
      <c r="C86" s="15"/>
      <c r="D86" s="14" t="s">
        <v>19</v>
      </c>
      <c r="E86" s="16"/>
      <c r="F86" s="119"/>
      <c r="G86" s="163">
        <f t="shared" si="3"/>
        <v>-11.609999999999957</v>
      </c>
      <c r="H86" s="28"/>
      <c r="I86" s="29"/>
      <c r="J86" s="7"/>
    </row>
    <row r="87" spans="1:10" ht="18" customHeight="1" x14ac:dyDescent="0.25">
      <c r="A87" s="14" t="e">
        <f t="shared" si="4"/>
        <v>#REF!</v>
      </c>
      <c r="B87" s="39"/>
      <c r="C87" s="15"/>
      <c r="D87" s="14" t="s">
        <v>19</v>
      </c>
      <c r="E87" s="16"/>
      <c r="F87" s="119"/>
      <c r="G87" s="163">
        <f t="shared" si="3"/>
        <v>-11.609999999999957</v>
      </c>
      <c r="H87" s="28"/>
      <c r="I87" s="29"/>
      <c r="J87" s="7"/>
    </row>
    <row r="88" spans="1:10" ht="18" customHeight="1" x14ac:dyDescent="0.25">
      <c r="A88" s="14" t="e">
        <f t="shared" si="4"/>
        <v>#REF!</v>
      </c>
      <c r="B88" s="39"/>
      <c r="C88" s="15"/>
      <c r="D88" s="14" t="s">
        <v>19</v>
      </c>
      <c r="E88" s="16"/>
      <c r="F88" s="119"/>
      <c r="G88" s="163">
        <f t="shared" si="3"/>
        <v>-11.609999999999957</v>
      </c>
      <c r="H88" s="28"/>
      <c r="I88" s="29"/>
      <c r="J88" s="7"/>
    </row>
    <row r="89" spans="1:10" ht="18" customHeight="1" x14ac:dyDescent="0.25">
      <c r="A89" s="14" t="e">
        <f t="shared" si="4"/>
        <v>#REF!</v>
      </c>
      <c r="B89" s="39"/>
      <c r="C89" s="15"/>
      <c r="D89" s="14" t="s">
        <v>19</v>
      </c>
      <c r="E89" s="16"/>
      <c r="F89" s="119"/>
      <c r="G89" s="163">
        <f t="shared" si="3"/>
        <v>-11.609999999999957</v>
      </c>
      <c r="H89" s="28"/>
      <c r="I89" s="29"/>
      <c r="J89" s="7"/>
    </row>
    <row r="90" spans="1:10" ht="18" customHeight="1" x14ac:dyDescent="0.25">
      <c r="A90" s="14" t="e">
        <f t="shared" si="4"/>
        <v>#REF!</v>
      </c>
      <c r="B90" s="39"/>
      <c r="C90" s="15"/>
      <c r="D90" s="14" t="s">
        <v>19</v>
      </c>
      <c r="E90" s="16"/>
      <c r="F90" s="119"/>
      <c r="G90" s="163">
        <f t="shared" si="3"/>
        <v>-11.609999999999957</v>
      </c>
      <c r="H90" s="28"/>
      <c r="I90" s="29"/>
      <c r="J90" s="7"/>
    </row>
    <row r="91" spans="1:10" ht="18" customHeight="1" x14ac:dyDescent="0.25">
      <c r="A91" s="14" t="e">
        <f t="shared" si="4"/>
        <v>#REF!</v>
      </c>
      <c r="B91" s="39"/>
      <c r="C91" s="15"/>
      <c r="D91" s="14" t="s">
        <v>19</v>
      </c>
      <c r="E91" s="16"/>
      <c r="F91" s="119"/>
      <c r="G91" s="163">
        <f t="shared" si="3"/>
        <v>-11.609999999999957</v>
      </c>
      <c r="H91" s="28"/>
      <c r="I91" s="29"/>
      <c r="J91" s="7"/>
    </row>
    <row r="92" spans="1:10" ht="18" customHeight="1" x14ac:dyDescent="0.25">
      <c r="A92" s="14" t="e">
        <f t="shared" si="4"/>
        <v>#REF!</v>
      </c>
      <c r="B92" s="39"/>
      <c r="C92" s="15"/>
      <c r="D92" s="14" t="s">
        <v>19</v>
      </c>
      <c r="E92" s="16"/>
      <c r="F92" s="119"/>
      <c r="G92" s="163">
        <f t="shared" si="3"/>
        <v>-11.609999999999957</v>
      </c>
      <c r="H92" s="28"/>
      <c r="I92" s="29"/>
      <c r="J92" s="7"/>
    </row>
    <row r="93" spans="1:10" ht="18" customHeight="1" x14ac:dyDescent="0.25">
      <c r="A93" s="14" t="e">
        <f t="shared" si="4"/>
        <v>#REF!</v>
      </c>
      <c r="B93" s="39"/>
      <c r="C93" s="15"/>
      <c r="D93" s="14" t="s">
        <v>19</v>
      </c>
      <c r="E93" s="16"/>
      <c r="F93" s="119"/>
      <c r="G93" s="163">
        <f t="shared" si="3"/>
        <v>-11.609999999999957</v>
      </c>
      <c r="H93" s="28"/>
      <c r="I93" s="29"/>
      <c r="J93" s="7"/>
    </row>
    <row r="94" spans="1:10" ht="18" customHeight="1" x14ac:dyDescent="0.25">
      <c r="A94" s="14" t="e">
        <f t="shared" si="4"/>
        <v>#REF!</v>
      </c>
      <c r="B94" s="39"/>
      <c r="C94" s="15"/>
      <c r="D94" s="14" t="s">
        <v>19</v>
      </c>
      <c r="E94" s="16"/>
      <c r="F94" s="119"/>
      <c r="G94" s="163">
        <f t="shared" si="3"/>
        <v>-11.609999999999957</v>
      </c>
      <c r="H94" s="28"/>
      <c r="I94" s="29"/>
      <c r="J94" s="7"/>
    </row>
    <row r="95" spans="1:10" ht="18" customHeight="1" x14ac:dyDescent="0.25">
      <c r="A95" s="14" t="e">
        <f t="shared" si="4"/>
        <v>#REF!</v>
      </c>
      <c r="B95" s="39"/>
      <c r="C95" s="15"/>
      <c r="D95" s="14" t="s">
        <v>19</v>
      </c>
      <c r="E95" s="16"/>
      <c r="F95" s="119"/>
      <c r="G95" s="163">
        <f t="shared" si="3"/>
        <v>-11.609999999999957</v>
      </c>
      <c r="H95" s="28"/>
      <c r="I95" s="29"/>
      <c r="J95" s="7"/>
    </row>
    <row r="96" spans="1:10" ht="18" customHeight="1" x14ac:dyDescent="0.25">
      <c r="A96" s="14" t="e">
        <f t="shared" si="4"/>
        <v>#REF!</v>
      </c>
      <c r="B96" s="39"/>
      <c r="C96" s="15"/>
      <c r="D96" s="14" t="s">
        <v>19</v>
      </c>
      <c r="E96" s="16"/>
      <c r="F96" s="119"/>
      <c r="G96" s="163">
        <f t="shared" si="3"/>
        <v>-11.609999999999957</v>
      </c>
      <c r="H96" s="28"/>
      <c r="I96" s="29"/>
      <c r="J96" s="7"/>
    </row>
    <row r="97" spans="1:10" ht="18" customHeight="1" x14ac:dyDescent="0.25">
      <c r="A97" s="14" t="e">
        <f t="shared" si="4"/>
        <v>#REF!</v>
      </c>
      <c r="B97" s="39"/>
      <c r="C97" s="15"/>
      <c r="D97" s="14" t="s">
        <v>19</v>
      </c>
      <c r="E97" s="16"/>
      <c r="F97" s="119"/>
      <c r="G97" s="163">
        <f t="shared" si="3"/>
        <v>-11.609999999999957</v>
      </c>
      <c r="H97" s="28"/>
      <c r="I97" s="29"/>
      <c r="J97" s="7"/>
    </row>
    <row r="98" spans="1:10" ht="18" customHeight="1" x14ac:dyDescent="0.25">
      <c r="A98" s="14" t="e">
        <f t="shared" si="4"/>
        <v>#REF!</v>
      </c>
      <c r="B98" s="39"/>
      <c r="C98" s="15"/>
      <c r="D98" s="14" t="s">
        <v>19</v>
      </c>
      <c r="E98" s="16"/>
      <c r="F98" s="119"/>
      <c r="G98" s="163">
        <f t="shared" si="3"/>
        <v>-11.609999999999957</v>
      </c>
      <c r="H98" s="28"/>
      <c r="I98" s="29"/>
      <c r="J98" s="7"/>
    </row>
    <row r="99" spans="1:10" ht="18" customHeight="1" x14ac:dyDescent="0.25">
      <c r="A99" s="14" t="e">
        <f t="shared" si="4"/>
        <v>#REF!</v>
      </c>
      <c r="B99" s="39"/>
      <c r="C99" s="15"/>
      <c r="D99" s="14" t="s">
        <v>19</v>
      </c>
      <c r="E99" s="16"/>
      <c r="F99" s="119"/>
      <c r="G99" s="163">
        <f t="shared" si="3"/>
        <v>-11.609999999999957</v>
      </c>
      <c r="H99" s="28"/>
      <c r="I99" s="29"/>
      <c r="J99" s="7"/>
    </row>
    <row r="100" spans="1:10" ht="18" customHeight="1" x14ac:dyDescent="0.25">
      <c r="A100" s="14" t="e">
        <f t="shared" si="4"/>
        <v>#REF!</v>
      </c>
      <c r="B100" s="39"/>
      <c r="C100" s="15"/>
      <c r="D100" s="14" t="s">
        <v>19</v>
      </c>
      <c r="E100" s="16"/>
      <c r="F100" s="119"/>
      <c r="G100" s="163">
        <f t="shared" si="3"/>
        <v>-11.609999999999957</v>
      </c>
      <c r="H100" s="28"/>
      <c r="I100" s="29"/>
      <c r="J100" s="7"/>
    </row>
    <row r="101" spans="1:10" ht="18" customHeight="1" x14ac:dyDescent="0.25">
      <c r="A101" s="14" t="e">
        <f t="shared" si="4"/>
        <v>#REF!</v>
      </c>
      <c r="B101" s="39"/>
      <c r="C101" s="15"/>
      <c r="D101" s="14" t="s">
        <v>19</v>
      </c>
      <c r="E101" s="16"/>
      <c r="F101" s="119"/>
      <c r="G101" s="163">
        <f t="shared" si="3"/>
        <v>-11.609999999999957</v>
      </c>
      <c r="H101" s="28"/>
      <c r="I101" s="29"/>
      <c r="J101" s="7"/>
    </row>
    <row r="102" spans="1:10" ht="18" customHeight="1" x14ac:dyDescent="0.25">
      <c r="A102" s="14" t="e">
        <f t="shared" si="4"/>
        <v>#REF!</v>
      </c>
      <c r="B102" s="39"/>
      <c r="C102" s="15"/>
      <c r="D102" s="14" t="s">
        <v>19</v>
      </c>
      <c r="E102" s="16"/>
      <c r="F102" s="119"/>
      <c r="G102" s="163">
        <f t="shared" si="3"/>
        <v>-11.609999999999957</v>
      </c>
      <c r="H102" s="28"/>
      <c r="I102" s="29"/>
      <c r="J102" s="7"/>
    </row>
    <row r="103" spans="1:10" ht="18" customHeight="1" x14ac:dyDescent="0.25">
      <c r="A103" s="14" t="e">
        <f t="shared" si="4"/>
        <v>#REF!</v>
      </c>
      <c r="B103" s="39"/>
      <c r="C103" s="15"/>
      <c r="D103" s="14" t="s">
        <v>19</v>
      </c>
      <c r="E103" s="16"/>
      <c r="F103" s="119"/>
      <c r="G103" s="163">
        <f t="shared" si="3"/>
        <v>-11.609999999999957</v>
      </c>
      <c r="H103" s="28"/>
      <c r="I103" s="29"/>
      <c r="J103" s="7"/>
    </row>
    <row r="104" spans="1:10" ht="18" customHeight="1" x14ac:dyDescent="0.25">
      <c r="A104" s="14" t="e">
        <f t="shared" si="4"/>
        <v>#REF!</v>
      </c>
      <c r="B104" s="39"/>
      <c r="C104" s="15"/>
      <c r="D104" s="14" t="s">
        <v>19</v>
      </c>
      <c r="E104" s="16"/>
      <c r="F104" s="119"/>
      <c r="G104" s="163">
        <f t="shared" si="3"/>
        <v>-11.609999999999957</v>
      </c>
      <c r="H104" s="28"/>
      <c r="I104" s="29"/>
      <c r="J104" s="7"/>
    </row>
    <row r="105" spans="1:10" ht="18" customHeight="1" x14ac:dyDescent="0.25">
      <c r="A105" s="14" t="e">
        <f t="shared" si="4"/>
        <v>#REF!</v>
      </c>
      <c r="B105" s="39"/>
      <c r="C105" s="15"/>
      <c r="D105" s="14" t="s">
        <v>19</v>
      </c>
      <c r="E105" s="16"/>
      <c r="F105" s="119"/>
      <c r="G105" s="163">
        <f t="shared" si="3"/>
        <v>-11.609999999999957</v>
      </c>
      <c r="H105" s="28"/>
      <c r="I105" s="29"/>
      <c r="J105" s="7"/>
    </row>
    <row r="106" spans="1:10" ht="18" customHeight="1" x14ac:dyDescent="0.25">
      <c r="A106" s="14" t="e">
        <f t="shared" si="4"/>
        <v>#REF!</v>
      </c>
      <c r="B106" s="39"/>
      <c r="C106" s="15"/>
      <c r="D106" s="14" t="s">
        <v>19</v>
      </c>
      <c r="E106" s="16"/>
      <c r="F106" s="119"/>
      <c r="G106" s="163">
        <f t="shared" si="3"/>
        <v>-11.609999999999957</v>
      </c>
      <c r="H106" s="28"/>
      <c r="I106" s="29"/>
      <c r="J106" s="7"/>
    </row>
    <row r="107" spans="1:10" ht="18" customHeight="1" x14ac:dyDescent="0.25">
      <c r="A107" s="14" t="e">
        <f t="shared" si="4"/>
        <v>#REF!</v>
      </c>
      <c r="B107" s="39"/>
      <c r="C107" s="15"/>
      <c r="D107" s="14"/>
      <c r="E107" s="16"/>
      <c r="F107" s="119"/>
      <c r="G107" s="163">
        <f t="shared" si="3"/>
        <v>-11.609999999999957</v>
      </c>
      <c r="H107" s="28"/>
      <c r="I107" s="29"/>
      <c r="J107" s="7"/>
    </row>
    <row r="108" spans="1:10" ht="18" customHeight="1" x14ac:dyDescent="0.25">
      <c r="A108" s="14" t="e">
        <f t="shared" si="4"/>
        <v>#REF!</v>
      </c>
      <c r="B108" s="39"/>
      <c r="C108" s="15"/>
      <c r="D108" s="14"/>
      <c r="E108" s="16"/>
      <c r="F108" s="119"/>
      <c r="G108" s="163">
        <f t="shared" si="3"/>
        <v>-11.609999999999957</v>
      </c>
      <c r="H108" s="28"/>
      <c r="I108" s="29"/>
      <c r="J108" s="7"/>
    </row>
    <row r="109" spans="1:10" ht="18" customHeight="1" x14ac:dyDescent="0.25">
      <c r="A109" s="14" t="e">
        <f t="shared" si="4"/>
        <v>#REF!</v>
      </c>
      <c r="B109" s="39"/>
      <c r="C109" s="15"/>
      <c r="D109" s="14"/>
      <c r="E109" s="16"/>
      <c r="F109" s="119"/>
      <c r="G109" s="163">
        <f t="shared" si="3"/>
        <v>-11.609999999999957</v>
      </c>
      <c r="H109" s="28"/>
      <c r="I109" s="29"/>
      <c r="J109" s="7"/>
    </row>
    <row r="110" spans="1:10" ht="18" customHeight="1" x14ac:dyDescent="0.25">
      <c r="A110" s="14" t="e">
        <f t="shared" si="4"/>
        <v>#REF!</v>
      </c>
      <c r="B110" s="39"/>
      <c r="C110" s="15"/>
      <c r="D110" s="14"/>
      <c r="E110" s="16"/>
      <c r="F110" s="119"/>
      <c r="G110" s="163">
        <f t="shared" si="3"/>
        <v>-11.609999999999957</v>
      </c>
      <c r="H110" s="28"/>
      <c r="I110" s="29"/>
      <c r="J110" s="7"/>
    </row>
    <row r="111" spans="1:10" ht="18" customHeight="1" x14ac:dyDescent="0.25">
      <c r="A111" s="14" t="e">
        <f t="shared" si="4"/>
        <v>#REF!</v>
      </c>
      <c r="B111" s="39"/>
      <c r="C111" s="15"/>
      <c r="D111" s="14"/>
      <c r="E111" s="16"/>
      <c r="F111" s="119"/>
      <c r="G111" s="163">
        <f t="shared" si="3"/>
        <v>-11.609999999999957</v>
      </c>
      <c r="H111" s="28"/>
      <c r="I111" s="29"/>
      <c r="J111" s="7"/>
    </row>
    <row r="112" spans="1:10" ht="18" customHeight="1" x14ac:dyDescent="0.25">
      <c r="A112" s="14" t="e">
        <f t="shared" si="4"/>
        <v>#REF!</v>
      </c>
      <c r="B112" s="39"/>
      <c r="C112" s="15"/>
      <c r="D112" s="133"/>
      <c r="E112" s="16"/>
      <c r="F112" s="119"/>
      <c r="G112" s="163">
        <f t="shared" si="3"/>
        <v>-11.609999999999957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781.74</v>
      </c>
      <c r="F113" s="165">
        <f>SUM(F9:F112)</f>
        <v>940.45000000000016</v>
      </c>
      <c r="G113" s="35">
        <f>+E113-F113+G8</f>
        <v>-11.610000000000156</v>
      </c>
      <c r="H113" s="35"/>
      <c r="I113" s="36"/>
      <c r="J113" s="7"/>
    </row>
    <row r="114" spans="1:10" x14ac:dyDescent="0.25">
      <c r="F114" s="149">
        <f>+F113-382.38</f>
        <v>558.07000000000016</v>
      </c>
    </row>
  </sheetData>
  <mergeCells count="1">
    <mergeCell ref="A4:I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434A-8542-4195-9B82-6DEBA725A2E3}">
  <sheetPr codeName="Sheet39"/>
  <dimension ref="A1:O116"/>
  <sheetViews>
    <sheetView topLeftCell="A26" workbookViewId="0">
      <selection activeCell="L48" sqref="L48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/>
      <c r="H8" s="7"/>
      <c r="I8" s="7"/>
      <c r="J8" s="7"/>
    </row>
    <row r="9" spans="1:12" ht="18" customHeight="1" x14ac:dyDescent="0.25">
      <c r="A9" s="14">
        <v>1</v>
      </c>
      <c r="B9" s="39">
        <v>45794</v>
      </c>
      <c r="C9" s="15" t="s">
        <v>391</v>
      </c>
      <c r="D9" s="14" t="s">
        <v>23</v>
      </c>
      <c r="E9" s="51">
        <v>386</v>
      </c>
      <c r="F9" s="119"/>
      <c r="G9" s="163">
        <f t="shared" ref="G9:G74" si="0">+G8+E9-F9</f>
        <v>386</v>
      </c>
      <c r="H9" s="28"/>
      <c r="I9" s="29"/>
      <c r="J9" s="7">
        <v>10</v>
      </c>
      <c r="K9" s="349">
        <f>E9/J9</f>
        <v>38.6</v>
      </c>
      <c r="L9" s="162" t="s">
        <v>183</v>
      </c>
    </row>
    <row r="10" spans="1:12" ht="18" customHeight="1" x14ac:dyDescent="0.25">
      <c r="A10" s="14">
        <f t="shared" ref="A10:A75" si="1">+A9+1</f>
        <v>2</v>
      </c>
      <c r="B10" s="39">
        <v>45796</v>
      </c>
      <c r="C10" s="15" t="s">
        <v>391</v>
      </c>
      <c r="D10" s="14" t="s">
        <v>23</v>
      </c>
      <c r="E10" s="16"/>
      <c r="F10" s="152">
        <v>30.88</v>
      </c>
      <c r="G10" s="163">
        <f t="shared" si="0"/>
        <v>355.12</v>
      </c>
      <c r="H10" s="28" t="s">
        <v>129</v>
      </c>
      <c r="I10" s="29" t="s">
        <v>90</v>
      </c>
      <c r="J10" s="7"/>
    </row>
    <row r="11" spans="1:12" ht="18" customHeight="1" x14ac:dyDescent="0.25">
      <c r="A11" s="14">
        <f t="shared" si="1"/>
        <v>3</v>
      </c>
      <c r="B11" s="39">
        <v>45797</v>
      </c>
      <c r="C11" s="15"/>
      <c r="D11" s="14" t="s">
        <v>23</v>
      </c>
      <c r="E11" s="143"/>
      <c r="F11" s="152">
        <v>15.44</v>
      </c>
      <c r="G11" s="163">
        <f t="shared" si="0"/>
        <v>339.68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>
        <v>45798</v>
      </c>
      <c r="C12" s="15"/>
      <c r="D12" s="14" t="s">
        <v>23</v>
      </c>
      <c r="E12" s="319"/>
      <c r="F12" s="152">
        <v>15.44</v>
      </c>
      <c r="G12" s="163">
        <f t="shared" si="0"/>
        <v>324.24</v>
      </c>
      <c r="H12" s="28" t="s">
        <v>129</v>
      </c>
      <c r="I12" s="29"/>
      <c r="J12" s="7"/>
    </row>
    <row r="13" spans="1:12" ht="18" customHeight="1" x14ac:dyDescent="0.25">
      <c r="A13" s="14">
        <f t="shared" si="1"/>
        <v>5</v>
      </c>
      <c r="B13" s="39">
        <v>45801</v>
      </c>
      <c r="C13" s="15"/>
      <c r="D13" s="14" t="s">
        <v>23</v>
      </c>
      <c r="E13" s="135"/>
      <c r="F13" s="153">
        <v>15.44</v>
      </c>
      <c r="G13" s="163">
        <f t="shared" si="0"/>
        <v>308.8</v>
      </c>
      <c r="H13" s="28" t="s">
        <v>91</v>
      </c>
      <c r="I13" s="29"/>
      <c r="J13" s="7"/>
    </row>
    <row r="14" spans="1:12" ht="18" customHeight="1" x14ac:dyDescent="0.25">
      <c r="A14" s="14">
        <f>+A13+1</f>
        <v>6</v>
      </c>
      <c r="B14" s="39">
        <v>45803</v>
      </c>
      <c r="C14" s="15"/>
      <c r="D14" s="14" t="s">
        <v>23</v>
      </c>
      <c r="E14" s="145"/>
      <c r="F14" s="153">
        <v>15.44</v>
      </c>
      <c r="G14" s="163">
        <f>+G13+E14-F14</f>
        <v>293.36</v>
      </c>
      <c r="H14" s="28" t="s">
        <v>91</v>
      </c>
      <c r="I14" s="29"/>
      <c r="J14" s="7"/>
    </row>
    <row r="15" spans="1:12" ht="18" customHeight="1" x14ac:dyDescent="0.25">
      <c r="A15" s="14"/>
      <c r="B15" s="159">
        <v>45804</v>
      </c>
      <c r="C15" s="401"/>
      <c r="D15" s="158" t="s">
        <v>23</v>
      </c>
      <c r="E15" s="410"/>
      <c r="F15" s="411">
        <v>15.44</v>
      </c>
      <c r="G15" s="403">
        <f t="shared" ref="G15:G18" si="2">+G14+E15-F15</f>
        <v>277.92</v>
      </c>
      <c r="H15" s="239" t="s">
        <v>91</v>
      </c>
      <c r="I15" s="271" t="s">
        <v>381</v>
      </c>
      <c r="J15" s="271"/>
    </row>
    <row r="16" spans="1:12" ht="18" customHeight="1" x14ac:dyDescent="0.25">
      <c r="A16" s="14">
        <f>+A14+1</f>
        <v>7</v>
      </c>
      <c r="B16" s="39">
        <v>45805</v>
      </c>
      <c r="C16" s="15"/>
      <c r="D16" s="14" t="s">
        <v>23</v>
      </c>
      <c r="E16" s="154"/>
      <c r="F16" s="153">
        <v>15.44</v>
      </c>
      <c r="G16" s="163">
        <f t="shared" si="2"/>
        <v>262.48</v>
      </c>
      <c r="H16" s="28" t="s">
        <v>91</v>
      </c>
      <c r="I16" s="29" t="s">
        <v>264</v>
      </c>
      <c r="J16" s="140"/>
    </row>
    <row r="17" spans="1:15" ht="18" customHeight="1" x14ac:dyDescent="0.25">
      <c r="A17" s="14">
        <f t="shared" si="1"/>
        <v>8</v>
      </c>
      <c r="B17" s="159">
        <v>45810</v>
      </c>
      <c r="C17" s="401"/>
      <c r="D17" s="158" t="s">
        <v>23</v>
      </c>
      <c r="E17" s="412"/>
      <c r="F17" s="155">
        <v>15.44</v>
      </c>
      <c r="G17" s="403">
        <f t="shared" si="2"/>
        <v>247.04000000000002</v>
      </c>
      <c r="H17" s="239" t="s">
        <v>91</v>
      </c>
      <c r="I17" s="401"/>
      <c r="J17" s="271" t="s">
        <v>383</v>
      </c>
      <c r="M17">
        <f>83.26/14.71</f>
        <v>5.6600951733514613</v>
      </c>
    </row>
    <row r="18" spans="1:15" s="179" customFormat="1" ht="18" customHeight="1" x14ac:dyDescent="0.25">
      <c r="A18" s="241">
        <f t="shared" si="1"/>
        <v>9</v>
      </c>
      <c r="B18" s="405">
        <v>45811</v>
      </c>
      <c r="C18" s="341"/>
      <c r="D18" s="241" t="s">
        <v>23</v>
      </c>
      <c r="E18" s="406"/>
      <c r="F18" s="407">
        <v>15.44</v>
      </c>
      <c r="G18" s="408">
        <f t="shared" si="2"/>
        <v>231.60000000000002</v>
      </c>
      <c r="H18" s="240" t="s">
        <v>91</v>
      </c>
      <c r="I18" s="341"/>
      <c r="J18" s="247"/>
    </row>
    <row r="19" spans="1:15" ht="18" customHeight="1" x14ac:dyDescent="0.25">
      <c r="A19" s="14">
        <f t="shared" si="1"/>
        <v>10</v>
      </c>
      <c r="B19" s="39">
        <v>45813</v>
      </c>
      <c r="C19" s="15"/>
      <c r="D19" s="14" t="s">
        <v>23</v>
      </c>
      <c r="E19" s="16"/>
      <c r="F19" s="152">
        <v>15.44</v>
      </c>
      <c r="G19" s="163">
        <f t="shared" si="0"/>
        <v>216.16000000000003</v>
      </c>
      <c r="H19" s="28" t="s">
        <v>91</v>
      </c>
      <c r="I19" s="29"/>
      <c r="J19" s="7"/>
    </row>
    <row r="20" spans="1:15" ht="18" customHeight="1" x14ac:dyDescent="0.25">
      <c r="A20" s="14">
        <f t="shared" si="1"/>
        <v>11</v>
      </c>
      <c r="B20" s="39">
        <v>45815</v>
      </c>
      <c r="C20" s="15"/>
      <c r="D20" s="14" t="s">
        <v>23</v>
      </c>
      <c r="E20" s="16"/>
      <c r="F20" s="152">
        <v>15.44</v>
      </c>
      <c r="G20" s="163">
        <f t="shared" si="0"/>
        <v>200.72000000000003</v>
      </c>
      <c r="H20" s="28" t="s">
        <v>91</v>
      </c>
      <c r="I20" s="29"/>
      <c r="J20" s="7"/>
      <c r="M20" s="409">
        <f>29.42-8.7</f>
        <v>20.720000000000002</v>
      </c>
    </row>
    <row r="21" spans="1:15" ht="18" customHeight="1" x14ac:dyDescent="0.25">
      <c r="A21" s="14">
        <f t="shared" si="1"/>
        <v>12</v>
      </c>
      <c r="B21" s="39">
        <v>45817</v>
      </c>
      <c r="C21" s="15"/>
      <c r="D21" s="14" t="s">
        <v>23</v>
      </c>
      <c r="E21" s="132"/>
      <c r="F21" s="152">
        <v>15.44</v>
      </c>
      <c r="G21" s="163">
        <f t="shared" si="0"/>
        <v>185.28000000000003</v>
      </c>
      <c r="H21" s="28" t="s">
        <v>129</v>
      </c>
      <c r="I21" s="29"/>
      <c r="J21" s="7"/>
      <c r="K21">
        <v>153</v>
      </c>
    </row>
    <row r="22" spans="1:15" ht="18" customHeight="1" x14ac:dyDescent="0.25">
      <c r="A22" s="14">
        <f t="shared" si="1"/>
        <v>13</v>
      </c>
      <c r="B22" s="42">
        <v>45819</v>
      </c>
      <c r="C22" s="15"/>
      <c r="D22" s="14" t="s">
        <v>23</v>
      </c>
      <c r="E22" s="132"/>
      <c r="F22" s="152">
        <v>15.44</v>
      </c>
      <c r="G22" s="163">
        <f t="shared" si="0"/>
        <v>169.84000000000003</v>
      </c>
      <c r="H22" s="28" t="s">
        <v>91</v>
      </c>
      <c r="I22" s="29"/>
      <c r="J22" s="7"/>
    </row>
    <row r="23" spans="1:15" ht="18" customHeight="1" x14ac:dyDescent="0.25">
      <c r="A23" s="14">
        <f t="shared" si="1"/>
        <v>14</v>
      </c>
      <c r="B23" s="39">
        <v>45820</v>
      </c>
      <c r="C23" s="15"/>
      <c r="D23" s="14" t="s">
        <v>23</v>
      </c>
      <c r="E23" s="132"/>
      <c r="F23" s="152">
        <v>15.44</v>
      </c>
      <c r="G23" s="163">
        <f t="shared" si="0"/>
        <v>154.40000000000003</v>
      </c>
      <c r="H23" s="28" t="s">
        <v>91</v>
      </c>
      <c r="I23" s="29"/>
      <c r="J23" s="7"/>
    </row>
    <row r="24" spans="1:15" ht="18" customHeight="1" x14ac:dyDescent="0.25">
      <c r="A24" s="14">
        <f t="shared" si="1"/>
        <v>15</v>
      </c>
      <c r="B24" s="39">
        <v>45821</v>
      </c>
      <c r="C24" s="15"/>
      <c r="D24" s="14" t="s">
        <v>23</v>
      </c>
      <c r="E24" s="132"/>
      <c r="F24" s="152">
        <v>15.44</v>
      </c>
      <c r="G24" s="163">
        <f t="shared" si="0"/>
        <v>138.96000000000004</v>
      </c>
      <c r="H24" s="28" t="s">
        <v>91</v>
      </c>
      <c r="I24" s="29"/>
      <c r="J24" s="7"/>
    </row>
    <row r="25" spans="1:15" ht="18" customHeight="1" x14ac:dyDescent="0.25">
      <c r="A25" s="14">
        <f t="shared" si="1"/>
        <v>16</v>
      </c>
      <c r="B25" s="39">
        <v>45825</v>
      </c>
      <c r="C25" s="15"/>
      <c r="D25" s="14"/>
      <c r="E25" s="132"/>
      <c r="F25" s="152">
        <v>15.44</v>
      </c>
      <c r="G25" s="163">
        <f t="shared" si="0"/>
        <v>123.52000000000004</v>
      </c>
      <c r="H25" s="28" t="s">
        <v>91</v>
      </c>
      <c r="I25" s="29"/>
      <c r="J25" s="7"/>
    </row>
    <row r="26" spans="1:15" ht="18" customHeight="1" x14ac:dyDescent="0.25">
      <c r="A26" s="14">
        <f t="shared" si="1"/>
        <v>17</v>
      </c>
      <c r="B26" s="39">
        <v>45834</v>
      </c>
      <c r="C26" s="15"/>
      <c r="D26" s="14" t="s">
        <v>23</v>
      </c>
      <c r="E26" s="132"/>
      <c r="F26" s="155">
        <v>15.44</v>
      </c>
      <c r="G26" s="163">
        <f t="shared" si="0"/>
        <v>108.08000000000004</v>
      </c>
      <c r="H26" s="28" t="s">
        <v>91</v>
      </c>
      <c r="I26" s="29"/>
      <c r="J26" s="7"/>
      <c r="M26">
        <f>1660*87.5</f>
        <v>145250</v>
      </c>
    </row>
    <row r="27" spans="1:15" ht="18" customHeight="1" x14ac:dyDescent="0.25">
      <c r="A27" s="14">
        <f t="shared" si="1"/>
        <v>18</v>
      </c>
      <c r="B27" s="39">
        <v>45835</v>
      </c>
      <c r="C27" s="15"/>
      <c r="D27" s="14" t="s">
        <v>23</v>
      </c>
      <c r="E27" s="132"/>
      <c r="F27" s="368">
        <v>15.44</v>
      </c>
      <c r="G27" s="163">
        <f t="shared" si="0"/>
        <v>92.640000000000043</v>
      </c>
      <c r="H27" s="28" t="s">
        <v>91</v>
      </c>
      <c r="I27" s="29"/>
      <c r="J27" s="7"/>
      <c r="M27">
        <f>+M26/2900</f>
        <v>50.086206896551722</v>
      </c>
    </row>
    <row r="28" spans="1:15" ht="18" customHeight="1" x14ac:dyDescent="0.25">
      <c r="A28" s="14">
        <f t="shared" si="1"/>
        <v>19</v>
      </c>
      <c r="B28" s="39">
        <v>45838</v>
      </c>
      <c r="C28" s="15" t="s">
        <v>411</v>
      </c>
      <c r="D28" s="14" t="s">
        <v>23</v>
      </c>
      <c r="E28" s="16">
        <v>15.44</v>
      </c>
      <c r="F28" s="152"/>
      <c r="G28" s="163">
        <f t="shared" si="0"/>
        <v>108.08000000000004</v>
      </c>
      <c r="H28" s="28" t="s">
        <v>91</v>
      </c>
      <c r="I28" s="29"/>
      <c r="J28" s="7"/>
    </row>
    <row r="29" spans="1:15" ht="18" customHeight="1" x14ac:dyDescent="0.25">
      <c r="A29" s="14">
        <f t="shared" si="1"/>
        <v>20</v>
      </c>
      <c r="B29" s="159">
        <v>45839</v>
      </c>
      <c r="C29" s="401" t="s">
        <v>412</v>
      </c>
      <c r="D29" s="158" t="s">
        <v>23</v>
      </c>
      <c r="E29" s="402"/>
      <c r="F29" s="155">
        <v>15.44</v>
      </c>
      <c r="G29" s="163">
        <f t="shared" si="0"/>
        <v>92.640000000000043</v>
      </c>
      <c r="H29" s="239" t="s">
        <v>91</v>
      </c>
      <c r="I29" s="401"/>
      <c r="J29" s="271" t="s">
        <v>381</v>
      </c>
    </row>
    <row r="30" spans="1:15" ht="18" customHeight="1" x14ac:dyDescent="0.25">
      <c r="A30" s="14">
        <f t="shared" si="1"/>
        <v>21</v>
      </c>
      <c r="B30" s="39">
        <v>45846</v>
      </c>
      <c r="C30" s="15"/>
      <c r="D30" s="14" t="s">
        <v>23</v>
      </c>
      <c r="E30" s="132"/>
      <c r="F30" s="152">
        <v>15.44</v>
      </c>
      <c r="G30" s="163">
        <f t="shared" si="0"/>
        <v>77.200000000000045</v>
      </c>
      <c r="H30" s="28" t="s">
        <v>91</v>
      </c>
      <c r="I30" s="29"/>
      <c r="J30" s="7"/>
      <c r="M30">
        <f>4*15.44</f>
        <v>61.76</v>
      </c>
      <c r="O30">
        <f>16.4-1.4</f>
        <v>14.999999999999998</v>
      </c>
    </row>
    <row r="31" spans="1:15" ht="18" customHeight="1" x14ac:dyDescent="0.25">
      <c r="A31" s="14">
        <f t="shared" si="1"/>
        <v>22</v>
      </c>
      <c r="B31" s="39">
        <v>45859</v>
      </c>
      <c r="C31" s="15"/>
      <c r="D31" s="14" t="s">
        <v>23</v>
      </c>
      <c r="E31" s="16"/>
      <c r="F31" s="119">
        <v>15.44</v>
      </c>
      <c r="G31" s="163">
        <f t="shared" si="0"/>
        <v>61.760000000000048</v>
      </c>
      <c r="H31" s="28" t="s">
        <v>91</v>
      </c>
      <c r="I31" s="29"/>
      <c r="J31" s="7"/>
    </row>
    <row r="32" spans="1:15" ht="18" customHeight="1" x14ac:dyDescent="0.25">
      <c r="A32" s="14">
        <f t="shared" si="1"/>
        <v>23</v>
      </c>
      <c r="B32" s="39">
        <v>45860</v>
      </c>
      <c r="C32" s="15"/>
      <c r="D32" s="14" t="s">
        <v>23</v>
      </c>
      <c r="E32" s="132"/>
      <c r="F32" s="119">
        <v>15.44</v>
      </c>
      <c r="G32" s="163">
        <f t="shared" si="0"/>
        <v>46.32000000000005</v>
      </c>
      <c r="H32" s="28" t="s">
        <v>91</v>
      </c>
      <c r="I32" s="29"/>
      <c r="J32" s="7"/>
    </row>
    <row r="33" spans="1:15" ht="18" customHeight="1" x14ac:dyDescent="0.25">
      <c r="A33" s="14">
        <f t="shared" si="1"/>
        <v>24</v>
      </c>
      <c r="B33" s="39">
        <v>45870</v>
      </c>
      <c r="C33" s="15"/>
      <c r="D33" s="14" t="s">
        <v>23</v>
      </c>
      <c r="E33" s="132"/>
      <c r="F33" s="119">
        <v>15.44</v>
      </c>
      <c r="G33" s="163">
        <f t="shared" si="0"/>
        <v>30.880000000000052</v>
      </c>
      <c r="H33" s="28" t="s">
        <v>91</v>
      </c>
      <c r="I33" s="29"/>
      <c r="J33" s="7"/>
    </row>
    <row r="34" spans="1:15" ht="18" customHeight="1" x14ac:dyDescent="0.25">
      <c r="A34" s="14"/>
      <c r="B34" s="39">
        <v>45877</v>
      </c>
      <c r="C34" s="15"/>
      <c r="D34" s="14"/>
      <c r="E34" s="132">
        <v>247.44</v>
      </c>
      <c r="F34" s="119"/>
      <c r="G34" s="163">
        <f t="shared" si="0"/>
        <v>278.32000000000005</v>
      </c>
      <c r="H34" s="28"/>
      <c r="I34" s="29"/>
      <c r="J34" s="7" t="s">
        <v>436</v>
      </c>
    </row>
    <row r="35" spans="1:15" ht="18" customHeight="1" x14ac:dyDescent="0.25">
      <c r="A35" s="14">
        <f>+A33+1</f>
        <v>25</v>
      </c>
      <c r="B35" s="39">
        <v>45881</v>
      </c>
      <c r="C35" s="15"/>
      <c r="D35" s="14" t="s">
        <v>23</v>
      </c>
      <c r="E35" s="16"/>
      <c r="F35" s="119">
        <v>15.55</v>
      </c>
      <c r="G35" s="163">
        <f t="shared" si="0"/>
        <v>262.77000000000004</v>
      </c>
      <c r="H35" s="28" t="s">
        <v>91</v>
      </c>
      <c r="I35" s="29"/>
      <c r="J35" s="7"/>
    </row>
    <row r="36" spans="1:15" ht="18" customHeight="1" x14ac:dyDescent="0.25">
      <c r="A36" s="14">
        <f t="shared" si="1"/>
        <v>26</v>
      </c>
      <c r="B36" s="39">
        <v>45890</v>
      </c>
      <c r="C36" s="15"/>
      <c r="D36" s="14" t="s">
        <v>23</v>
      </c>
      <c r="E36" s="16"/>
      <c r="F36" s="119">
        <v>15.44</v>
      </c>
      <c r="G36" s="163">
        <f t="shared" si="0"/>
        <v>247.33000000000004</v>
      </c>
      <c r="H36" s="28" t="s">
        <v>91</v>
      </c>
      <c r="I36" s="29"/>
      <c r="J36" s="7"/>
    </row>
    <row r="37" spans="1:15" ht="18" customHeight="1" x14ac:dyDescent="0.25">
      <c r="A37" s="14">
        <f t="shared" si="1"/>
        <v>27</v>
      </c>
      <c r="B37" s="39">
        <v>45891</v>
      </c>
      <c r="C37" s="15"/>
      <c r="D37" s="14" t="s">
        <v>23</v>
      </c>
      <c r="E37" s="132"/>
      <c r="F37" s="119">
        <v>15.44</v>
      </c>
      <c r="G37" s="163">
        <f t="shared" si="0"/>
        <v>231.89000000000004</v>
      </c>
      <c r="H37" s="28" t="s">
        <v>91</v>
      </c>
      <c r="I37" s="29"/>
      <c r="J37" s="7">
        <v>33</v>
      </c>
    </row>
    <row r="38" spans="1:15" ht="18" customHeight="1" x14ac:dyDescent="0.25">
      <c r="A38" s="14">
        <f t="shared" si="1"/>
        <v>28</v>
      </c>
      <c r="B38" s="39">
        <v>45895</v>
      </c>
      <c r="C38" s="15"/>
      <c r="D38" s="14" t="s">
        <v>23</v>
      </c>
      <c r="E38" s="16"/>
      <c r="F38" s="119">
        <v>15.44</v>
      </c>
      <c r="G38" s="163">
        <f t="shared" si="0"/>
        <v>216.45000000000005</v>
      </c>
      <c r="H38" s="28" t="s">
        <v>91</v>
      </c>
      <c r="I38" s="29"/>
      <c r="J38" s="7"/>
    </row>
    <row r="39" spans="1:15" ht="18" customHeight="1" x14ac:dyDescent="0.25">
      <c r="A39" s="14">
        <f t="shared" si="1"/>
        <v>29</v>
      </c>
      <c r="B39" s="39">
        <v>45896</v>
      </c>
      <c r="C39" s="15"/>
      <c r="D39" s="14" t="s">
        <v>23</v>
      </c>
      <c r="E39" s="16"/>
      <c r="F39" s="119">
        <v>15.44</v>
      </c>
      <c r="G39" s="163">
        <f t="shared" si="0"/>
        <v>201.01000000000005</v>
      </c>
      <c r="H39" s="28"/>
      <c r="I39" s="29"/>
      <c r="J39" s="7"/>
    </row>
    <row r="40" spans="1:15" ht="18" customHeight="1" x14ac:dyDescent="0.25">
      <c r="A40" s="14">
        <f t="shared" si="1"/>
        <v>30</v>
      </c>
      <c r="B40" s="39">
        <v>45897</v>
      </c>
      <c r="C40" s="15"/>
      <c r="D40" s="14" t="s">
        <v>23</v>
      </c>
      <c r="E40" s="16"/>
      <c r="F40" s="119">
        <v>15.44</v>
      </c>
      <c r="G40" s="163">
        <f t="shared" si="0"/>
        <v>185.57000000000005</v>
      </c>
      <c r="H40" s="28"/>
      <c r="I40" s="29"/>
      <c r="J40" s="7"/>
      <c r="O40">
        <f>4*20+25+13</f>
        <v>118</v>
      </c>
    </row>
    <row r="41" spans="1:15" ht="18" customHeight="1" x14ac:dyDescent="0.25">
      <c r="A41" s="14">
        <f t="shared" si="1"/>
        <v>31</v>
      </c>
      <c r="B41" s="39">
        <v>45903</v>
      </c>
      <c r="C41" s="15"/>
      <c r="D41" s="14" t="s">
        <v>23</v>
      </c>
      <c r="E41" s="132"/>
      <c r="F41" s="119">
        <v>15.44</v>
      </c>
      <c r="G41" s="163">
        <f t="shared" si="0"/>
        <v>170.13000000000005</v>
      </c>
      <c r="H41" s="28"/>
      <c r="I41" s="29"/>
      <c r="J41" s="7"/>
      <c r="O41">
        <f>26+17</f>
        <v>43</v>
      </c>
    </row>
    <row r="42" spans="1:15" ht="18" customHeight="1" x14ac:dyDescent="0.25">
      <c r="A42" s="14">
        <f t="shared" si="1"/>
        <v>32</v>
      </c>
      <c r="B42" s="39">
        <v>45911</v>
      </c>
      <c r="C42" s="15"/>
      <c r="D42" s="14" t="s">
        <v>23</v>
      </c>
      <c r="E42" s="16"/>
      <c r="F42" s="119">
        <v>15.44</v>
      </c>
      <c r="G42" s="163">
        <f t="shared" si="0"/>
        <v>154.69000000000005</v>
      </c>
      <c r="H42" s="28"/>
      <c r="I42" s="29"/>
      <c r="J42" s="7"/>
    </row>
    <row r="43" spans="1:15" ht="18" customHeight="1" x14ac:dyDescent="0.25">
      <c r="A43" s="14">
        <f t="shared" si="1"/>
        <v>33</v>
      </c>
      <c r="B43" s="39">
        <v>45926</v>
      </c>
      <c r="C43" s="15"/>
      <c r="D43" s="14" t="s">
        <v>23</v>
      </c>
      <c r="E43" s="16"/>
      <c r="F43" s="119">
        <v>15.44</v>
      </c>
      <c r="G43" s="163">
        <f t="shared" si="0"/>
        <v>139.25000000000006</v>
      </c>
      <c r="H43" s="28"/>
      <c r="I43" s="29"/>
      <c r="J43" s="7"/>
    </row>
    <row r="44" spans="1:15" ht="18" customHeight="1" x14ac:dyDescent="0.25">
      <c r="A44" s="14">
        <f t="shared" si="1"/>
        <v>34</v>
      </c>
      <c r="B44" s="39"/>
      <c r="C44" s="15"/>
      <c r="D44" s="14" t="s">
        <v>23</v>
      </c>
      <c r="E44" s="16"/>
      <c r="F44" s="119"/>
      <c r="G44" s="163">
        <f t="shared" si="0"/>
        <v>139.25000000000006</v>
      </c>
      <c r="H44" s="28"/>
      <c r="I44" s="29"/>
      <c r="J44" s="7"/>
    </row>
    <row r="45" spans="1:15" ht="18" customHeight="1" x14ac:dyDescent="0.25">
      <c r="A45" s="14">
        <f t="shared" si="1"/>
        <v>35</v>
      </c>
      <c r="B45" s="39"/>
      <c r="C45" s="15"/>
      <c r="D45" s="14" t="s">
        <v>23</v>
      </c>
      <c r="E45" s="156"/>
      <c r="F45" s="157"/>
      <c r="G45" s="163">
        <f t="shared" si="0"/>
        <v>139.25000000000006</v>
      </c>
      <c r="H45" s="28"/>
      <c r="I45" s="29"/>
      <c r="J45" s="7"/>
    </row>
    <row r="46" spans="1:15" ht="18" customHeight="1" x14ac:dyDescent="0.25">
      <c r="A46" s="14">
        <f t="shared" si="1"/>
        <v>36</v>
      </c>
      <c r="B46" s="39"/>
      <c r="C46" s="15"/>
      <c r="D46" s="14" t="s">
        <v>23</v>
      </c>
      <c r="E46" s="16"/>
      <c r="F46" s="119"/>
      <c r="G46" s="163">
        <f t="shared" si="0"/>
        <v>139.25000000000006</v>
      </c>
      <c r="H46" s="28"/>
      <c r="I46" s="29"/>
      <c r="J46" s="7"/>
    </row>
    <row r="47" spans="1:15" ht="18" customHeight="1" x14ac:dyDescent="0.25">
      <c r="A47" s="14">
        <f t="shared" si="1"/>
        <v>37</v>
      </c>
      <c r="B47" s="39"/>
      <c r="C47" s="15"/>
      <c r="D47" s="14" t="s">
        <v>23</v>
      </c>
      <c r="E47" s="16"/>
      <c r="F47" s="119"/>
      <c r="G47" s="163">
        <f t="shared" si="0"/>
        <v>139.25000000000006</v>
      </c>
      <c r="H47" s="28"/>
      <c r="I47" s="29"/>
      <c r="J47" s="7"/>
    </row>
    <row r="48" spans="1:15" ht="18" customHeight="1" x14ac:dyDescent="0.25">
      <c r="A48" s="14">
        <f t="shared" si="1"/>
        <v>38</v>
      </c>
      <c r="B48" s="39"/>
      <c r="C48" s="15"/>
      <c r="D48" s="14" t="s">
        <v>23</v>
      </c>
      <c r="E48" s="132"/>
      <c r="F48" s="119"/>
      <c r="G48" s="163">
        <f t="shared" si="0"/>
        <v>139.25000000000006</v>
      </c>
      <c r="H48" s="28"/>
      <c r="I48" s="29"/>
      <c r="J48" s="7"/>
    </row>
    <row r="49" spans="1:10" ht="18" customHeight="1" x14ac:dyDescent="0.25">
      <c r="A49" s="14">
        <f t="shared" si="1"/>
        <v>39</v>
      </c>
      <c r="B49" s="39"/>
      <c r="C49" s="15"/>
      <c r="D49" s="14" t="s">
        <v>23</v>
      </c>
      <c r="E49" s="132"/>
      <c r="F49" s="119"/>
      <c r="G49" s="163">
        <f t="shared" si="0"/>
        <v>139.25000000000006</v>
      </c>
      <c r="H49" s="28"/>
      <c r="I49" s="29"/>
      <c r="J49" s="7"/>
    </row>
    <row r="50" spans="1:10" ht="18" customHeight="1" x14ac:dyDescent="0.25">
      <c r="A50" s="14">
        <f t="shared" si="1"/>
        <v>40</v>
      </c>
      <c r="B50" s="39"/>
      <c r="C50" s="15"/>
      <c r="D50" s="14" t="s">
        <v>23</v>
      </c>
      <c r="E50" s="132"/>
      <c r="F50" s="119"/>
      <c r="G50" s="163">
        <f t="shared" si="0"/>
        <v>139.25000000000006</v>
      </c>
      <c r="H50" s="28"/>
      <c r="I50" s="29"/>
      <c r="J50" s="7"/>
    </row>
    <row r="51" spans="1:10" ht="18" customHeight="1" x14ac:dyDescent="0.25">
      <c r="A51" s="14">
        <f t="shared" si="1"/>
        <v>41</v>
      </c>
      <c r="B51" s="39"/>
      <c r="C51" s="15"/>
      <c r="D51" s="14" t="s">
        <v>23</v>
      </c>
      <c r="E51" s="132"/>
      <c r="F51" s="119"/>
      <c r="G51" s="163">
        <f t="shared" si="0"/>
        <v>139.25000000000006</v>
      </c>
      <c r="H51" s="28"/>
      <c r="I51" s="29"/>
      <c r="J51" s="7"/>
    </row>
    <row r="52" spans="1:10" ht="18" customHeight="1" x14ac:dyDescent="0.25">
      <c r="A52" s="14">
        <f t="shared" si="1"/>
        <v>42</v>
      </c>
      <c r="B52" s="39"/>
      <c r="C52" s="15"/>
      <c r="D52" s="14" t="s">
        <v>23</v>
      </c>
      <c r="E52" s="16"/>
      <c r="F52" s="119"/>
      <c r="G52" s="163">
        <f t="shared" si="0"/>
        <v>139.25000000000006</v>
      </c>
      <c r="H52" s="28"/>
      <c r="I52" s="29"/>
      <c r="J52" s="7"/>
    </row>
    <row r="53" spans="1:10" ht="18" customHeight="1" x14ac:dyDescent="0.25">
      <c r="A53" s="14">
        <f t="shared" si="1"/>
        <v>43</v>
      </c>
      <c r="B53" s="39"/>
      <c r="C53" s="15"/>
      <c r="D53" s="14" t="s">
        <v>23</v>
      </c>
      <c r="E53" s="132"/>
      <c r="F53" s="119"/>
      <c r="G53" s="163">
        <f t="shared" si="0"/>
        <v>139.25000000000006</v>
      </c>
      <c r="H53" s="28"/>
      <c r="I53" s="29"/>
      <c r="J53" s="7"/>
    </row>
    <row r="54" spans="1:10" s="162" customFormat="1" ht="18" customHeight="1" x14ac:dyDescent="0.25">
      <c r="A54" s="14">
        <f t="shared" si="1"/>
        <v>44</v>
      </c>
      <c r="B54" s="159"/>
      <c r="C54" s="15"/>
      <c r="D54" s="14" t="s">
        <v>23</v>
      </c>
      <c r="E54" s="160"/>
      <c r="F54" s="161"/>
      <c r="G54" s="163">
        <f t="shared" si="0"/>
        <v>139.25000000000006</v>
      </c>
      <c r="H54" s="28"/>
      <c r="I54" s="29"/>
      <c r="J54" s="271"/>
    </row>
    <row r="55" spans="1:10" ht="18" customHeight="1" x14ac:dyDescent="0.25">
      <c r="A55" s="14">
        <f t="shared" si="1"/>
        <v>45</v>
      </c>
      <c r="B55" s="39"/>
      <c r="C55" s="15"/>
      <c r="D55" s="14" t="s">
        <v>23</v>
      </c>
      <c r="E55" s="16"/>
      <c r="F55" s="119"/>
      <c r="G55" s="163">
        <f t="shared" si="0"/>
        <v>139.25000000000006</v>
      </c>
      <c r="H55" s="28"/>
      <c r="I55" s="29"/>
      <c r="J55" s="7"/>
    </row>
    <row r="56" spans="1:10" ht="18" customHeight="1" x14ac:dyDescent="0.25">
      <c r="A56" s="14">
        <f t="shared" si="1"/>
        <v>46</v>
      </c>
      <c r="B56" s="39"/>
      <c r="C56" s="15"/>
      <c r="D56" s="14" t="s">
        <v>19</v>
      </c>
      <c r="E56" s="16"/>
      <c r="F56" s="119"/>
      <c r="G56" s="163">
        <f t="shared" si="0"/>
        <v>139.25000000000006</v>
      </c>
      <c r="H56" s="28"/>
      <c r="I56" s="29"/>
      <c r="J56" s="7"/>
    </row>
    <row r="57" spans="1:10" ht="18" customHeight="1" x14ac:dyDescent="0.25">
      <c r="A57" s="14">
        <f t="shared" si="1"/>
        <v>47</v>
      </c>
      <c r="B57" s="39"/>
      <c r="C57" s="15"/>
      <c r="D57" s="14" t="s">
        <v>19</v>
      </c>
      <c r="E57" s="16"/>
      <c r="F57" s="119"/>
      <c r="G57" s="163">
        <f t="shared" si="0"/>
        <v>139.25000000000006</v>
      </c>
      <c r="H57" s="28"/>
      <c r="I57" s="29"/>
      <c r="J57" s="7"/>
    </row>
    <row r="58" spans="1:10" ht="18" customHeight="1" x14ac:dyDescent="0.25">
      <c r="A58" s="14">
        <f t="shared" si="1"/>
        <v>48</v>
      </c>
      <c r="B58" s="39"/>
      <c r="C58" s="15"/>
      <c r="D58" s="14" t="s">
        <v>19</v>
      </c>
      <c r="E58" s="16"/>
      <c r="F58" s="119"/>
      <c r="G58" s="163">
        <f t="shared" si="0"/>
        <v>139.25000000000006</v>
      </c>
      <c r="H58" s="28"/>
      <c r="I58" s="29"/>
      <c r="J58" s="7"/>
    </row>
    <row r="59" spans="1:10" ht="18" customHeight="1" x14ac:dyDescent="0.25">
      <c r="A59" s="14">
        <f t="shared" si="1"/>
        <v>49</v>
      </c>
      <c r="B59" s="39"/>
      <c r="C59" s="15"/>
      <c r="D59" s="14" t="s">
        <v>19</v>
      </c>
      <c r="E59" s="113"/>
      <c r="F59" s="119"/>
      <c r="G59" s="163">
        <f t="shared" si="0"/>
        <v>139.25000000000006</v>
      </c>
      <c r="H59" s="28"/>
      <c r="I59" s="29"/>
      <c r="J59" s="7"/>
    </row>
    <row r="60" spans="1:10" ht="18" customHeight="1" x14ac:dyDescent="0.25">
      <c r="A60" s="14">
        <f t="shared" si="1"/>
        <v>50</v>
      </c>
      <c r="B60" s="39"/>
      <c r="C60" s="15"/>
      <c r="D60" s="14" t="s">
        <v>19</v>
      </c>
      <c r="E60" s="16"/>
      <c r="F60" s="119"/>
      <c r="G60" s="163">
        <f t="shared" si="0"/>
        <v>139.25000000000006</v>
      </c>
      <c r="H60" s="28"/>
      <c r="I60" s="29"/>
      <c r="J60" s="7"/>
    </row>
    <row r="61" spans="1:10" ht="18" customHeight="1" x14ac:dyDescent="0.25">
      <c r="A61" s="14">
        <f t="shared" si="1"/>
        <v>51</v>
      </c>
      <c r="B61" s="39"/>
      <c r="C61" s="15"/>
      <c r="D61" s="14" t="s">
        <v>19</v>
      </c>
      <c r="E61" s="16"/>
      <c r="F61" s="119"/>
      <c r="G61" s="163">
        <f t="shared" si="0"/>
        <v>139.25000000000006</v>
      </c>
      <c r="H61" s="28"/>
      <c r="I61" s="29"/>
      <c r="J61" s="7"/>
    </row>
    <row r="62" spans="1:10" ht="18" customHeight="1" x14ac:dyDescent="0.25">
      <c r="A62" s="14">
        <f t="shared" si="1"/>
        <v>52</v>
      </c>
      <c r="B62" s="39"/>
      <c r="C62" s="15"/>
      <c r="D62" s="14" t="s">
        <v>19</v>
      </c>
      <c r="E62" s="16"/>
      <c r="F62" s="119"/>
      <c r="G62" s="163">
        <f t="shared" si="0"/>
        <v>139.25000000000006</v>
      </c>
      <c r="H62" s="28"/>
      <c r="I62" s="29"/>
      <c r="J62" s="7"/>
    </row>
    <row r="63" spans="1:10" ht="18" customHeight="1" x14ac:dyDescent="0.25">
      <c r="A63" s="14">
        <f t="shared" si="1"/>
        <v>53</v>
      </c>
      <c r="B63" s="39"/>
      <c r="C63" s="15"/>
      <c r="D63" s="14" t="s">
        <v>19</v>
      </c>
      <c r="E63" s="16"/>
      <c r="F63" s="119"/>
      <c r="G63" s="163">
        <f t="shared" si="0"/>
        <v>139.25000000000006</v>
      </c>
      <c r="H63" s="28"/>
      <c r="I63" s="29"/>
      <c r="J63" s="7"/>
    </row>
    <row r="64" spans="1:10" ht="18" customHeight="1" x14ac:dyDescent="0.25">
      <c r="A64" s="14">
        <f t="shared" si="1"/>
        <v>54</v>
      </c>
      <c r="B64" s="39"/>
      <c r="C64" s="15"/>
      <c r="D64" s="14" t="s">
        <v>19</v>
      </c>
      <c r="E64" s="16"/>
      <c r="F64" s="119"/>
      <c r="G64" s="163">
        <f t="shared" si="0"/>
        <v>139.25000000000006</v>
      </c>
      <c r="H64" s="28"/>
      <c r="I64" s="29"/>
      <c r="J64" s="7"/>
    </row>
    <row r="65" spans="1:10" ht="18" customHeight="1" x14ac:dyDescent="0.25">
      <c r="A65" s="14">
        <f t="shared" si="1"/>
        <v>55</v>
      </c>
      <c r="B65" s="39"/>
      <c r="C65" s="15"/>
      <c r="D65" s="14" t="s">
        <v>19</v>
      </c>
      <c r="E65" s="16"/>
      <c r="F65" s="119"/>
      <c r="G65" s="163">
        <f t="shared" si="0"/>
        <v>139.25000000000006</v>
      </c>
      <c r="H65" s="28"/>
      <c r="I65" s="29"/>
      <c r="J65" s="7"/>
    </row>
    <row r="66" spans="1:10" ht="18" customHeight="1" x14ac:dyDescent="0.25">
      <c r="A66" s="14">
        <f t="shared" si="1"/>
        <v>56</v>
      </c>
      <c r="B66" s="39"/>
      <c r="C66" s="15"/>
      <c r="D66" s="14" t="s">
        <v>19</v>
      </c>
      <c r="E66" s="113"/>
      <c r="F66" s="119"/>
      <c r="G66" s="163">
        <f t="shared" si="0"/>
        <v>139.25000000000006</v>
      </c>
      <c r="H66" s="28"/>
      <c r="I66" s="29"/>
      <c r="J66" s="7"/>
    </row>
    <row r="67" spans="1:10" ht="18" customHeight="1" x14ac:dyDescent="0.25">
      <c r="A67" s="14">
        <f t="shared" si="1"/>
        <v>57</v>
      </c>
      <c r="B67" s="39"/>
      <c r="C67" s="15"/>
      <c r="D67" s="14" t="s">
        <v>19</v>
      </c>
      <c r="E67" s="16"/>
      <c r="F67" s="119"/>
      <c r="G67" s="163">
        <f t="shared" si="0"/>
        <v>139.25000000000006</v>
      </c>
      <c r="H67" s="28"/>
      <c r="I67" s="29"/>
      <c r="J67" s="7"/>
    </row>
    <row r="68" spans="1:10" ht="18" customHeight="1" x14ac:dyDescent="0.25">
      <c r="A68" s="14">
        <f t="shared" si="1"/>
        <v>58</v>
      </c>
      <c r="B68" s="39"/>
      <c r="C68" s="15"/>
      <c r="D68" s="14" t="s">
        <v>19</v>
      </c>
      <c r="E68" s="16"/>
      <c r="F68" s="119"/>
      <c r="G68" s="163">
        <f t="shared" si="0"/>
        <v>139.25000000000006</v>
      </c>
      <c r="H68" s="28"/>
      <c r="I68" s="29"/>
      <c r="J68" s="7"/>
    </row>
    <row r="69" spans="1:10" ht="18" customHeight="1" x14ac:dyDescent="0.25">
      <c r="A69" s="14">
        <f t="shared" si="1"/>
        <v>59</v>
      </c>
      <c r="B69" s="39"/>
      <c r="C69" s="15"/>
      <c r="D69" s="14" t="s">
        <v>19</v>
      </c>
      <c r="E69" s="16"/>
      <c r="F69" s="119"/>
      <c r="G69" s="163">
        <f t="shared" si="0"/>
        <v>139.25000000000006</v>
      </c>
      <c r="H69" s="28"/>
      <c r="I69" s="29"/>
      <c r="J69" s="7"/>
    </row>
    <row r="70" spans="1:10" ht="18" customHeight="1" x14ac:dyDescent="0.25">
      <c r="A70" s="14">
        <f t="shared" si="1"/>
        <v>60</v>
      </c>
      <c r="B70" s="39"/>
      <c r="C70" s="15"/>
      <c r="D70" s="14" t="s">
        <v>19</v>
      </c>
      <c r="E70" s="113"/>
      <c r="F70" s="119"/>
      <c r="G70" s="163">
        <f t="shared" si="0"/>
        <v>139.25000000000006</v>
      </c>
      <c r="H70" s="28"/>
      <c r="I70" s="29"/>
      <c r="J70" s="7"/>
    </row>
    <row r="71" spans="1:10" ht="18" customHeight="1" x14ac:dyDescent="0.25">
      <c r="A71" s="14">
        <f t="shared" si="1"/>
        <v>61</v>
      </c>
      <c r="B71" s="39"/>
      <c r="C71" s="15"/>
      <c r="D71" s="14" t="s">
        <v>19</v>
      </c>
      <c r="E71" s="16"/>
      <c r="F71" s="119"/>
      <c r="G71" s="163">
        <f t="shared" si="0"/>
        <v>139.25000000000006</v>
      </c>
      <c r="H71" s="28"/>
      <c r="I71" s="29"/>
      <c r="J71" s="7"/>
    </row>
    <row r="72" spans="1:10" ht="18" customHeight="1" x14ac:dyDescent="0.25">
      <c r="A72" s="14">
        <f t="shared" si="1"/>
        <v>62</v>
      </c>
      <c r="B72" s="39"/>
      <c r="C72" s="15"/>
      <c r="D72" s="14" t="s">
        <v>19</v>
      </c>
      <c r="E72" s="16"/>
      <c r="F72" s="119"/>
      <c r="G72" s="163">
        <f t="shared" si="0"/>
        <v>139.25000000000006</v>
      </c>
      <c r="H72" s="28"/>
      <c r="I72" s="29"/>
      <c r="J72" s="7"/>
    </row>
    <row r="73" spans="1:10" ht="18" customHeight="1" x14ac:dyDescent="0.25">
      <c r="A73" s="14">
        <f t="shared" si="1"/>
        <v>63</v>
      </c>
      <c r="B73" s="39"/>
      <c r="C73" s="15"/>
      <c r="D73" s="14" t="s">
        <v>19</v>
      </c>
      <c r="E73" s="16"/>
      <c r="F73" s="119"/>
      <c r="G73" s="163">
        <f t="shared" si="0"/>
        <v>139.25000000000006</v>
      </c>
      <c r="H73" s="28"/>
      <c r="I73" s="29"/>
      <c r="J73" s="7"/>
    </row>
    <row r="74" spans="1:10" ht="18" customHeight="1" x14ac:dyDescent="0.25">
      <c r="A74" s="14">
        <f t="shared" si="1"/>
        <v>64</v>
      </c>
      <c r="B74" s="39"/>
      <c r="C74" s="15"/>
      <c r="D74" s="14" t="s">
        <v>19</v>
      </c>
      <c r="E74" s="16"/>
      <c r="F74" s="119"/>
      <c r="G74" s="163">
        <f t="shared" si="0"/>
        <v>139.25000000000006</v>
      </c>
      <c r="H74" s="28"/>
      <c r="I74" s="29"/>
      <c r="J74" s="7"/>
    </row>
    <row r="75" spans="1:10" ht="18" customHeight="1" x14ac:dyDescent="0.25">
      <c r="A75" s="14">
        <f t="shared" si="1"/>
        <v>65</v>
      </c>
      <c r="B75" s="39"/>
      <c r="C75" s="15"/>
      <c r="D75" s="14" t="s">
        <v>19</v>
      </c>
      <c r="E75" s="16"/>
      <c r="F75" s="119"/>
      <c r="G75" s="163">
        <f t="shared" ref="G75:G115" si="3">+G74+E75-F75</f>
        <v>139.25000000000006</v>
      </c>
      <c r="H75" s="28"/>
      <c r="I75" s="29"/>
      <c r="J75" s="7"/>
    </row>
    <row r="76" spans="1:10" ht="18" customHeight="1" x14ac:dyDescent="0.25">
      <c r="A76" s="14">
        <f t="shared" ref="A76:A115" si="4">+A75+1</f>
        <v>66</v>
      </c>
      <c r="B76" s="39"/>
      <c r="C76" s="15"/>
      <c r="D76" s="14" t="s">
        <v>19</v>
      </c>
      <c r="E76" s="16"/>
      <c r="F76" s="119"/>
      <c r="G76" s="163">
        <f t="shared" si="3"/>
        <v>139.25000000000006</v>
      </c>
      <c r="H76" s="28"/>
      <c r="I76" s="29"/>
      <c r="J76" s="7"/>
    </row>
    <row r="77" spans="1:10" ht="18" customHeight="1" x14ac:dyDescent="0.25">
      <c r="A77" s="14">
        <f t="shared" si="4"/>
        <v>67</v>
      </c>
      <c r="B77" s="39"/>
      <c r="C77" s="15"/>
      <c r="D77" s="14" t="s">
        <v>19</v>
      </c>
      <c r="E77" s="16"/>
      <c r="F77" s="119"/>
      <c r="G77" s="163">
        <f t="shared" si="3"/>
        <v>139.25000000000006</v>
      </c>
      <c r="H77" s="28"/>
      <c r="I77" s="29"/>
      <c r="J77" s="7"/>
    </row>
    <row r="78" spans="1:10" ht="18" customHeight="1" x14ac:dyDescent="0.25">
      <c r="A78" s="14">
        <f t="shared" si="4"/>
        <v>68</v>
      </c>
      <c r="B78" s="39"/>
      <c r="C78" s="15"/>
      <c r="D78" s="14" t="s">
        <v>19</v>
      </c>
      <c r="E78" s="16"/>
      <c r="F78" s="119"/>
      <c r="G78" s="163">
        <f t="shared" si="3"/>
        <v>139.25000000000006</v>
      </c>
      <c r="H78" s="28"/>
      <c r="I78" s="29"/>
      <c r="J78" s="7"/>
    </row>
    <row r="79" spans="1:10" ht="18" customHeight="1" x14ac:dyDescent="0.25">
      <c r="A79" s="14">
        <f t="shared" si="4"/>
        <v>69</v>
      </c>
      <c r="B79" s="39"/>
      <c r="C79" s="15"/>
      <c r="D79" s="14" t="s">
        <v>19</v>
      </c>
      <c r="E79" s="16"/>
      <c r="F79" s="119"/>
      <c r="G79" s="163">
        <f t="shared" si="3"/>
        <v>139.25000000000006</v>
      </c>
      <c r="H79" s="28"/>
      <c r="I79" s="29"/>
      <c r="J79" s="7"/>
    </row>
    <row r="80" spans="1:10" ht="18" customHeight="1" x14ac:dyDescent="0.25">
      <c r="A80" s="14">
        <f t="shared" si="4"/>
        <v>70</v>
      </c>
      <c r="B80" s="39"/>
      <c r="C80" s="15"/>
      <c r="D80" s="14" t="s">
        <v>19</v>
      </c>
      <c r="E80" s="16"/>
      <c r="F80" s="119"/>
      <c r="G80" s="163">
        <f t="shared" si="3"/>
        <v>139.25000000000006</v>
      </c>
      <c r="H80" s="28"/>
      <c r="I80" s="29"/>
      <c r="J80" s="7"/>
    </row>
    <row r="81" spans="1:10" ht="18" customHeight="1" x14ac:dyDescent="0.25">
      <c r="A81" s="14">
        <f t="shared" si="4"/>
        <v>71</v>
      </c>
      <c r="B81" s="39"/>
      <c r="C81" s="15"/>
      <c r="D81" s="14" t="s">
        <v>19</v>
      </c>
      <c r="E81" s="16"/>
      <c r="F81" s="119"/>
      <c r="G81" s="163">
        <f t="shared" si="3"/>
        <v>139.25000000000006</v>
      </c>
      <c r="H81" s="28"/>
      <c r="I81" s="29"/>
      <c r="J81" s="7"/>
    </row>
    <row r="82" spans="1:10" ht="18" customHeight="1" x14ac:dyDescent="0.25">
      <c r="A82" s="14">
        <f t="shared" si="4"/>
        <v>72</v>
      </c>
      <c r="B82" s="39"/>
      <c r="C82" s="15"/>
      <c r="D82" s="14" t="s">
        <v>19</v>
      </c>
      <c r="E82" s="16"/>
      <c r="F82" s="119"/>
      <c r="G82" s="163">
        <f t="shared" si="3"/>
        <v>139.25000000000006</v>
      </c>
      <c r="H82" s="28"/>
      <c r="I82" s="29"/>
      <c r="J82" s="7"/>
    </row>
    <row r="83" spans="1:10" ht="18" customHeight="1" x14ac:dyDescent="0.25">
      <c r="A83" s="14">
        <f t="shared" si="4"/>
        <v>73</v>
      </c>
      <c r="B83" s="39"/>
      <c r="C83" s="15"/>
      <c r="D83" s="14" t="s">
        <v>19</v>
      </c>
      <c r="E83" s="16"/>
      <c r="F83" s="119"/>
      <c r="G83" s="163">
        <f t="shared" si="3"/>
        <v>139.25000000000006</v>
      </c>
      <c r="H83" s="28"/>
      <c r="I83" s="29"/>
      <c r="J83" s="7"/>
    </row>
    <row r="84" spans="1:10" ht="18" customHeight="1" x14ac:dyDescent="0.25">
      <c r="A84" s="14">
        <f t="shared" si="4"/>
        <v>74</v>
      </c>
      <c r="B84" s="39"/>
      <c r="C84" s="15"/>
      <c r="D84" s="14" t="s">
        <v>19</v>
      </c>
      <c r="E84" s="16"/>
      <c r="F84" s="119"/>
      <c r="G84" s="163">
        <f t="shared" si="3"/>
        <v>139.25000000000006</v>
      </c>
      <c r="H84" s="28"/>
      <c r="I84" s="29"/>
      <c r="J84" s="7"/>
    </row>
    <row r="85" spans="1:10" ht="18" customHeight="1" x14ac:dyDescent="0.25">
      <c r="A85" s="14">
        <f t="shared" si="4"/>
        <v>75</v>
      </c>
      <c r="B85" s="39"/>
      <c r="C85" s="15"/>
      <c r="D85" s="14" t="s">
        <v>19</v>
      </c>
      <c r="E85" s="16"/>
      <c r="F85" s="119"/>
      <c r="G85" s="163">
        <f t="shared" si="3"/>
        <v>139.25000000000006</v>
      </c>
      <c r="H85" s="28"/>
      <c r="I85" s="29"/>
      <c r="J85" s="7"/>
    </row>
    <row r="86" spans="1:10" ht="18" customHeight="1" x14ac:dyDescent="0.25">
      <c r="A86" s="14">
        <f t="shared" si="4"/>
        <v>76</v>
      </c>
      <c r="B86" s="39"/>
      <c r="C86" s="15"/>
      <c r="D86" s="14" t="s">
        <v>19</v>
      </c>
      <c r="E86" s="16"/>
      <c r="F86" s="119"/>
      <c r="G86" s="163">
        <f t="shared" si="3"/>
        <v>139.25000000000006</v>
      </c>
      <c r="H86" s="28"/>
      <c r="I86" s="29"/>
      <c r="J86" s="7"/>
    </row>
    <row r="87" spans="1:10" ht="18" customHeight="1" x14ac:dyDescent="0.25">
      <c r="A87" s="14">
        <f t="shared" si="4"/>
        <v>77</v>
      </c>
      <c r="B87" s="39"/>
      <c r="C87" s="15"/>
      <c r="D87" s="14" t="s">
        <v>19</v>
      </c>
      <c r="E87" s="16"/>
      <c r="F87" s="119"/>
      <c r="G87" s="163">
        <f t="shared" si="3"/>
        <v>139.25000000000006</v>
      </c>
      <c r="H87" s="28"/>
      <c r="I87" s="29"/>
      <c r="J87" s="7"/>
    </row>
    <row r="88" spans="1:10" ht="18" customHeight="1" x14ac:dyDescent="0.25">
      <c r="A88" s="14">
        <f t="shared" si="4"/>
        <v>78</v>
      </c>
      <c r="B88" s="39"/>
      <c r="C88" s="15"/>
      <c r="D88" s="14" t="s">
        <v>19</v>
      </c>
      <c r="E88" s="16"/>
      <c r="F88" s="119"/>
      <c r="G88" s="163">
        <f t="shared" si="3"/>
        <v>139.25000000000006</v>
      </c>
      <c r="H88" s="28"/>
      <c r="I88" s="29"/>
      <c r="J88" s="7"/>
    </row>
    <row r="89" spans="1:10" ht="18" customHeight="1" x14ac:dyDescent="0.25">
      <c r="A89" s="14">
        <f t="shared" si="4"/>
        <v>79</v>
      </c>
      <c r="B89" s="39"/>
      <c r="C89" s="15"/>
      <c r="D89" s="14" t="s">
        <v>19</v>
      </c>
      <c r="E89" s="16"/>
      <c r="F89" s="119"/>
      <c r="G89" s="163">
        <f t="shared" si="3"/>
        <v>139.25000000000006</v>
      </c>
      <c r="H89" s="28"/>
      <c r="I89" s="29"/>
      <c r="J89" s="7"/>
    </row>
    <row r="90" spans="1:10" ht="18" customHeight="1" x14ac:dyDescent="0.25">
      <c r="A90" s="14">
        <f t="shared" si="4"/>
        <v>80</v>
      </c>
      <c r="B90" s="39"/>
      <c r="C90" s="15"/>
      <c r="D90" s="14" t="s">
        <v>19</v>
      </c>
      <c r="E90" s="16"/>
      <c r="F90" s="119"/>
      <c r="G90" s="163">
        <f t="shared" si="3"/>
        <v>139.25000000000006</v>
      </c>
      <c r="H90" s="28"/>
      <c r="I90" s="29"/>
      <c r="J90" s="7"/>
    </row>
    <row r="91" spans="1:10" ht="18" customHeight="1" x14ac:dyDescent="0.25">
      <c r="A91" s="14">
        <f t="shared" si="4"/>
        <v>81</v>
      </c>
      <c r="B91" s="39"/>
      <c r="C91" s="15"/>
      <c r="D91" s="14" t="s">
        <v>19</v>
      </c>
      <c r="E91" s="16"/>
      <c r="F91" s="119"/>
      <c r="G91" s="163">
        <f t="shared" si="3"/>
        <v>139.25000000000006</v>
      </c>
      <c r="H91" s="28"/>
      <c r="I91" s="29"/>
      <c r="J91" s="7"/>
    </row>
    <row r="92" spans="1:10" ht="18" customHeight="1" x14ac:dyDescent="0.25">
      <c r="A92" s="14">
        <f t="shared" si="4"/>
        <v>82</v>
      </c>
      <c r="B92" s="39"/>
      <c r="C92" s="15"/>
      <c r="D92" s="14" t="s">
        <v>19</v>
      </c>
      <c r="E92" s="16"/>
      <c r="F92" s="119"/>
      <c r="G92" s="163">
        <f t="shared" si="3"/>
        <v>139.25000000000006</v>
      </c>
      <c r="H92" s="28"/>
      <c r="I92" s="29"/>
      <c r="J92" s="7"/>
    </row>
    <row r="93" spans="1:10" ht="18" customHeight="1" x14ac:dyDescent="0.25">
      <c r="A93" s="14">
        <f t="shared" si="4"/>
        <v>83</v>
      </c>
      <c r="B93" s="39"/>
      <c r="C93" s="15"/>
      <c r="D93" s="14" t="s">
        <v>19</v>
      </c>
      <c r="E93" s="16"/>
      <c r="F93" s="119"/>
      <c r="G93" s="163">
        <f t="shared" si="3"/>
        <v>139.25000000000006</v>
      </c>
      <c r="H93" s="28"/>
      <c r="I93" s="29"/>
      <c r="J93" s="7"/>
    </row>
    <row r="94" spans="1:10" ht="18" customHeight="1" x14ac:dyDescent="0.25">
      <c r="A94" s="14">
        <f t="shared" si="4"/>
        <v>84</v>
      </c>
      <c r="B94" s="39"/>
      <c r="C94" s="15"/>
      <c r="D94" s="14" t="s">
        <v>19</v>
      </c>
      <c r="E94" s="16"/>
      <c r="F94" s="119"/>
      <c r="G94" s="163">
        <f t="shared" si="3"/>
        <v>139.25000000000006</v>
      </c>
      <c r="H94" s="28"/>
      <c r="I94" s="29"/>
      <c r="J94" s="7"/>
    </row>
    <row r="95" spans="1:10" ht="18" customHeight="1" x14ac:dyDescent="0.25">
      <c r="A95" s="14">
        <f t="shared" si="4"/>
        <v>85</v>
      </c>
      <c r="B95" s="39"/>
      <c r="C95" s="15"/>
      <c r="D95" s="14" t="s">
        <v>19</v>
      </c>
      <c r="E95" s="16"/>
      <c r="F95" s="119"/>
      <c r="G95" s="163">
        <f t="shared" si="3"/>
        <v>139.25000000000006</v>
      </c>
      <c r="H95" s="28"/>
      <c r="I95" s="29"/>
      <c r="J95" s="7"/>
    </row>
    <row r="96" spans="1:10" ht="18" customHeight="1" x14ac:dyDescent="0.25">
      <c r="A96" s="14">
        <f t="shared" si="4"/>
        <v>86</v>
      </c>
      <c r="B96" s="39"/>
      <c r="C96" s="15"/>
      <c r="D96" s="14" t="s">
        <v>19</v>
      </c>
      <c r="E96" s="16"/>
      <c r="F96" s="119"/>
      <c r="G96" s="163">
        <f t="shared" si="3"/>
        <v>139.25000000000006</v>
      </c>
      <c r="H96" s="28"/>
      <c r="I96" s="29"/>
      <c r="J96" s="7"/>
    </row>
    <row r="97" spans="1:10" ht="18" customHeight="1" x14ac:dyDescent="0.25">
      <c r="A97" s="14">
        <f t="shared" si="4"/>
        <v>87</v>
      </c>
      <c r="B97" s="39"/>
      <c r="C97" s="15"/>
      <c r="D97" s="14" t="s">
        <v>19</v>
      </c>
      <c r="E97" s="16"/>
      <c r="F97" s="119"/>
      <c r="G97" s="163">
        <f t="shared" si="3"/>
        <v>139.25000000000006</v>
      </c>
      <c r="H97" s="28"/>
      <c r="I97" s="29"/>
      <c r="J97" s="7"/>
    </row>
    <row r="98" spans="1:10" ht="18" customHeight="1" x14ac:dyDescent="0.25">
      <c r="A98" s="14">
        <f t="shared" si="4"/>
        <v>88</v>
      </c>
      <c r="B98" s="39"/>
      <c r="C98" s="15"/>
      <c r="D98" s="14" t="s">
        <v>19</v>
      </c>
      <c r="E98" s="16"/>
      <c r="F98" s="119"/>
      <c r="G98" s="163">
        <f t="shared" si="3"/>
        <v>139.25000000000006</v>
      </c>
      <c r="H98" s="28"/>
      <c r="I98" s="29"/>
      <c r="J98" s="7"/>
    </row>
    <row r="99" spans="1:10" ht="18" customHeight="1" x14ac:dyDescent="0.25">
      <c r="A99" s="14">
        <f t="shared" si="4"/>
        <v>89</v>
      </c>
      <c r="B99" s="39"/>
      <c r="C99" s="15"/>
      <c r="D99" s="14" t="s">
        <v>19</v>
      </c>
      <c r="E99" s="16"/>
      <c r="F99" s="119"/>
      <c r="G99" s="163">
        <f t="shared" si="3"/>
        <v>139.25000000000006</v>
      </c>
      <c r="H99" s="28"/>
      <c r="I99" s="29"/>
      <c r="J99" s="7"/>
    </row>
    <row r="100" spans="1:10" ht="18" customHeight="1" x14ac:dyDescent="0.25">
      <c r="A100" s="14">
        <f t="shared" si="4"/>
        <v>90</v>
      </c>
      <c r="B100" s="39"/>
      <c r="C100" s="15"/>
      <c r="D100" s="14" t="s">
        <v>19</v>
      </c>
      <c r="E100" s="16"/>
      <c r="F100" s="119"/>
      <c r="G100" s="163">
        <f t="shared" si="3"/>
        <v>139.25000000000006</v>
      </c>
      <c r="H100" s="28"/>
      <c r="I100" s="29"/>
      <c r="J100" s="7"/>
    </row>
    <row r="101" spans="1:10" ht="18" customHeight="1" x14ac:dyDescent="0.25">
      <c r="A101" s="14">
        <f t="shared" si="4"/>
        <v>91</v>
      </c>
      <c r="B101" s="39"/>
      <c r="C101" s="15"/>
      <c r="D101" s="14" t="s">
        <v>19</v>
      </c>
      <c r="E101" s="16"/>
      <c r="F101" s="119"/>
      <c r="G101" s="163">
        <f t="shared" si="3"/>
        <v>139.25000000000006</v>
      </c>
      <c r="H101" s="28"/>
      <c r="I101" s="29"/>
      <c r="J101" s="7"/>
    </row>
    <row r="102" spans="1:10" ht="18" customHeight="1" x14ac:dyDescent="0.25">
      <c r="A102" s="14">
        <f t="shared" si="4"/>
        <v>92</v>
      </c>
      <c r="B102" s="39"/>
      <c r="C102" s="15"/>
      <c r="D102" s="14" t="s">
        <v>19</v>
      </c>
      <c r="E102" s="16"/>
      <c r="F102" s="119"/>
      <c r="G102" s="163">
        <f t="shared" si="3"/>
        <v>139.25000000000006</v>
      </c>
      <c r="H102" s="28"/>
      <c r="I102" s="29"/>
      <c r="J102" s="7"/>
    </row>
    <row r="103" spans="1:10" ht="18" customHeight="1" x14ac:dyDescent="0.25">
      <c r="A103" s="14">
        <f t="shared" si="4"/>
        <v>93</v>
      </c>
      <c r="B103" s="39"/>
      <c r="C103" s="15"/>
      <c r="D103" s="14" t="s">
        <v>19</v>
      </c>
      <c r="E103" s="16"/>
      <c r="F103" s="119"/>
      <c r="G103" s="163">
        <f t="shared" si="3"/>
        <v>139.25000000000006</v>
      </c>
      <c r="H103" s="28"/>
      <c r="I103" s="29"/>
      <c r="J103" s="7"/>
    </row>
    <row r="104" spans="1:10" ht="18" customHeight="1" x14ac:dyDescent="0.25">
      <c r="A104" s="14">
        <f t="shared" si="4"/>
        <v>94</v>
      </c>
      <c r="B104" s="39"/>
      <c r="C104" s="15"/>
      <c r="D104" s="14" t="s">
        <v>19</v>
      </c>
      <c r="E104" s="16"/>
      <c r="F104" s="119"/>
      <c r="G104" s="163">
        <f t="shared" si="3"/>
        <v>139.25000000000006</v>
      </c>
      <c r="H104" s="28"/>
      <c r="I104" s="29"/>
      <c r="J104" s="7"/>
    </row>
    <row r="105" spans="1:10" ht="18" customHeight="1" x14ac:dyDescent="0.25">
      <c r="A105" s="14">
        <f t="shared" si="4"/>
        <v>95</v>
      </c>
      <c r="B105" s="39"/>
      <c r="C105" s="15"/>
      <c r="D105" s="14" t="s">
        <v>19</v>
      </c>
      <c r="E105" s="16"/>
      <c r="F105" s="119"/>
      <c r="G105" s="163">
        <f t="shared" si="3"/>
        <v>139.25000000000006</v>
      </c>
      <c r="H105" s="28"/>
      <c r="I105" s="29"/>
      <c r="J105" s="7"/>
    </row>
    <row r="106" spans="1:10" ht="18" customHeight="1" x14ac:dyDescent="0.25">
      <c r="A106" s="14">
        <f t="shared" si="4"/>
        <v>96</v>
      </c>
      <c r="B106" s="39"/>
      <c r="C106" s="15"/>
      <c r="D106" s="14" t="s">
        <v>19</v>
      </c>
      <c r="E106" s="16"/>
      <c r="F106" s="119"/>
      <c r="G106" s="163">
        <f t="shared" si="3"/>
        <v>139.25000000000006</v>
      </c>
      <c r="H106" s="28"/>
      <c r="I106" s="29"/>
      <c r="J106" s="7"/>
    </row>
    <row r="107" spans="1:10" ht="18" customHeight="1" x14ac:dyDescent="0.25">
      <c r="A107" s="14">
        <f t="shared" si="4"/>
        <v>97</v>
      </c>
      <c r="B107" s="39"/>
      <c r="C107" s="15"/>
      <c r="D107" s="14" t="s">
        <v>19</v>
      </c>
      <c r="E107" s="16"/>
      <c r="F107" s="119"/>
      <c r="G107" s="163">
        <f t="shared" si="3"/>
        <v>139.25000000000006</v>
      </c>
      <c r="H107" s="28"/>
      <c r="I107" s="29"/>
      <c r="J107" s="7"/>
    </row>
    <row r="108" spans="1:10" ht="18" customHeight="1" x14ac:dyDescent="0.25">
      <c r="A108" s="14">
        <f t="shared" si="4"/>
        <v>98</v>
      </c>
      <c r="B108" s="39"/>
      <c r="C108" s="15"/>
      <c r="D108" s="14" t="s">
        <v>19</v>
      </c>
      <c r="E108" s="16"/>
      <c r="F108" s="119"/>
      <c r="G108" s="163">
        <f t="shared" si="3"/>
        <v>139.25000000000006</v>
      </c>
      <c r="H108" s="28"/>
      <c r="I108" s="29"/>
      <c r="J108" s="7"/>
    </row>
    <row r="109" spans="1:10" ht="18" customHeight="1" x14ac:dyDescent="0.25">
      <c r="A109" s="14">
        <f t="shared" si="4"/>
        <v>99</v>
      </c>
      <c r="B109" s="39"/>
      <c r="C109" s="15"/>
      <c r="D109" s="14" t="s">
        <v>19</v>
      </c>
      <c r="E109" s="16"/>
      <c r="F109" s="119"/>
      <c r="G109" s="163">
        <f t="shared" si="3"/>
        <v>139.25000000000006</v>
      </c>
      <c r="H109" s="28"/>
      <c r="I109" s="29"/>
      <c r="J109" s="7"/>
    </row>
    <row r="110" spans="1:10" ht="18" customHeight="1" x14ac:dyDescent="0.25">
      <c r="A110" s="14">
        <f t="shared" si="4"/>
        <v>100</v>
      </c>
      <c r="B110" s="39"/>
      <c r="C110" s="15"/>
      <c r="D110" s="14"/>
      <c r="E110" s="16"/>
      <c r="F110" s="119"/>
      <c r="G110" s="163">
        <f t="shared" si="3"/>
        <v>139.25000000000006</v>
      </c>
      <c r="H110" s="28"/>
      <c r="I110" s="29"/>
      <c r="J110" s="7"/>
    </row>
    <row r="111" spans="1:10" ht="18" customHeight="1" x14ac:dyDescent="0.25">
      <c r="A111" s="14">
        <f t="shared" si="4"/>
        <v>101</v>
      </c>
      <c r="B111" s="39"/>
      <c r="C111" s="15"/>
      <c r="D111" s="14"/>
      <c r="E111" s="16"/>
      <c r="F111" s="119"/>
      <c r="G111" s="163">
        <f t="shared" si="3"/>
        <v>139.25000000000006</v>
      </c>
      <c r="H111" s="28"/>
      <c r="I111" s="29"/>
      <c r="J111" s="7"/>
    </row>
    <row r="112" spans="1:10" ht="18" customHeight="1" x14ac:dyDescent="0.25">
      <c r="A112" s="14">
        <f t="shared" si="4"/>
        <v>102</v>
      </c>
      <c r="B112" s="39"/>
      <c r="C112" s="15"/>
      <c r="D112" s="14"/>
      <c r="E112" s="16"/>
      <c r="F112" s="119"/>
      <c r="G112" s="163">
        <f t="shared" si="3"/>
        <v>139.25000000000006</v>
      </c>
      <c r="H112" s="28"/>
      <c r="I112" s="29"/>
      <c r="J112" s="7"/>
    </row>
    <row r="113" spans="1:10" ht="18" customHeight="1" x14ac:dyDescent="0.25">
      <c r="A113" s="14">
        <f t="shared" si="4"/>
        <v>103</v>
      </c>
      <c r="B113" s="39"/>
      <c r="C113" s="15"/>
      <c r="D113" s="14"/>
      <c r="E113" s="16"/>
      <c r="F113" s="119"/>
      <c r="G113" s="163">
        <f t="shared" si="3"/>
        <v>139.25000000000006</v>
      </c>
      <c r="H113" s="28"/>
      <c r="I113" s="29"/>
      <c r="J113" s="7"/>
    </row>
    <row r="114" spans="1:10" ht="18" customHeight="1" x14ac:dyDescent="0.25">
      <c r="A114" s="14">
        <f t="shared" si="4"/>
        <v>104</v>
      </c>
      <c r="B114" s="39"/>
      <c r="C114" s="15"/>
      <c r="D114" s="14"/>
      <c r="E114" s="16"/>
      <c r="F114" s="119"/>
      <c r="G114" s="163">
        <f t="shared" si="3"/>
        <v>139.25000000000006</v>
      </c>
      <c r="H114" s="28"/>
      <c r="I114" s="29"/>
      <c r="J114" s="7"/>
    </row>
    <row r="115" spans="1:10" ht="18" customHeight="1" x14ac:dyDescent="0.25">
      <c r="A115" s="14">
        <f t="shared" si="4"/>
        <v>105</v>
      </c>
      <c r="B115" s="39"/>
      <c r="C115" s="15"/>
      <c r="D115" s="133"/>
      <c r="E115" s="16"/>
      <c r="F115" s="119"/>
      <c r="G115" s="163">
        <f t="shared" si="3"/>
        <v>139.25000000000006</v>
      </c>
      <c r="H115" s="28"/>
      <c r="I115" s="29"/>
      <c r="J115" s="7"/>
    </row>
    <row r="116" spans="1:10" x14ac:dyDescent="0.25">
      <c r="A116" s="7"/>
      <c r="B116" s="7"/>
      <c r="C116" s="34" t="s">
        <v>13</v>
      </c>
      <c r="D116" s="7"/>
      <c r="E116" s="164">
        <f>SUM(E9:E115)</f>
        <v>648.88</v>
      </c>
      <c r="F116" s="165">
        <f>SUM(F9:F115)</f>
        <v>509.63</v>
      </c>
      <c r="G116" s="35">
        <f>+E116-F116+G8</f>
        <v>139.25</v>
      </c>
      <c r="H116" s="35"/>
      <c r="I116" s="36"/>
      <c r="J116" s="7"/>
    </row>
  </sheetData>
  <mergeCells count="1">
    <mergeCell ref="A4:I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B0BD-C7E4-490D-86C9-D3C959F67A1D}">
  <sheetPr codeName="Sheet40"/>
  <dimension ref="A1:L113"/>
  <sheetViews>
    <sheetView workbookViewId="0">
      <selection activeCell="P31" sqref="P3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359.7</v>
      </c>
      <c r="H8" s="7"/>
      <c r="I8" s="7"/>
      <c r="J8" s="7"/>
    </row>
    <row r="9" spans="1:12" ht="18" customHeight="1" x14ac:dyDescent="0.25">
      <c r="A9" s="14">
        <v>1</v>
      </c>
      <c r="B9" s="39">
        <v>45702</v>
      </c>
      <c r="C9" s="15" t="s">
        <v>237</v>
      </c>
      <c r="D9" s="14" t="s">
        <v>23</v>
      </c>
      <c r="E9" s="143"/>
      <c r="F9" s="119">
        <v>4.5</v>
      </c>
      <c r="G9" s="163">
        <f t="shared" ref="G9:G72" si="0">+G8+E9-F9</f>
        <v>355.2</v>
      </c>
      <c r="H9" s="28"/>
      <c r="I9" s="29"/>
      <c r="J9" s="7">
        <v>10</v>
      </c>
      <c r="K9" s="349">
        <f>E9/J9</f>
        <v>0</v>
      </c>
      <c r="L9" s="162" t="s">
        <v>183</v>
      </c>
    </row>
    <row r="10" spans="1:12" ht="18" customHeight="1" x14ac:dyDescent="0.25">
      <c r="A10" s="14">
        <f t="shared" ref="A10:A73" si="1">+A9+1</f>
        <v>2</v>
      </c>
      <c r="B10" s="39">
        <v>45703</v>
      </c>
      <c r="C10" s="15" t="s">
        <v>237</v>
      </c>
      <c r="D10" s="14" t="s">
        <v>23</v>
      </c>
      <c r="E10" s="16"/>
      <c r="F10" s="152">
        <v>45.3</v>
      </c>
      <c r="G10" s="163">
        <f t="shared" si="0"/>
        <v>309.89999999999998</v>
      </c>
      <c r="H10" s="28" t="s">
        <v>129</v>
      </c>
      <c r="I10" s="29" t="s">
        <v>90</v>
      </c>
      <c r="J10" s="7"/>
    </row>
    <row r="11" spans="1:12" ht="18" customHeight="1" x14ac:dyDescent="0.25">
      <c r="A11" s="14">
        <f t="shared" si="1"/>
        <v>3</v>
      </c>
      <c r="B11" s="39">
        <v>45736</v>
      </c>
      <c r="C11" s="15" t="s">
        <v>237</v>
      </c>
      <c r="D11" s="14" t="s">
        <v>23</v>
      </c>
      <c r="E11" s="143"/>
      <c r="F11" s="152">
        <v>45.8</v>
      </c>
      <c r="G11" s="163">
        <f t="shared" si="0"/>
        <v>264.09999999999997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>
        <v>45741</v>
      </c>
      <c r="C12" s="15" t="s">
        <v>237</v>
      </c>
      <c r="D12" s="14" t="s">
        <v>23</v>
      </c>
      <c r="E12" s="319"/>
      <c r="F12" s="152">
        <v>45.8</v>
      </c>
      <c r="G12" s="163">
        <f t="shared" si="0"/>
        <v>218.29999999999995</v>
      </c>
      <c r="H12" s="28" t="s">
        <v>129</v>
      </c>
      <c r="I12" s="29"/>
      <c r="J12" s="7"/>
    </row>
    <row r="13" spans="1:12" ht="18" customHeight="1" x14ac:dyDescent="0.25">
      <c r="A13" s="14">
        <f t="shared" si="1"/>
        <v>5</v>
      </c>
      <c r="B13" s="39">
        <v>45747</v>
      </c>
      <c r="C13" s="15" t="s">
        <v>237</v>
      </c>
      <c r="D13" s="14" t="s">
        <v>23</v>
      </c>
      <c r="E13" s="135">
        <v>25.5</v>
      </c>
      <c r="F13" s="153"/>
      <c r="G13" s="163">
        <f t="shared" si="0"/>
        <v>243.79999999999995</v>
      </c>
      <c r="H13" s="28" t="s">
        <v>91</v>
      </c>
      <c r="I13" s="29"/>
      <c r="J13" s="7"/>
    </row>
    <row r="14" spans="1:12" ht="18" customHeight="1" x14ac:dyDescent="0.25">
      <c r="A14" s="14">
        <f t="shared" si="1"/>
        <v>6</v>
      </c>
      <c r="B14" s="39">
        <v>45904</v>
      </c>
      <c r="C14" s="15" t="s">
        <v>237</v>
      </c>
      <c r="D14" s="14" t="s">
        <v>23</v>
      </c>
      <c r="E14" s="145"/>
      <c r="F14" s="153">
        <v>25.5</v>
      </c>
      <c r="G14" s="163">
        <f t="shared" si="0"/>
        <v>218.29999999999995</v>
      </c>
      <c r="H14" s="28" t="s">
        <v>91</v>
      </c>
      <c r="I14" s="29"/>
      <c r="J14" s="7"/>
      <c r="K14" t="s">
        <v>276</v>
      </c>
    </row>
    <row r="15" spans="1:12" ht="18" customHeight="1" x14ac:dyDescent="0.25">
      <c r="A15" s="14">
        <f t="shared" si="1"/>
        <v>7</v>
      </c>
      <c r="B15" s="39">
        <v>45918</v>
      </c>
      <c r="C15" s="15" t="s">
        <v>237</v>
      </c>
      <c r="D15" s="14" t="s">
        <v>23</v>
      </c>
      <c r="E15" s="154"/>
      <c r="F15" s="153">
        <v>45</v>
      </c>
      <c r="G15" s="163">
        <f t="shared" si="0"/>
        <v>173.29999999999995</v>
      </c>
      <c r="H15" s="28" t="s">
        <v>91</v>
      </c>
      <c r="I15" s="29"/>
      <c r="J15" s="140"/>
    </row>
    <row r="16" spans="1:12" ht="18" customHeight="1" x14ac:dyDescent="0.25">
      <c r="A16" s="14">
        <f t="shared" si="1"/>
        <v>8</v>
      </c>
      <c r="B16" s="39"/>
      <c r="C16" s="15" t="s">
        <v>237</v>
      </c>
      <c r="D16" s="14" t="s">
        <v>23</v>
      </c>
      <c r="E16" s="113"/>
      <c r="F16" s="152"/>
      <c r="G16" s="163">
        <f t="shared" si="0"/>
        <v>173.29999999999995</v>
      </c>
      <c r="H16" s="28" t="s">
        <v>91</v>
      </c>
      <c r="I16" s="29"/>
      <c r="J16" s="7">
        <v>15</v>
      </c>
    </row>
    <row r="17" spans="1:10" ht="18" customHeight="1" x14ac:dyDescent="0.25">
      <c r="A17" s="14">
        <f t="shared" si="1"/>
        <v>9</v>
      </c>
      <c r="B17" s="39"/>
      <c r="C17" s="15" t="s">
        <v>237</v>
      </c>
      <c r="D17" s="14" t="s">
        <v>23</v>
      </c>
      <c r="E17" s="132"/>
      <c r="F17" s="152"/>
      <c r="G17" s="163">
        <f t="shared" si="0"/>
        <v>173.29999999999995</v>
      </c>
      <c r="H17" s="28" t="s">
        <v>91</v>
      </c>
      <c r="I17" s="29"/>
      <c r="J17" s="7"/>
    </row>
    <row r="18" spans="1:10" ht="18" customHeight="1" x14ac:dyDescent="0.25">
      <c r="A18" s="14">
        <f t="shared" si="1"/>
        <v>10</v>
      </c>
      <c r="B18" s="39"/>
      <c r="C18" s="15" t="s">
        <v>237</v>
      </c>
      <c r="D18" s="14" t="s">
        <v>23</v>
      </c>
      <c r="E18" s="132"/>
      <c r="F18" s="152"/>
      <c r="G18" s="163">
        <f t="shared" si="0"/>
        <v>173.29999999999995</v>
      </c>
      <c r="H18" s="28" t="s">
        <v>91</v>
      </c>
      <c r="I18" s="29"/>
      <c r="J18" s="7"/>
    </row>
    <row r="19" spans="1:10" ht="18" customHeight="1" x14ac:dyDescent="0.25">
      <c r="A19" s="14">
        <f t="shared" si="1"/>
        <v>11</v>
      </c>
      <c r="B19" s="39"/>
      <c r="C19" s="15"/>
      <c r="D19" s="14" t="s">
        <v>23</v>
      </c>
      <c r="E19" s="16"/>
      <c r="F19" s="152"/>
      <c r="G19" s="163">
        <f t="shared" si="0"/>
        <v>173.29999999999995</v>
      </c>
      <c r="H19" s="28" t="s">
        <v>91</v>
      </c>
      <c r="I19" s="29"/>
      <c r="J19" s="7"/>
    </row>
    <row r="20" spans="1:10" ht="18" customHeight="1" x14ac:dyDescent="0.25">
      <c r="A20" s="14">
        <f t="shared" si="1"/>
        <v>12</v>
      </c>
      <c r="B20" s="39"/>
      <c r="C20" s="15"/>
      <c r="D20" s="14" t="s">
        <v>23</v>
      </c>
      <c r="E20" s="132"/>
      <c r="F20" s="152"/>
      <c r="G20" s="163">
        <f t="shared" si="0"/>
        <v>173.29999999999995</v>
      </c>
      <c r="H20" s="28" t="s">
        <v>129</v>
      </c>
      <c r="I20" s="29"/>
      <c r="J20" s="7"/>
    </row>
    <row r="21" spans="1:10" ht="18" customHeight="1" x14ac:dyDescent="0.25">
      <c r="A21" s="14">
        <f t="shared" si="1"/>
        <v>13</v>
      </c>
      <c r="B21" s="42"/>
      <c r="C21" s="15"/>
      <c r="D21" s="14" t="s">
        <v>23</v>
      </c>
      <c r="E21" s="132"/>
      <c r="F21" s="152"/>
      <c r="G21" s="163">
        <f t="shared" si="0"/>
        <v>173.29999999999995</v>
      </c>
      <c r="H21" s="28" t="s">
        <v>91</v>
      </c>
      <c r="I21" s="29"/>
      <c r="J21" s="7"/>
    </row>
    <row r="22" spans="1:10" ht="18" customHeight="1" x14ac:dyDescent="0.25">
      <c r="A22" s="14">
        <f t="shared" si="1"/>
        <v>14</v>
      </c>
      <c r="B22" s="39"/>
      <c r="C22" s="15"/>
      <c r="D22" s="14" t="s">
        <v>23</v>
      </c>
      <c r="E22" s="132"/>
      <c r="F22" s="152"/>
      <c r="G22" s="163">
        <f t="shared" si="0"/>
        <v>173.29999999999995</v>
      </c>
      <c r="H22" s="28" t="s">
        <v>91</v>
      </c>
      <c r="I22" s="29"/>
      <c r="J22" s="7"/>
    </row>
    <row r="23" spans="1:10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173.29999999999995</v>
      </c>
      <c r="H23" s="28" t="s">
        <v>91</v>
      </c>
      <c r="I23" s="29"/>
      <c r="J23" s="7"/>
    </row>
    <row r="24" spans="1:10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5"/>
      <c r="G24" s="163">
        <f t="shared" si="0"/>
        <v>173.29999999999995</v>
      </c>
      <c r="H24" s="28" t="s">
        <v>91</v>
      </c>
      <c r="I24" s="29"/>
      <c r="J24" s="7"/>
    </row>
    <row r="25" spans="1:10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2"/>
      <c r="G25" s="163">
        <f t="shared" si="0"/>
        <v>173.29999999999995</v>
      </c>
      <c r="H25" s="28" t="s">
        <v>91</v>
      </c>
      <c r="I25" s="29"/>
      <c r="J25" s="7"/>
    </row>
    <row r="26" spans="1:10" ht="18" customHeight="1" x14ac:dyDescent="0.25">
      <c r="A26" s="14">
        <f t="shared" si="1"/>
        <v>18</v>
      </c>
      <c r="B26" s="39"/>
      <c r="C26" s="15"/>
      <c r="D26" s="14" t="s">
        <v>23</v>
      </c>
      <c r="E26" s="16"/>
      <c r="F26" s="152"/>
      <c r="G26" s="163">
        <f t="shared" si="0"/>
        <v>173.29999999999995</v>
      </c>
      <c r="H26" s="28" t="s">
        <v>91</v>
      </c>
      <c r="I26" s="29"/>
      <c r="J26" s="7"/>
    </row>
    <row r="27" spans="1:10" ht="18" customHeight="1" x14ac:dyDescent="0.25">
      <c r="A27" s="14">
        <f t="shared" si="1"/>
        <v>19</v>
      </c>
      <c r="B27" s="39"/>
      <c r="C27" s="15"/>
      <c r="D27" s="14" t="s">
        <v>23</v>
      </c>
      <c r="E27" s="132"/>
      <c r="F27" s="152"/>
      <c r="G27" s="163">
        <f t="shared" si="0"/>
        <v>173.29999999999995</v>
      </c>
      <c r="H27" s="28" t="s">
        <v>91</v>
      </c>
      <c r="I27" s="29"/>
      <c r="J27" s="7"/>
    </row>
    <row r="28" spans="1:10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173.29999999999995</v>
      </c>
      <c r="H28" s="28" t="s">
        <v>91</v>
      </c>
      <c r="I28" s="29"/>
      <c r="J28" s="7"/>
    </row>
    <row r="29" spans="1:10" ht="18" customHeight="1" x14ac:dyDescent="0.25">
      <c r="A29" s="14">
        <f t="shared" si="1"/>
        <v>21</v>
      </c>
      <c r="B29" s="39"/>
      <c r="C29" s="15"/>
      <c r="D29" s="14" t="s">
        <v>23</v>
      </c>
      <c r="E29" s="16"/>
      <c r="F29" s="119"/>
      <c r="G29" s="163">
        <f t="shared" si="0"/>
        <v>173.29999999999995</v>
      </c>
      <c r="H29" s="28" t="s">
        <v>91</v>
      </c>
      <c r="I29" s="29"/>
      <c r="J29" s="7"/>
    </row>
    <row r="30" spans="1:10" ht="18" customHeight="1" x14ac:dyDescent="0.25">
      <c r="A30" s="14">
        <f t="shared" si="1"/>
        <v>22</v>
      </c>
      <c r="B30" s="39"/>
      <c r="C30" s="15"/>
      <c r="D30" s="14" t="s">
        <v>23</v>
      </c>
      <c r="E30" s="132"/>
      <c r="F30" s="119"/>
      <c r="G30" s="163">
        <f t="shared" si="0"/>
        <v>173.29999999999995</v>
      </c>
      <c r="H30" s="28" t="s">
        <v>91</v>
      </c>
      <c r="I30" s="29"/>
      <c r="J30" s="7"/>
    </row>
    <row r="31" spans="1:10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173.29999999999995</v>
      </c>
      <c r="H31" s="28" t="s">
        <v>91</v>
      </c>
      <c r="I31" s="29"/>
      <c r="J31" s="7"/>
    </row>
    <row r="32" spans="1:10" ht="18" customHeight="1" x14ac:dyDescent="0.25">
      <c r="A32" s="14">
        <f t="shared" si="1"/>
        <v>24</v>
      </c>
      <c r="B32" s="39"/>
      <c r="C32" s="15"/>
      <c r="D32" s="14" t="s">
        <v>23</v>
      </c>
      <c r="E32" s="16"/>
      <c r="F32" s="119"/>
      <c r="G32" s="163">
        <f t="shared" si="0"/>
        <v>173.29999999999995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173.29999999999995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32"/>
      <c r="F34" s="119"/>
      <c r="G34" s="163">
        <f t="shared" si="0"/>
        <v>173.29999999999995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6"/>
      <c r="F35" s="119"/>
      <c r="G35" s="163">
        <f t="shared" si="0"/>
        <v>173.29999999999995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173.29999999999995</v>
      </c>
      <c r="H36" s="28"/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173.29999999999995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32"/>
      <c r="F38" s="119"/>
      <c r="G38" s="163">
        <f t="shared" si="0"/>
        <v>173.29999999999995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6"/>
      <c r="F39" s="119"/>
      <c r="G39" s="163">
        <f t="shared" si="0"/>
        <v>173.29999999999995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173.29999999999995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173.29999999999995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56"/>
      <c r="F42" s="157"/>
      <c r="G42" s="163">
        <f t="shared" si="0"/>
        <v>173.29999999999995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6"/>
      <c r="F43" s="119"/>
      <c r="G43" s="163">
        <f t="shared" si="0"/>
        <v>173.29999999999995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173.29999999999995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32"/>
      <c r="F45" s="119"/>
      <c r="G45" s="163">
        <f t="shared" si="0"/>
        <v>173.29999999999995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173.29999999999995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173.29999999999995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173.29999999999995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6"/>
      <c r="F49" s="119"/>
      <c r="G49" s="163">
        <f t="shared" si="0"/>
        <v>173.29999999999995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32"/>
      <c r="F50" s="119"/>
      <c r="G50" s="163">
        <f t="shared" si="0"/>
        <v>173.29999999999995</v>
      </c>
      <c r="H50" s="28"/>
      <c r="I50" s="29"/>
      <c r="J50" s="7"/>
    </row>
    <row r="51" spans="1:10" s="162" customFormat="1" ht="18" customHeight="1" x14ac:dyDescent="0.25">
      <c r="A51" s="14">
        <f t="shared" si="1"/>
        <v>43</v>
      </c>
      <c r="B51" s="159"/>
      <c r="C51" s="15"/>
      <c r="D51" s="14" t="s">
        <v>23</v>
      </c>
      <c r="E51" s="160"/>
      <c r="F51" s="161"/>
      <c r="G51" s="163">
        <f t="shared" si="0"/>
        <v>173.29999999999995</v>
      </c>
      <c r="H51" s="28"/>
      <c r="I51" s="29"/>
      <c r="J51" s="271"/>
    </row>
    <row r="52" spans="1:10" ht="18" customHeight="1" x14ac:dyDescent="0.25">
      <c r="A52" s="14">
        <f t="shared" si="1"/>
        <v>44</v>
      </c>
      <c r="B52" s="39"/>
      <c r="C52" s="15"/>
      <c r="D52" s="14" t="s">
        <v>23</v>
      </c>
      <c r="E52" s="16"/>
      <c r="F52" s="119"/>
      <c r="G52" s="163">
        <f t="shared" si="0"/>
        <v>173.29999999999995</v>
      </c>
      <c r="H52" s="28"/>
      <c r="I52" s="29"/>
      <c r="J52" s="7"/>
    </row>
    <row r="53" spans="1:10" ht="18" customHeight="1" x14ac:dyDescent="0.25">
      <c r="A53" s="14">
        <f t="shared" si="1"/>
        <v>45</v>
      </c>
      <c r="B53" s="39"/>
      <c r="C53" s="15"/>
      <c r="D53" s="14" t="s">
        <v>19</v>
      </c>
      <c r="E53" s="16"/>
      <c r="F53" s="119"/>
      <c r="G53" s="163">
        <f t="shared" si="0"/>
        <v>173.29999999999995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173.29999999999995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173.29999999999995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13"/>
      <c r="F56" s="119"/>
      <c r="G56" s="163">
        <f t="shared" si="0"/>
        <v>173.29999999999995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6"/>
      <c r="F57" s="119"/>
      <c r="G57" s="163">
        <f t="shared" si="0"/>
        <v>173.29999999999995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173.29999999999995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173.29999999999995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173.29999999999995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173.29999999999995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173.29999999999995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13"/>
      <c r="F63" s="119"/>
      <c r="G63" s="163">
        <f t="shared" si="0"/>
        <v>173.29999999999995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6"/>
      <c r="F64" s="119"/>
      <c r="G64" s="163">
        <f t="shared" si="0"/>
        <v>173.29999999999995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173.29999999999995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173.29999999999995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13"/>
      <c r="F67" s="119"/>
      <c r="G67" s="163">
        <f t="shared" si="0"/>
        <v>173.29999999999995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6"/>
      <c r="F68" s="119"/>
      <c r="G68" s="163">
        <f t="shared" si="0"/>
        <v>173.29999999999995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173.29999999999995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173.29999999999995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173.29999999999995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173.29999999999995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ref="G73:G112" si="2">+G72+E73-F73</f>
        <v>173.29999999999995</v>
      </c>
      <c r="H73" s="28"/>
      <c r="I73" s="29"/>
      <c r="J73" s="7"/>
    </row>
    <row r="74" spans="1:10" ht="18" customHeight="1" x14ac:dyDescent="0.25">
      <c r="A74" s="14">
        <f t="shared" ref="A74:A112" si="3">+A73+1</f>
        <v>66</v>
      </c>
      <c r="B74" s="39"/>
      <c r="C74" s="15"/>
      <c r="D74" s="14" t="s">
        <v>19</v>
      </c>
      <c r="E74" s="16"/>
      <c r="F74" s="119"/>
      <c r="G74" s="163">
        <f t="shared" si="2"/>
        <v>173.29999999999995</v>
      </c>
      <c r="H74" s="28"/>
      <c r="I74" s="29"/>
      <c r="J74" s="7"/>
    </row>
    <row r="75" spans="1:10" ht="18" customHeight="1" x14ac:dyDescent="0.25">
      <c r="A75" s="14">
        <f t="shared" si="3"/>
        <v>67</v>
      </c>
      <c r="B75" s="39"/>
      <c r="C75" s="15"/>
      <c r="D75" s="14" t="s">
        <v>19</v>
      </c>
      <c r="E75" s="16"/>
      <c r="F75" s="119"/>
      <c r="G75" s="163">
        <f t="shared" si="2"/>
        <v>173.29999999999995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173.29999999999995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173.29999999999995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173.29999999999995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173.29999999999995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173.29999999999995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173.29999999999995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173.29999999999995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173.29999999999995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173.29999999999995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173.29999999999995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173.29999999999995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173.29999999999995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173.29999999999995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173.29999999999995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173.29999999999995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173.29999999999995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173.29999999999995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173.29999999999995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173.29999999999995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173.29999999999995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173.29999999999995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173.29999999999995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173.29999999999995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173.29999999999995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173.29999999999995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173.29999999999995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173.29999999999995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173.29999999999995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173.29999999999995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173.29999999999995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173.29999999999995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/>
      <c r="E107" s="16"/>
      <c r="F107" s="119"/>
      <c r="G107" s="163">
        <f t="shared" si="2"/>
        <v>173.29999999999995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173.29999999999995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173.29999999999995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173.29999999999995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173.29999999999995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173.29999999999995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25.5</v>
      </c>
      <c r="F113" s="165">
        <f>SUM(F9:F112)</f>
        <v>211.89999999999998</v>
      </c>
      <c r="G113" s="35">
        <f>+E113-F113+G8</f>
        <v>173.3</v>
      </c>
      <c r="H113" s="35"/>
      <c r="I113" s="36"/>
      <c r="J113" s="7"/>
    </row>
  </sheetData>
  <mergeCells count="1">
    <mergeCell ref="A4:I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FFBF-ADFC-4149-B430-3A691D7A1E0D}">
  <sheetPr codeName="Sheet41"/>
  <dimension ref="A1:L114"/>
  <sheetViews>
    <sheetView workbookViewId="0">
      <selection activeCell="E9" sqref="E9:F23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171.8</v>
      </c>
      <c r="H8" s="7"/>
      <c r="I8" s="7"/>
      <c r="J8" s="7"/>
    </row>
    <row r="9" spans="1:12" ht="18" customHeight="1" x14ac:dyDescent="0.25">
      <c r="A9" s="14">
        <v>1</v>
      </c>
      <c r="B9" s="39"/>
      <c r="C9" s="15" t="s">
        <v>198</v>
      </c>
      <c r="D9" s="14" t="s">
        <v>23</v>
      </c>
      <c r="E9" s="143"/>
      <c r="F9" s="119"/>
      <c r="G9" s="163">
        <f t="shared" ref="G9:G73" si="0">+G8+E9-F9</f>
        <v>171.8</v>
      </c>
      <c r="H9" s="28" t="s">
        <v>91</v>
      </c>
      <c r="I9" s="29"/>
      <c r="J9" s="7">
        <v>2</v>
      </c>
      <c r="K9" s="349"/>
      <c r="L9" s="162"/>
    </row>
    <row r="10" spans="1:12" ht="18" customHeight="1" x14ac:dyDescent="0.25">
      <c r="A10" s="14">
        <f t="shared" ref="A10:A74" si="1">+A9+1</f>
        <v>2</v>
      </c>
      <c r="B10" s="39"/>
      <c r="C10" s="15" t="s">
        <v>198</v>
      </c>
      <c r="D10" s="14" t="s">
        <v>23</v>
      </c>
      <c r="E10" s="16"/>
      <c r="F10" s="152"/>
      <c r="G10" s="163">
        <f t="shared" si="0"/>
        <v>171.8</v>
      </c>
      <c r="H10" s="28" t="s">
        <v>91</v>
      </c>
      <c r="I10" s="29"/>
      <c r="J10" s="7">
        <v>4</v>
      </c>
    </row>
    <row r="11" spans="1:12" ht="18" customHeight="1" x14ac:dyDescent="0.25">
      <c r="A11" s="14">
        <f t="shared" si="1"/>
        <v>3</v>
      </c>
      <c r="B11" s="39"/>
      <c r="C11" s="15" t="s">
        <v>198</v>
      </c>
      <c r="D11" s="14" t="s">
        <v>23</v>
      </c>
      <c r="E11" s="143"/>
      <c r="F11" s="152"/>
      <c r="G11" s="163">
        <f t="shared" si="0"/>
        <v>171.8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/>
      <c r="C12" s="15" t="s">
        <v>198</v>
      </c>
      <c r="D12" s="14" t="s">
        <v>23</v>
      </c>
      <c r="E12" s="319"/>
      <c r="F12" s="152"/>
      <c r="G12" s="163">
        <f t="shared" si="0"/>
        <v>171.8</v>
      </c>
      <c r="H12" s="28" t="s">
        <v>91</v>
      </c>
      <c r="I12" s="29"/>
      <c r="J12" s="7">
        <v>12</v>
      </c>
    </row>
    <row r="13" spans="1:12" ht="18" customHeight="1" x14ac:dyDescent="0.25">
      <c r="A13" s="14">
        <f t="shared" si="1"/>
        <v>5</v>
      </c>
      <c r="B13" s="39"/>
      <c r="C13" s="15" t="s">
        <v>198</v>
      </c>
      <c r="D13" s="14" t="s">
        <v>23</v>
      </c>
      <c r="E13" s="135"/>
      <c r="F13" s="153"/>
      <c r="G13" s="163">
        <f t="shared" si="0"/>
        <v>171.8</v>
      </c>
      <c r="H13" s="28" t="s">
        <v>91</v>
      </c>
      <c r="I13" s="29"/>
      <c r="J13" s="7"/>
    </row>
    <row r="14" spans="1:12" ht="18" customHeight="1" x14ac:dyDescent="0.25">
      <c r="A14" s="14">
        <f t="shared" si="1"/>
        <v>6</v>
      </c>
      <c r="B14" s="39"/>
      <c r="C14" s="15" t="s">
        <v>198</v>
      </c>
      <c r="D14" s="14" t="s">
        <v>23</v>
      </c>
      <c r="E14" s="145"/>
      <c r="F14" s="153"/>
      <c r="G14" s="163">
        <f t="shared" si="0"/>
        <v>171.8</v>
      </c>
      <c r="H14" s="28" t="s">
        <v>91</v>
      </c>
      <c r="I14" s="29"/>
      <c r="J14" s="7"/>
    </row>
    <row r="15" spans="1:12" ht="18" customHeight="1" x14ac:dyDescent="0.25">
      <c r="A15" s="14">
        <f t="shared" si="1"/>
        <v>7</v>
      </c>
      <c r="B15" s="39"/>
      <c r="C15" s="15" t="s">
        <v>198</v>
      </c>
      <c r="D15" s="14" t="s">
        <v>23</v>
      </c>
      <c r="E15" s="145"/>
      <c r="F15" s="153"/>
      <c r="G15" s="163">
        <f t="shared" si="0"/>
        <v>171.8</v>
      </c>
      <c r="H15" s="28"/>
      <c r="I15" s="29"/>
      <c r="J15" s="7"/>
    </row>
    <row r="16" spans="1:12" ht="18" customHeight="1" x14ac:dyDescent="0.25">
      <c r="A16" s="14">
        <f t="shared" si="1"/>
        <v>8</v>
      </c>
      <c r="B16" s="39"/>
      <c r="C16" s="15" t="s">
        <v>198</v>
      </c>
      <c r="D16" s="14" t="s">
        <v>23</v>
      </c>
      <c r="E16" s="154"/>
      <c r="F16" s="153"/>
      <c r="G16" s="163">
        <f t="shared" si="0"/>
        <v>171.8</v>
      </c>
      <c r="H16" s="28" t="s">
        <v>91</v>
      </c>
      <c r="I16" s="29"/>
      <c r="J16" s="140"/>
    </row>
    <row r="17" spans="1:10" ht="18" customHeight="1" x14ac:dyDescent="0.25">
      <c r="A17" s="14">
        <f t="shared" si="1"/>
        <v>9</v>
      </c>
      <c r="B17" s="39"/>
      <c r="C17" s="15" t="s">
        <v>198</v>
      </c>
      <c r="D17" s="14" t="s">
        <v>23</v>
      </c>
      <c r="E17" s="113"/>
      <c r="F17" s="152"/>
      <c r="G17" s="163">
        <f t="shared" si="0"/>
        <v>171.8</v>
      </c>
      <c r="H17" s="28" t="s">
        <v>91</v>
      </c>
      <c r="I17" s="29"/>
      <c r="J17" s="7"/>
    </row>
    <row r="18" spans="1:10" ht="18" customHeight="1" x14ac:dyDescent="0.25">
      <c r="A18" s="14">
        <f t="shared" si="1"/>
        <v>10</v>
      </c>
      <c r="B18" s="39"/>
      <c r="D18" s="14" t="s">
        <v>23</v>
      </c>
      <c r="E18" s="132"/>
      <c r="F18" s="152"/>
      <c r="G18" s="163">
        <f t="shared" si="0"/>
        <v>171.8</v>
      </c>
      <c r="H18" s="28" t="s">
        <v>91</v>
      </c>
      <c r="I18" s="29"/>
      <c r="J18" s="7"/>
    </row>
    <row r="19" spans="1:10" ht="18" customHeight="1" x14ac:dyDescent="0.25">
      <c r="A19" s="14">
        <f t="shared" si="1"/>
        <v>11</v>
      </c>
      <c r="B19" s="39"/>
      <c r="C19" s="15"/>
      <c r="D19" s="14" t="s">
        <v>23</v>
      </c>
      <c r="E19" s="16"/>
      <c r="F19" s="152"/>
      <c r="G19" s="163">
        <f t="shared" si="0"/>
        <v>171.8</v>
      </c>
      <c r="H19" s="28" t="s">
        <v>91</v>
      </c>
      <c r="I19" s="29"/>
      <c r="J19" s="7"/>
    </row>
    <row r="20" spans="1:10" ht="18" customHeight="1" x14ac:dyDescent="0.25">
      <c r="A20" s="14">
        <f t="shared" si="1"/>
        <v>12</v>
      </c>
      <c r="B20" s="39"/>
      <c r="C20" s="15"/>
      <c r="D20" s="14" t="s">
        <v>23</v>
      </c>
      <c r="E20" s="16"/>
      <c r="F20" s="152"/>
      <c r="G20" s="163">
        <f t="shared" si="0"/>
        <v>171.8</v>
      </c>
      <c r="H20" s="28" t="s">
        <v>91</v>
      </c>
      <c r="I20" s="29"/>
      <c r="J20" s="7"/>
    </row>
    <row r="21" spans="1:10" ht="18" customHeight="1" x14ac:dyDescent="0.25">
      <c r="A21" s="14">
        <f t="shared" si="1"/>
        <v>13</v>
      </c>
      <c r="B21" s="39"/>
      <c r="C21" s="15"/>
      <c r="D21" s="14" t="s">
        <v>23</v>
      </c>
      <c r="E21" s="132"/>
      <c r="F21" s="152"/>
      <c r="G21" s="163">
        <f t="shared" si="0"/>
        <v>171.8</v>
      </c>
      <c r="H21" s="28" t="s">
        <v>129</v>
      </c>
      <c r="I21" s="29"/>
      <c r="J21" s="7"/>
    </row>
    <row r="22" spans="1:10" ht="18" customHeight="1" x14ac:dyDescent="0.25">
      <c r="A22" s="14">
        <f t="shared" si="1"/>
        <v>14</v>
      </c>
      <c r="B22" s="42"/>
      <c r="C22" s="15"/>
      <c r="D22" s="14" t="s">
        <v>23</v>
      </c>
      <c r="E22" s="132"/>
      <c r="F22" s="152"/>
      <c r="G22" s="163">
        <f t="shared" si="0"/>
        <v>171.8</v>
      </c>
      <c r="H22" s="28" t="s">
        <v>91</v>
      </c>
      <c r="I22" s="29"/>
      <c r="J22" s="7"/>
    </row>
    <row r="23" spans="1:10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171.8</v>
      </c>
      <c r="H23" s="28" t="s">
        <v>91</v>
      </c>
      <c r="I23" s="29"/>
      <c r="J23" s="7"/>
    </row>
    <row r="24" spans="1:10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2"/>
      <c r="G24" s="163">
        <f t="shared" si="0"/>
        <v>171.8</v>
      </c>
      <c r="H24" s="28" t="s">
        <v>91</v>
      </c>
      <c r="I24" s="29"/>
      <c r="J24" s="7"/>
    </row>
    <row r="25" spans="1:10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5"/>
      <c r="G25" s="163">
        <f t="shared" si="0"/>
        <v>171.8</v>
      </c>
      <c r="H25" s="28" t="s">
        <v>91</v>
      </c>
      <c r="I25" s="29"/>
      <c r="J25" s="7"/>
    </row>
    <row r="26" spans="1:10" ht="18" customHeight="1" x14ac:dyDescent="0.25">
      <c r="A26" s="14">
        <f t="shared" si="1"/>
        <v>18</v>
      </c>
      <c r="B26" s="39"/>
      <c r="C26" s="15"/>
      <c r="D26" s="14" t="s">
        <v>23</v>
      </c>
      <c r="E26" s="132"/>
      <c r="F26" s="152"/>
      <c r="G26" s="163">
        <f t="shared" si="0"/>
        <v>171.8</v>
      </c>
      <c r="H26" s="28" t="s">
        <v>91</v>
      </c>
      <c r="I26" s="29"/>
      <c r="J26" s="7"/>
    </row>
    <row r="27" spans="1:10" ht="18" customHeight="1" x14ac:dyDescent="0.25">
      <c r="A27" s="14">
        <f t="shared" si="1"/>
        <v>19</v>
      </c>
      <c r="B27" s="39"/>
      <c r="C27" s="15"/>
      <c r="D27" s="14" t="s">
        <v>23</v>
      </c>
      <c r="E27" s="16"/>
      <c r="F27" s="152"/>
      <c r="G27" s="163">
        <f t="shared" si="0"/>
        <v>171.8</v>
      </c>
      <c r="H27" s="28" t="s">
        <v>91</v>
      </c>
      <c r="I27" s="29"/>
      <c r="J27" s="7"/>
    </row>
    <row r="28" spans="1:10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171.8</v>
      </c>
      <c r="H28" s="28" t="s">
        <v>91</v>
      </c>
      <c r="I28" s="29"/>
      <c r="J28" s="7"/>
    </row>
    <row r="29" spans="1:10" ht="18" customHeight="1" x14ac:dyDescent="0.25">
      <c r="A29" s="14">
        <f t="shared" si="1"/>
        <v>21</v>
      </c>
      <c r="B29" s="39"/>
      <c r="C29" s="15"/>
      <c r="D29" s="14" t="s">
        <v>23</v>
      </c>
      <c r="E29" s="132"/>
      <c r="F29" s="152"/>
      <c r="G29" s="163">
        <f t="shared" si="0"/>
        <v>171.8</v>
      </c>
      <c r="H29" s="28" t="s">
        <v>91</v>
      </c>
      <c r="I29" s="29"/>
      <c r="J29" s="7"/>
    </row>
    <row r="30" spans="1:10" ht="18" customHeight="1" x14ac:dyDescent="0.25">
      <c r="A30" s="14">
        <f t="shared" si="1"/>
        <v>22</v>
      </c>
      <c r="B30" s="39"/>
      <c r="C30" s="15"/>
      <c r="D30" s="14" t="s">
        <v>23</v>
      </c>
      <c r="E30" s="16"/>
      <c r="F30" s="119"/>
      <c r="G30" s="163">
        <f t="shared" si="0"/>
        <v>171.8</v>
      </c>
      <c r="H30" s="28" t="s">
        <v>91</v>
      </c>
      <c r="I30" s="29"/>
      <c r="J30" s="7"/>
    </row>
    <row r="31" spans="1:10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171.8</v>
      </c>
      <c r="H31" s="28" t="s">
        <v>91</v>
      </c>
      <c r="I31" s="29"/>
      <c r="J31" s="7"/>
    </row>
    <row r="32" spans="1:10" ht="18" customHeight="1" x14ac:dyDescent="0.25">
      <c r="A32" s="14">
        <f t="shared" si="1"/>
        <v>24</v>
      </c>
      <c r="B32" s="39"/>
      <c r="C32" s="15"/>
      <c r="D32" s="14" t="s">
        <v>23</v>
      </c>
      <c r="E32" s="132"/>
      <c r="F32" s="119"/>
      <c r="G32" s="163">
        <f t="shared" si="0"/>
        <v>171.8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171.8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6"/>
      <c r="F34" s="119"/>
      <c r="G34" s="163">
        <f t="shared" si="0"/>
        <v>171.8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32"/>
      <c r="F35" s="119"/>
      <c r="G35" s="163">
        <f t="shared" si="0"/>
        <v>171.8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171.8</v>
      </c>
      <c r="H36" s="28" t="s">
        <v>91</v>
      </c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171.8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6"/>
      <c r="F38" s="119"/>
      <c r="G38" s="163">
        <f t="shared" si="0"/>
        <v>171.8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32"/>
      <c r="F39" s="119"/>
      <c r="G39" s="163">
        <f t="shared" si="0"/>
        <v>171.8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171.8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171.8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6"/>
      <c r="F42" s="119"/>
      <c r="G42" s="163">
        <f t="shared" si="0"/>
        <v>171.8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56"/>
      <c r="F43" s="157"/>
      <c r="G43" s="163">
        <f t="shared" si="0"/>
        <v>171.8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171.8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6"/>
      <c r="F45" s="119"/>
      <c r="G45" s="163">
        <f t="shared" si="0"/>
        <v>171.8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171.8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171.8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171.8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32"/>
      <c r="F49" s="119"/>
      <c r="G49" s="163">
        <f t="shared" si="0"/>
        <v>171.8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6"/>
      <c r="F50" s="119"/>
      <c r="G50" s="163">
        <f t="shared" si="0"/>
        <v>171.8</v>
      </c>
      <c r="H50" s="28"/>
      <c r="I50" s="29"/>
      <c r="J50" s="7"/>
    </row>
    <row r="51" spans="1:10" ht="18" customHeight="1" x14ac:dyDescent="0.25">
      <c r="A51" s="14">
        <f t="shared" si="1"/>
        <v>43</v>
      </c>
      <c r="B51" s="39"/>
      <c r="C51" s="15"/>
      <c r="D51" s="14" t="s">
        <v>23</v>
      </c>
      <c r="E51" s="132"/>
      <c r="F51" s="119"/>
      <c r="G51" s="163">
        <f t="shared" si="0"/>
        <v>171.8</v>
      </c>
      <c r="H51" s="28"/>
      <c r="I51" s="29"/>
      <c r="J51" s="7"/>
    </row>
    <row r="52" spans="1:10" s="162" customFormat="1" ht="18" customHeight="1" x14ac:dyDescent="0.25">
      <c r="A52" s="14">
        <f t="shared" si="1"/>
        <v>44</v>
      </c>
      <c r="B52" s="159"/>
      <c r="C52" s="15"/>
      <c r="D52" s="14" t="s">
        <v>23</v>
      </c>
      <c r="E52" s="160"/>
      <c r="F52" s="161"/>
      <c r="G52" s="163">
        <f t="shared" si="0"/>
        <v>171.8</v>
      </c>
      <c r="H52" s="28"/>
      <c r="I52" s="29"/>
      <c r="J52" s="271"/>
    </row>
    <row r="53" spans="1:10" ht="18" customHeight="1" x14ac:dyDescent="0.25">
      <c r="A53" s="14">
        <f t="shared" si="1"/>
        <v>45</v>
      </c>
      <c r="B53" s="39"/>
      <c r="C53" s="15"/>
      <c r="D53" s="14" t="s">
        <v>23</v>
      </c>
      <c r="E53" s="16"/>
      <c r="F53" s="119"/>
      <c r="G53" s="163">
        <f t="shared" si="0"/>
        <v>171.8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171.8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171.8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6"/>
      <c r="F56" s="119"/>
      <c r="G56" s="163">
        <f t="shared" si="0"/>
        <v>171.8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13"/>
      <c r="F57" s="119"/>
      <c r="G57" s="163">
        <f t="shared" si="0"/>
        <v>171.8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171.8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171.8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171.8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171.8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171.8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6"/>
      <c r="F63" s="119"/>
      <c r="G63" s="163">
        <f t="shared" si="0"/>
        <v>171.8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13"/>
      <c r="F64" s="119"/>
      <c r="G64" s="163">
        <f t="shared" si="0"/>
        <v>171.8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171.8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171.8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6"/>
      <c r="F67" s="119"/>
      <c r="G67" s="163">
        <f t="shared" si="0"/>
        <v>171.8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13"/>
      <c r="F68" s="119"/>
      <c r="G68" s="163">
        <f t="shared" si="0"/>
        <v>171.8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171.8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171.8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171.8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171.8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si="0"/>
        <v>171.8</v>
      </c>
      <c r="H73" s="28"/>
      <c r="I73" s="29"/>
      <c r="J73" s="7"/>
    </row>
    <row r="74" spans="1:10" ht="18" customHeight="1" x14ac:dyDescent="0.25">
      <c r="A74" s="14">
        <f t="shared" si="1"/>
        <v>66</v>
      </c>
      <c r="B74" s="39"/>
      <c r="C74" s="15"/>
      <c r="D74" s="14" t="s">
        <v>19</v>
      </c>
      <c r="E74" s="16"/>
      <c r="F74" s="119"/>
      <c r="G74" s="163">
        <f t="shared" ref="G74:G113" si="2">+G73+E74-F74</f>
        <v>171.8</v>
      </c>
      <c r="H74" s="28"/>
      <c r="I74" s="29"/>
      <c r="J74" s="7"/>
    </row>
    <row r="75" spans="1:10" ht="18" customHeight="1" x14ac:dyDescent="0.25">
      <c r="A75" s="14">
        <f t="shared" ref="A75:A113" si="3">+A74+1</f>
        <v>67</v>
      </c>
      <c r="B75" s="39"/>
      <c r="C75" s="15"/>
      <c r="D75" s="14" t="s">
        <v>19</v>
      </c>
      <c r="E75" s="16"/>
      <c r="F75" s="119"/>
      <c r="G75" s="163">
        <f t="shared" si="2"/>
        <v>171.8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171.8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171.8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171.8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171.8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171.8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171.8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171.8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171.8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171.8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171.8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171.8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171.8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171.8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171.8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171.8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171.8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171.8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171.8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171.8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171.8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171.8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171.8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171.8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171.8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171.8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171.8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171.8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171.8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171.8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171.8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171.8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 t="s">
        <v>19</v>
      </c>
      <c r="E107" s="16"/>
      <c r="F107" s="119"/>
      <c r="G107" s="163">
        <f t="shared" si="2"/>
        <v>171.8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171.8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171.8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171.8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171.8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4"/>
      <c r="E112" s="16"/>
      <c r="F112" s="119"/>
      <c r="G112" s="163">
        <f t="shared" si="2"/>
        <v>171.8</v>
      </c>
      <c r="H112" s="28"/>
      <c r="I112" s="29"/>
      <c r="J112" s="7"/>
    </row>
    <row r="113" spans="1:10" ht="18" customHeight="1" x14ac:dyDescent="0.25">
      <c r="A113" s="14">
        <f t="shared" si="3"/>
        <v>105</v>
      </c>
      <c r="B113" s="39"/>
      <c r="C113" s="15"/>
      <c r="D113" s="133"/>
      <c r="E113" s="16"/>
      <c r="F113" s="119"/>
      <c r="G113" s="163">
        <f t="shared" si="2"/>
        <v>171.8</v>
      </c>
      <c r="H113" s="28"/>
      <c r="I113" s="29"/>
      <c r="J113" s="7"/>
    </row>
    <row r="114" spans="1:10" x14ac:dyDescent="0.25">
      <c r="A114" s="7"/>
      <c r="B114" s="7"/>
      <c r="C114" s="34" t="s">
        <v>13</v>
      </c>
      <c r="D114" s="7"/>
      <c r="E114" s="164">
        <f>SUM(E9:E113)</f>
        <v>0</v>
      </c>
      <c r="F114" s="165">
        <f>SUM(F9:F113)</f>
        <v>0</v>
      </c>
      <c r="G114" s="35">
        <f>+E114-F114+G8</f>
        <v>171.8</v>
      </c>
      <c r="H114" s="35"/>
      <c r="I114" s="36"/>
      <c r="J114" s="7"/>
    </row>
  </sheetData>
  <mergeCells count="1">
    <mergeCell ref="A4:I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2033-C613-4DAC-A94B-794EDC5F470A}">
  <sheetPr codeName="Sheet42"/>
  <dimension ref="A1:L113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256.60000000000002</v>
      </c>
      <c r="H8" s="7"/>
      <c r="I8" s="7"/>
      <c r="J8" s="7"/>
    </row>
    <row r="9" spans="1:12" ht="18" customHeight="1" x14ac:dyDescent="0.25">
      <c r="A9" s="14">
        <v>1</v>
      </c>
      <c r="B9" s="39">
        <v>45895</v>
      </c>
      <c r="C9" s="15" t="s">
        <v>197</v>
      </c>
      <c r="D9" s="14" t="s">
        <v>23</v>
      </c>
      <c r="E9" s="51"/>
      <c r="F9" s="119">
        <v>9.5</v>
      </c>
      <c r="G9" s="163">
        <f t="shared" ref="G9:G72" si="0">+G8+E9-F9</f>
        <v>247.10000000000002</v>
      </c>
      <c r="H9" s="28" t="s">
        <v>91</v>
      </c>
      <c r="I9" s="29"/>
      <c r="J9" s="7">
        <v>2</v>
      </c>
      <c r="K9" s="349"/>
      <c r="L9" s="162"/>
    </row>
    <row r="10" spans="1:12" ht="18" customHeight="1" x14ac:dyDescent="0.25">
      <c r="A10" s="14">
        <f t="shared" ref="A10:A73" si="1">+A9+1</f>
        <v>2</v>
      </c>
      <c r="B10" s="39">
        <v>45896</v>
      </c>
      <c r="C10" s="15" t="s">
        <v>197</v>
      </c>
      <c r="D10" s="14" t="s">
        <v>23</v>
      </c>
      <c r="E10" s="16"/>
      <c r="F10" s="152">
        <v>13.7</v>
      </c>
      <c r="G10" s="163">
        <f t="shared" si="0"/>
        <v>233.40000000000003</v>
      </c>
      <c r="H10" s="28" t="s">
        <v>91</v>
      </c>
      <c r="I10" s="29"/>
      <c r="J10" s="7">
        <v>7</v>
      </c>
    </row>
    <row r="11" spans="1:12" ht="18" customHeight="1" x14ac:dyDescent="0.25">
      <c r="A11" s="14">
        <f t="shared" si="1"/>
        <v>3</v>
      </c>
      <c r="B11" s="39">
        <v>45898</v>
      </c>
      <c r="C11" s="15" t="s">
        <v>197</v>
      </c>
      <c r="D11" s="14" t="s">
        <v>23</v>
      </c>
      <c r="E11" s="143"/>
      <c r="F11" s="152">
        <v>13.9</v>
      </c>
      <c r="G11" s="163">
        <f t="shared" si="0"/>
        <v>219.50000000000003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/>
      <c r="C12" s="15" t="s">
        <v>197</v>
      </c>
      <c r="D12" s="14" t="s">
        <v>23</v>
      </c>
      <c r="E12" s="319"/>
      <c r="F12" s="152"/>
      <c r="G12" s="163">
        <f t="shared" si="0"/>
        <v>219.50000000000003</v>
      </c>
      <c r="H12" s="28" t="s">
        <v>129</v>
      </c>
      <c r="I12" s="29"/>
      <c r="J12" s="7"/>
    </row>
    <row r="13" spans="1:12" ht="18" customHeight="1" x14ac:dyDescent="0.25">
      <c r="A13" s="14">
        <f t="shared" si="1"/>
        <v>5</v>
      </c>
      <c r="B13" s="39"/>
      <c r="C13" s="15" t="s">
        <v>197</v>
      </c>
      <c r="D13" s="14" t="s">
        <v>23</v>
      </c>
      <c r="E13" s="135"/>
      <c r="F13" s="153"/>
      <c r="G13" s="163">
        <f t="shared" si="0"/>
        <v>219.50000000000003</v>
      </c>
      <c r="H13" s="28" t="s">
        <v>129</v>
      </c>
      <c r="I13" s="29"/>
      <c r="J13" s="7"/>
    </row>
    <row r="14" spans="1:12" ht="18" customHeight="1" x14ac:dyDescent="0.25">
      <c r="A14" s="14">
        <f t="shared" si="1"/>
        <v>6</v>
      </c>
      <c r="B14" s="39"/>
      <c r="C14" s="15" t="s">
        <v>197</v>
      </c>
      <c r="D14" s="14" t="s">
        <v>23</v>
      </c>
      <c r="E14" s="145"/>
      <c r="F14" s="153"/>
      <c r="G14" s="163">
        <f t="shared" si="0"/>
        <v>219.50000000000003</v>
      </c>
      <c r="H14" s="28" t="s">
        <v>129</v>
      </c>
      <c r="I14" s="29"/>
      <c r="J14" s="7"/>
    </row>
    <row r="15" spans="1:12" ht="18" customHeight="1" x14ac:dyDescent="0.25">
      <c r="A15" s="14">
        <f t="shared" si="1"/>
        <v>7</v>
      </c>
      <c r="B15" s="39"/>
      <c r="C15" s="15"/>
      <c r="D15" s="14" t="s">
        <v>23</v>
      </c>
      <c r="E15" s="154"/>
      <c r="F15" s="153"/>
      <c r="G15" s="163">
        <f t="shared" si="0"/>
        <v>219.50000000000003</v>
      </c>
      <c r="H15" s="28" t="s">
        <v>129</v>
      </c>
      <c r="I15" s="29"/>
      <c r="J15" s="140"/>
    </row>
    <row r="16" spans="1:12" ht="18" customHeight="1" x14ac:dyDescent="0.25">
      <c r="A16" s="14">
        <f t="shared" si="1"/>
        <v>8</v>
      </c>
      <c r="B16" s="39"/>
      <c r="C16" s="15"/>
      <c r="D16" s="14" t="s">
        <v>23</v>
      </c>
      <c r="E16" s="113"/>
      <c r="F16" s="152"/>
      <c r="G16" s="163">
        <f t="shared" si="0"/>
        <v>219.50000000000003</v>
      </c>
      <c r="H16" s="28" t="s">
        <v>129</v>
      </c>
      <c r="I16" s="29"/>
      <c r="J16" s="7"/>
    </row>
    <row r="17" spans="1:10" ht="18" customHeight="1" x14ac:dyDescent="0.25">
      <c r="A17" s="14">
        <f t="shared" si="1"/>
        <v>9</v>
      </c>
      <c r="B17" s="39"/>
      <c r="C17" s="15"/>
      <c r="D17" s="14" t="s">
        <v>23</v>
      </c>
      <c r="E17" s="132"/>
      <c r="F17" s="152"/>
      <c r="G17" s="163">
        <f t="shared" si="0"/>
        <v>219.50000000000003</v>
      </c>
      <c r="H17" s="28" t="s">
        <v>129</v>
      </c>
      <c r="I17" s="29"/>
      <c r="J17" s="7"/>
    </row>
    <row r="18" spans="1:10" ht="18" customHeight="1" x14ac:dyDescent="0.25">
      <c r="A18" s="14">
        <f t="shared" si="1"/>
        <v>10</v>
      </c>
      <c r="B18" s="39"/>
      <c r="C18" s="15"/>
      <c r="D18" s="14" t="s">
        <v>23</v>
      </c>
      <c r="E18" s="16"/>
      <c r="F18" s="152"/>
      <c r="G18" s="163">
        <f t="shared" si="0"/>
        <v>219.50000000000003</v>
      </c>
      <c r="H18" s="28" t="s">
        <v>129</v>
      </c>
      <c r="I18" s="29"/>
      <c r="J18" s="7"/>
    </row>
    <row r="19" spans="1:10" ht="18" customHeight="1" x14ac:dyDescent="0.25">
      <c r="A19" s="14">
        <f t="shared" si="1"/>
        <v>11</v>
      </c>
      <c r="B19" s="39"/>
      <c r="C19" s="15"/>
      <c r="D19" s="14" t="s">
        <v>23</v>
      </c>
      <c r="E19" s="16"/>
      <c r="F19" s="152"/>
      <c r="G19" s="163">
        <f t="shared" si="0"/>
        <v>219.50000000000003</v>
      </c>
      <c r="H19" s="28" t="s">
        <v>129</v>
      </c>
      <c r="I19" s="29"/>
      <c r="J19" s="7"/>
    </row>
    <row r="20" spans="1:10" ht="18" customHeight="1" x14ac:dyDescent="0.25">
      <c r="A20" s="14">
        <f t="shared" si="1"/>
        <v>12</v>
      </c>
      <c r="B20" s="39"/>
      <c r="C20" s="15"/>
      <c r="D20" s="14" t="s">
        <v>23</v>
      </c>
      <c r="E20" s="132"/>
      <c r="F20" s="152"/>
      <c r="G20" s="163">
        <f t="shared" si="0"/>
        <v>219.50000000000003</v>
      </c>
      <c r="H20" s="28" t="s">
        <v>129</v>
      </c>
      <c r="I20" s="29"/>
      <c r="J20" s="7"/>
    </row>
    <row r="21" spans="1:10" ht="18" customHeight="1" x14ac:dyDescent="0.25">
      <c r="A21" s="14">
        <f t="shared" si="1"/>
        <v>13</v>
      </c>
      <c r="B21" s="42"/>
      <c r="C21" s="15"/>
      <c r="D21" s="14" t="s">
        <v>23</v>
      </c>
      <c r="E21" s="132"/>
      <c r="F21" s="152"/>
      <c r="G21" s="163">
        <f t="shared" si="0"/>
        <v>219.50000000000003</v>
      </c>
      <c r="H21" s="28" t="s">
        <v>91</v>
      </c>
      <c r="I21" s="29"/>
      <c r="J21" s="7"/>
    </row>
    <row r="22" spans="1:10" ht="18" customHeight="1" x14ac:dyDescent="0.25">
      <c r="A22" s="14">
        <f t="shared" si="1"/>
        <v>14</v>
      </c>
      <c r="B22" s="39"/>
      <c r="C22" s="15"/>
      <c r="D22" s="14" t="s">
        <v>23</v>
      </c>
      <c r="E22" s="132"/>
      <c r="F22" s="152"/>
      <c r="G22" s="163">
        <f t="shared" si="0"/>
        <v>219.50000000000003</v>
      </c>
      <c r="H22" s="28" t="s">
        <v>91</v>
      </c>
      <c r="I22" s="29"/>
      <c r="J22" s="7"/>
    </row>
    <row r="23" spans="1:10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219.50000000000003</v>
      </c>
      <c r="H23" s="28" t="s">
        <v>91</v>
      </c>
      <c r="I23" s="29"/>
      <c r="J23" s="7"/>
    </row>
    <row r="24" spans="1:10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5"/>
      <c r="G24" s="163">
        <f t="shared" si="0"/>
        <v>219.50000000000003</v>
      </c>
      <c r="H24" s="28" t="s">
        <v>91</v>
      </c>
      <c r="I24" s="29"/>
      <c r="J24" s="7"/>
    </row>
    <row r="25" spans="1:10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2"/>
      <c r="G25" s="163">
        <f t="shared" si="0"/>
        <v>219.50000000000003</v>
      </c>
      <c r="H25" s="28" t="s">
        <v>91</v>
      </c>
      <c r="I25" s="29"/>
      <c r="J25" s="7"/>
    </row>
    <row r="26" spans="1:10" ht="18" customHeight="1" x14ac:dyDescent="0.25">
      <c r="A26" s="14">
        <f t="shared" si="1"/>
        <v>18</v>
      </c>
      <c r="B26" s="39"/>
      <c r="C26" s="15"/>
      <c r="D26" s="14" t="s">
        <v>23</v>
      </c>
      <c r="E26" s="16"/>
      <c r="F26" s="152"/>
      <c r="G26" s="163">
        <f t="shared" si="0"/>
        <v>219.50000000000003</v>
      </c>
      <c r="H26" s="28" t="s">
        <v>91</v>
      </c>
      <c r="I26" s="29"/>
      <c r="J26" s="7"/>
    </row>
    <row r="27" spans="1:10" ht="18" customHeight="1" x14ac:dyDescent="0.25">
      <c r="A27" s="14">
        <f t="shared" si="1"/>
        <v>19</v>
      </c>
      <c r="B27" s="39"/>
      <c r="C27" s="15"/>
      <c r="D27" s="14" t="s">
        <v>23</v>
      </c>
      <c r="E27" s="132"/>
      <c r="F27" s="152"/>
      <c r="G27" s="163">
        <f t="shared" si="0"/>
        <v>219.50000000000003</v>
      </c>
      <c r="H27" s="28" t="s">
        <v>91</v>
      </c>
      <c r="I27" s="29"/>
      <c r="J27" s="7"/>
    </row>
    <row r="28" spans="1:10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219.50000000000003</v>
      </c>
      <c r="H28" s="28" t="s">
        <v>91</v>
      </c>
      <c r="I28" s="29"/>
      <c r="J28" s="7"/>
    </row>
    <row r="29" spans="1:10" ht="18" customHeight="1" x14ac:dyDescent="0.25">
      <c r="A29" s="14">
        <f t="shared" si="1"/>
        <v>21</v>
      </c>
      <c r="B29" s="39"/>
      <c r="C29" s="15"/>
      <c r="D29" s="14" t="s">
        <v>23</v>
      </c>
      <c r="E29" s="16"/>
      <c r="F29" s="119"/>
      <c r="G29" s="163">
        <f t="shared" si="0"/>
        <v>219.50000000000003</v>
      </c>
      <c r="H29" s="28" t="s">
        <v>91</v>
      </c>
      <c r="I29" s="29"/>
      <c r="J29" s="7"/>
    </row>
    <row r="30" spans="1:10" ht="18" customHeight="1" x14ac:dyDescent="0.25">
      <c r="A30" s="14">
        <f t="shared" si="1"/>
        <v>22</v>
      </c>
      <c r="B30" s="39"/>
      <c r="C30" s="15"/>
      <c r="D30" s="14" t="s">
        <v>23</v>
      </c>
      <c r="E30" s="132"/>
      <c r="F30" s="119"/>
      <c r="G30" s="163">
        <f t="shared" si="0"/>
        <v>219.50000000000003</v>
      </c>
      <c r="H30" s="28" t="s">
        <v>91</v>
      </c>
      <c r="I30" s="29"/>
      <c r="J30" s="7"/>
    </row>
    <row r="31" spans="1:10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219.50000000000003</v>
      </c>
      <c r="H31" s="28" t="s">
        <v>91</v>
      </c>
      <c r="I31" s="29"/>
      <c r="J31" s="7"/>
    </row>
    <row r="32" spans="1:10" ht="18" customHeight="1" x14ac:dyDescent="0.25">
      <c r="A32" s="14">
        <f t="shared" si="1"/>
        <v>24</v>
      </c>
      <c r="B32" s="39"/>
      <c r="C32" s="15"/>
      <c r="D32" s="14" t="s">
        <v>23</v>
      </c>
      <c r="E32" s="16"/>
      <c r="F32" s="119"/>
      <c r="G32" s="163">
        <f t="shared" si="0"/>
        <v>219.50000000000003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219.50000000000003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32"/>
      <c r="F34" s="119"/>
      <c r="G34" s="163">
        <f t="shared" si="0"/>
        <v>219.50000000000003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6"/>
      <c r="F35" s="119"/>
      <c r="G35" s="163">
        <f t="shared" si="0"/>
        <v>219.50000000000003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219.50000000000003</v>
      </c>
      <c r="H36" s="28"/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219.50000000000003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32"/>
      <c r="F38" s="119"/>
      <c r="G38" s="163">
        <f t="shared" si="0"/>
        <v>219.50000000000003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6"/>
      <c r="F39" s="119"/>
      <c r="G39" s="163">
        <f t="shared" si="0"/>
        <v>219.50000000000003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219.50000000000003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219.50000000000003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56"/>
      <c r="F42" s="157"/>
      <c r="G42" s="163">
        <f t="shared" si="0"/>
        <v>219.50000000000003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6"/>
      <c r="F43" s="119"/>
      <c r="G43" s="163">
        <f t="shared" si="0"/>
        <v>219.50000000000003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219.50000000000003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32"/>
      <c r="F45" s="119"/>
      <c r="G45" s="163">
        <f t="shared" si="0"/>
        <v>219.50000000000003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219.50000000000003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219.50000000000003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219.50000000000003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6"/>
      <c r="F49" s="119"/>
      <c r="G49" s="163">
        <f t="shared" si="0"/>
        <v>219.50000000000003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32"/>
      <c r="F50" s="119"/>
      <c r="G50" s="163">
        <f t="shared" si="0"/>
        <v>219.50000000000003</v>
      </c>
      <c r="H50" s="28"/>
      <c r="I50" s="29"/>
      <c r="J50" s="7"/>
    </row>
    <row r="51" spans="1:10" s="162" customFormat="1" ht="18" customHeight="1" x14ac:dyDescent="0.25">
      <c r="A51" s="14">
        <f t="shared" si="1"/>
        <v>43</v>
      </c>
      <c r="B51" s="159"/>
      <c r="C51" s="15"/>
      <c r="D51" s="14" t="s">
        <v>23</v>
      </c>
      <c r="E51" s="160"/>
      <c r="F51" s="161"/>
      <c r="G51" s="163">
        <f t="shared" si="0"/>
        <v>219.50000000000003</v>
      </c>
      <c r="H51" s="28"/>
      <c r="I51" s="29"/>
      <c r="J51" s="271"/>
    </row>
    <row r="52" spans="1:10" ht="18" customHeight="1" x14ac:dyDescent="0.25">
      <c r="A52" s="14">
        <f t="shared" si="1"/>
        <v>44</v>
      </c>
      <c r="B52" s="39"/>
      <c r="C52" s="15"/>
      <c r="D52" s="14" t="s">
        <v>23</v>
      </c>
      <c r="E52" s="16"/>
      <c r="F52" s="119"/>
      <c r="G52" s="163">
        <f t="shared" si="0"/>
        <v>219.50000000000003</v>
      </c>
      <c r="H52" s="28"/>
      <c r="I52" s="29"/>
      <c r="J52" s="7"/>
    </row>
    <row r="53" spans="1:10" ht="18" customHeight="1" x14ac:dyDescent="0.25">
      <c r="A53" s="14">
        <f t="shared" si="1"/>
        <v>45</v>
      </c>
      <c r="B53" s="39"/>
      <c r="C53" s="15"/>
      <c r="D53" s="14" t="s">
        <v>19</v>
      </c>
      <c r="E53" s="16"/>
      <c r="F53" s="119"/>
      <c r="G53" s="163">
        <f t="shared" si="0"/>
        <v>219.50000000000003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219.50000000000003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219.50000000000003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13"/>
      <c r="F56" s="119"/>
      <c r="G56" s="163">
        <f t="shared" si="0"/>
        <v>219.50000000000003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6"/>
      <c r="F57" s="119"/>
      <c r="G57" s="163">
        <f t="shared" si="0"/>
        <v>219.50000000000003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219.50000000000003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219.50000000000003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219.50000000000003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219.50000000000003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219.50000000000003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13"/>
      <c r="F63" s="119"/>
      <c r="G63" s="163">
        <f t="shared" si="0"/>
        <v>219.50000000000003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6"/>
      <c r="F64" s="119"/>
      <c r="G64" s="163">
        <f t="shared" si="0"/>
        <v>219.50000000000003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219.50000000000003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219.50000000000003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13"/>
      <c r="F67" s="119"/>
      <c r="G67" s="163">
        <f t="shared" si="0"/>
        <v>219.50000000000003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6"/>
      <c r="F68" s="119"/>
      <c r="G68" s="163">
        <f t="shared" si="0"/>
        <v>219.50000000000003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219.50000000000003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219.50000000000003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219.50000000000003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219.50000000000003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ref="G73:G112" si="2">+G72+E73-F73</f>
        <v>219.50000000000003</v>
      </c>
      <c r="H73" s="28"/>
      <c r="I73" s="29"/>
      <c r="J73" s="7"/>
    </row>
    <row r="74" spans="1:10" ht="18" customHeight="1" x14ac:dyDescent="0.25">
      <c r="A74" s="14">
        <f t="shared" ref="A74:A112" si="3">+A73+1</f>
        <v>66</v>
      </c>
      <c r="B74" s="39"/>
      <c r="C74" s="15"/>
      <c r="D74" s="14" t="s">
        <v>19</v>
      </c>
      <c r="E74" s="16"/>
      <c r="F74" s="119"/>
      <c r="G74" s="163">
        <f t="shared" si="2"/>
        <v>219.50000000000003</v>
      </c>
      <c r="H74" s="28"/>
      <c r="I74" s="29"/>
      <c r="J74" s="7"/>
    </row>
    <row r="75" spans="1:10" ht="18" customHeight="1" x14ac:dyDescent="0.25">
      <c r="A75" s="14">
        <f t="shared" si="3"/>
        <v>67</v>
      </c>
      <c r="B75" s="39"/>
      <c r="C75" s="15"/>
      <c r="D75" s="14" t="s">
        <v>19</v>
      </c>
      <c r="E75" s="16"/>
      <c r="F75" s="119"/>
      <c r="G75" s="163">
        <f t="shared" si="2"/>
        <v>219.50000000000003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219.50000000000003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219.50000000000003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219.50000000000003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219.50000000000003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219.50000000000003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219.50000000000003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219.50000000000003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219.50000000000003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219.50000000000003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219.50000000000003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219.50000000000003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219.50000000000003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219.50000000000003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219.50000000000003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219.50000000000003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219.50000000000003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219.50000000000003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219.50000000000003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219.50000000000003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219.50000000000003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219.50000000000003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219.50000000000003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219.50000000000003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219.50000000000003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219.50000000000003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219.50000000000003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219.50000000000003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219.50000000000003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219.50000000000003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219.50000000000003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219.50000000000003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/>
      <c r="E107" s="16"/>
      <c r="F107" s="119"/>
      <c r="G107" s="163">
        <f t="shared" si="2"/>
        <v>219.50000000000003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219.50000000000003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219.50000000000003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219.50000000000003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219.50000000000003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219.50000000000003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0</v>
      </c>
      <c r="F113" s="165">
        <f>SUM(F9:F112)</f>
        <v>37.1</v>
      </c>
      <c r="G113" s="35">
        <f>+E113-F113+G8</f>
        <v>219.50000000000003</v>
      </c>
      <c r="H113" s="35"/>
      <c r="I113" s="36"/>
      <c r="J113" s="7"/>
    </row>
  </sheetData>
  <mergeCells count="1">
    <mergeCell ref="A4:I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E2AE-C89E-4891-80B4-9530C7905876}">
  <sheetPr codeName="Sheet43"/>
  <dimension ref="A1:M113"/>
  <sheetViews>
    <sheetView topLeftCell="A8" workbookViewId="0">
      <selection activeCell="F19" sqref="F19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208.4</v>
      </c>
      <c r="H8" s="7"/>
      <c r="I8" s="7"/>
      <c r="J8" s="7"/>
    </row>
    <row r="9" spans="1:12" ht="18" customHeight="1" x14ac:dyDescent="0.25">
      <c r="A9" s="14">
        <v>1</v>
      </c>
      <c r="B9" s="39">
        <v>45702</v>
      </c>
      <c r="C9" s="15" t="s">
        <v>196</v>
      </c>
      <c r="D9" s="14" t="s">
        <v>23</v>
      </c>
      <c r="E9" s="51">
        <v>4.7</v>
      </c>
      <c r="F9" s="119"/>
      <c r="G9" s="163">
        <f t="shared" ref="G9:G72" si="0">+G8+E9-F9</f>
        <v>213.1</v>
      </c>
      <c r="H9" s="28" t="s">
        <v>91</v>
      </c>
      <c r="I9" s="29"/>
      <c r="J9" s="7">
        <v>9</v>
      </c>
      <c r="K9" s="349"/>
      <c r="L9" s="162"/>
    </row>
    <row r="10" spans="1:12" ht="18" customHeight="1" x14ac:dyDescent="0.25">
      <c r="A10" s="14">
        <f t="shared" ref="A10:A73" si="1">+A9+1</f>
        <v>2</v>
      </c>
      <c r="B10" s="39">
        <v>45746</v>
      </c>
      <c r="C10" s="15" t="s">
        <v>196</v>
      </c>
      <c r="D10" s="14" t="s">
        <v>23</v>
      </c>
      <c r="E10" s="16"/>
      <c r="F10" s="152">
        <v>16.100000000000001</v>
      </c>
      <c r="G10" s="163">
        <f t="shared" si="0"/>
        <v>197</v>
      </c>
      <c r="H10" s="28" t="s">
        <v>129</v>
      </c>
      <c r="I10" s="29" t="s">
        <v>90</v>
      </c>
      <c r="J10" s="7"/>
    </row>
    <row r="11" spans="1:12" ht="18" customHeight="1" x14ac:dyDescent="0.25">
      <c r="A11" s="14">
        <f t="shared" si="1"/>
        <v>3</v>
      </c>
      <c r="B11" s="39">
        <v>45750</v>
      </c>
      <c r="C11" s="15" t="s">
        <v>196</v>
      </c>
      <c r="D11" s="14" t="s">
        <v>23</v>
      </c>
      <c r="E11" s="143"/>
      <c r="F11" s="152">
        <v>20.9</v>
      </c>
      <c r="G11" s="163">
        <f t="shared" si="0"/>
        <v>176.1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>
        <v>45751</v>
      </c>
      <c r="C12" s="15" t="s">
        <v>196</v>
      </c>
      <c r="D12" s="14" t="s">
        <v>23</v>
      </c>
      <c r="E12" s="319"/>
      <c r="F12" s="152">
        <v>10.8</v>
      </c>
      <c r="G12" s="163">
        <f t="shared" si="0"/>
        <v>165.29999999999998</v>
      </c>
      <c r="H12" s="28" t="s">
        <v>129</v>
      </c>
      <c r="I12" s="29" t="s">
        <v>90</v>
      </c>
      <c r="J12" s="7"/>
    </row>
    <row r="13" spans="1:12" ht="18" customHeight="1" x14ac:dyDescent="0.25">
      <c r="A13" s="14">
        <f t="shared" si="1"/>
        <v>5</v>
      </c>
      <c r="B13" s="39">
        <v>45755</v>
      </c>
      <c r="C13" s="15" t="s">
        <v>196</v>
      </c>
      <c r="D13" s="14" t="s">
        <v>23</v>
      </c>
      <c r="E13" s="135"/>
      <c r="F13" s="153">
        <v>10.5</v>
      </c>
      <c r="G13" s="163">
        <f t="shared" si="0"/>
        <v>154.79999999999998</v>
      </c>
      <c r="H13" s="28" t="s">
        <v>91</v>
      </c>
      <c r="I13" s="29"/>
      <c r="J13" s="7"/>
    </row>
    <row r="14" spans="1:12" ht="18" customHeight="1" x14ac:dyDescent="0.25">
      <c r="A14" s="14">
        <f t="shared" si="1"/>
        <v>6</v>
      </c>
      <c r="B14" s="39">
        <v>45756</v>
      </c>
      <c r="C14" s="15" t="s">
        <v>196</v>
      </c>
      <c r="D14" s="14" t="s">
        <v>23</v>
      </c>
      <c r="E14" s="145"/>
      <c r="F14" s="153">
        <v>10.199999999999999</v>
      </c>
      <c r="G14" s="163">
        <f t="shared" si="0"/>
        <v>144.6</v>
      </c>
      <c r="H14" s="28" t="s">
        <v>91</v>
      </c>
      <c r="I14" s="29"/>
      <c r="J14" s="7"/>
    </row>
    <row r="15" spans="1:12" ht="18" customHeight="1" x14ac:dyDescent="0.25">
      <c r="A15" s="14">
        <f t="shared" si="1"/>
        <v>7</v>
      </c>
      <c r="B15" s="39">
        <v>45861</v>
      </c>
      <c r="C15" s="15" t="s">
        <v>196</v>
      </c>
      <c r="D15" s="14" t="s">
        <v>23</v>
      </c>
      <c r="E15" s="154"/>
      <c r="F15" s="153">
        <v>22.2</v>
      </c>
      <c r="G15" s="163">
        <f t="shared" si="0"/>
        <v>122.39999999999999</v>
      </c>
      <c r="H15" s="28" t="s">
        <v>91</v>
      </c>
      <c r="I15" s="29"/>
      <c r="J15" s="140"/>
    </row>
    <row r="16" spans="1:12" ht="18" customHeight="1" x14ac:dyDescent="0.25">
      <c r="A16" s="14">
        <f t="shared" si="1"/>
        <v>8</v>
      </c>
      <c r="B16" s="39">
        <v>45862</v>
      </c>
      <c r="C16" s="15"/>
      <c r="D16" s="14" t="s">
        <v>23</v>
      </c>
      <c r="E16" s="113"/>
      <c r="F16" s="152">
        <v>11.5</v>
      </c>
      <c r="G16" s="163">
        <f t="shared" si="0"/>
        <v>110.89999999999999</v>
      </c>
      <c r="H16" s="28" t="s">
        <v>91</v>
      </c>
      <c r="I16" s="29"/>
      <c r="J16" s="7"/>
    </row>
    <row r="17" spans="1:13" ht="18" customHeight="1" x14ac:dyDescent="0.25">
      <c r="A17" s="14">
        <f t="shared" si="1"/>
        <v>9</v>
      </c>
      <c r="B17" s="39">
        <v>45863</v>
      </c>
      <c r="C17" s="15"/>
      <c r="D17" s="14" t="s">
        <v>23</v>
      </c>
      <c r="E17" s="132"/>
      <c r="F17" s="152">
        <v>10.8</v>
      </c>
      <c r="G17" s="163">
        <f t="shared" si="0"/>
        <v>100.1</v>
      </c>
      <c r="H17" s="28" t="s">
        <v>91</v>
      </c>
      <c r="I17" s="29"/>
      <c r="J17" s="7"/>
    </row>
    <row r="18" spans="1:13" ht="18" customHeight="1" x14ac:dyDescent="0.25">
      <c r="A18" s="14">
        <f t="shared" si="1"/>
        <v>10</v>
      </c>
      <c r="B18" s="39">
        <v>45864</v>
      </c>
      <c r="C18" s="15"/>
      <c r="D18" s="14" t="s">
        <v>23</v>
      </c>
      <c r="E18" s="16"/>
      <c r="F18" s="152">
        <v>10</v>
      </c>
      <c r="G18" s="163">
        <f t="shared" si="0"/>
        <v>90.1</v>
      </c>
      <c r="H18" s="28" t="s">
        <v>91</v>
      </c>
      <c r="I18" s="29"/>
      <c r="J18" s="7"/>
    </row>
    <row r="19" spans="1:13" ht="18" customHeight="1" x14ac:dyDescent="0.25">
      <c r="A19" s="14">
        <f t="shared" si="1"/>
        <v>11</v>
      </c>
      <c r="B19" s="39">
        <v>45903</v>
      </c>
      <c r="C19" s="15"/>
      <c r="D19" s="14" t="s">
        <v>23</v>
      </c>
      <c r="E19" s="16"/>
      <c r="F19" s="152">
        <v>18.5</v>
      </c>
      <c r="G19" s="163">
        <f t="shared" si="0"/>
        <v>71.599999999999994</v>
      </c>
      <c r="H19" s="28" t="s">
        <v>91</v>
      </c>
      <c r="I19" s="29"/>
      <c r="J19" s="7"/>
    </row>
    <row r="20" spans="1:13" ht="18" customHeight="1" x14ac:dyDescent="0.25">
      <c r="A20" s="14">
        <f t="shared" si="1"/>
        <v>12</v>
      </c>
      <c r="B20" s="39"/>
      <c r="C20" s="15"/>
      <c r="D20" s="14" t="s">
        <v>23</v>
      </c>
      <c r="E20" s="132"/>
      <c r="F20" s="152"/>
      <c r="G20" s="163">
        <f t="shared" si="0"/>
        <v>71.599999999999994</v>
      </c>
      <c r="H20" s="28" t="s">
        <v>129</v>
      </c>
      <c r="I20" s="29"/>
      <c r="J20" s="7"/>
    </row>
    <row r="21" spans="1:13" ht="18" customHeight="1" x14ac:dyDescent="0.25">
      <c r="A21" s="14">
        <f t="shared" si="1"/>
        <v>13</v>
      </c>
      <c r="B21" s="42"/>
      <c r="C21" s="15"/>
      <c r="D21" s="14" t="s">
        <v>23</v>
      </c>
      <c r="E21" s="132"/>
      <c r="F21" s="152"/>
      <c r="G21" s="163">
        <f t="shared" si="0"/>
        <v>71.599999999999994</v>
      </c>
      <c r="H21" s="28" t="s">
        <v>91</v>
      </c>
      <c r="I21" s="29"/>
      <c r="J21" s="7"/>
    </row>
    <row r="22" spans="1:13" ht="18" customHeight="1" x14ac:dyDescent="0.25">
      <c r="A22" s="14">
        <f t="shared" si="1"/>
        <v>14</v>
      </c>
      <c r="B22" s="39"/>
      <c r="C22" s="15"/>
      <c r="D22" s="14" t="s">
        <v>23</v>
      </c>
      <c r="E22" s="132"/>
      <c r="F22" s="152"/>
      <c r="G22" s="163">
        <f t="shared" si="0"/>
        <v>71.599999999999994</v>
      </c>
      <c r="H22" s="28" t="s">
        <v>91</v>
      </c>
      <c r="I22" s="29"/>
      <c r="J22" s="7"/>
      <c r="M22" s="203">
        <f>+G17-154.8</f>
        <v>-54.700000000000017</v>
      </c>
    </row>
    <row r="23" spans="1:13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71.599999999999994</v>
      </c>
      <c r="H23" s="28" t="s">
        <v>91</v>
      </c>
      <c r="I23" s="29"/>
      <c r="J23" s="7"/>
    </row>
    <row r="24" spans="1:13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5"/>
      <c r="G24" s="163">
        <f t="shared" si="0"/>
        <v>71.599999999999994</v>
      </c>
      <c r="H24" s="28" t="s">
        <v>91</v>
      </c>
      <c r="I24" s="29"/>
      <c r="J24" s="7"/>
    </row>
    <row r="25" spans="1:13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2"/>
      <c r="G25" s="163">
        <f t="shared" si="0"/>
        <v>71.599999999999994</v>
      </c>
      <c r="H25" s="28" t="s">
        <v>91</v>
      </c>
      <c r="I25" s="29"/>
      <c r="J25" s="7"/>
    </row>
    <row r="26" spans="1:13" ht="18" customHeight="1" x14ac:dyDescent="0.25">
      <c r="A26" s="14">
        <f t="shared" si="1"/>
        <v>18</v>
      </c>
      <c r="B26" s="39"/>
      <c r="C26" s="15"/>
      <c r="D26" s="14" t="s">
        <v>23</v>
      </c>
      <c r="E26" s="16"/>
      <c r="F26" s="152"/>
      <c r="G26" s="163">
        <f t="shared" si="0"/>
        <v>71.599999999999994</v>
      </c>
      <c r="H26" s="28" t="s">
        <v>91</v>
      </c>
      <c r="I26" s="29"/>
      <c r="J26" s="7"/>
    </row>
    <row r="27" spans="1:13" ht="18" customHeight="1" x14ac:dyDescent="0.25">
      <c r="A27" s="14">
        <f t="shared" si="1"/>
        <v>19</v>
      </c>
      <c r="B27" s="39"/>
      <c r="C27" s="15"/>
      <c r="D27" s="14" t="s">
        <v>23</v>
      </c>
      <c r="E27" s="132"/>
      <c r="F27" s="152"/>
      <c r="G27" s="163">
        <f t="shared" si="0"/>
        <v>71.599999999999994</v>
      </c>
      <c r="H27" s="28" t="s">
        <v>91</v>
      </c>
      <c r="I27" s="29"/>
      <c r="J27" s="7"/>
    </row>
    <row r="28" spans="1:13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71.599999999999994</v>
      </c>
      <c r="H28" s="28" t="s">
        <v>91</v>
      </c>
      <c r="I28" s="29"/>
      <c r="J28" s="7"/>
    </row>
    <row r="29" spans="1:13" ht="18" customHeight="1" x14ac:dyDescent="0.25">
      <c r="A29" s="14">
        <f t="shared" si="1"/>
        <v>21</v>
      </c>
      <c r="B29" s="39"/>
      <c r="C29" s="15"/>
      <c r="D29" s="14" t="s">
        <v>23</v>
      </c>
      <c r="E29" s="16"/>
      <c r="F29" s="119"/>
      <c r="G29" s="163">
        <f t="shared" si="0"/>
        <v>71.599999999999994</v>
      </c>
      <c r="H29" s="28" t="s">
        <v>91</v>
      </c>
      <c r="I29" s="29"/>
      <c r="J29" s="7"/>
    </row>
    <row r="30" spans="1:13" ht="18" customHeight="1" x14ac:dyDescent="0.25">
      <c r="A30" s="14">
        <f t="shared" si="1"/>
        <v>22</v>
      </c>
      <c r="B30" s="39"/>
      <c r="C30" s="15"/>
      <c r="D30" s="14" t="s">
        <v>23</v>
      </c>
      <c r="E30" s="132"/>
      <c r="F30" s="119"/>
      <c r="G30" s="163">
        <f t="shared" si="0"/>
        <v>71.599999999999994</v>
      </c>
      <c r="H30" s="28" t="s">
        <v>91</v>
      </c>
      <c r="I30" s="29"/>
      <c r="J30" s="7"/>
    </row>
    <row r="31" spans="1:13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71.599999999999994</v>
      </c>
      <c r="H31" s="28" t="s">
        <v>91</v>
      </c>
      <c r="I31" s="29"/>
      <c r="J31" s="7"/>
    </row>
    <row r="32" spans="1:13" ht="18" customHeight="1" x14ac:dyDescent="0.25">
      <c r="A32" s="14">
        <f t="shared" si="1"/>
        <v>24</v>
      </c>
      <c r="B32" s="39"/>
      <c r="C32" s="15"/>
      <c r="D32" s="14" t="s">
        <v>23</v>
      </c>
      <c r="E32" s="16"/>
      <c r="F32" s="119"/>
      <c r="G32" s="163">
        <f t="shared" si="0"/>
        <v>71.599999999999994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71.599999999999994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32"/>
      <c r="F34" s="119"/>
      <c r="G34" s="163">
        <f t="shared" si="0"/>
        <v>71.599999999999994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6"/>
      <c r="F35" s="119"/>
      <c r="G35" s="163">
        <f t="shared" si="0"/>
        <v>71.599999999999994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71.599999999999994</v>
      </c>
      <c r="H36" s="28"/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71.599999999999994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32"/>
      <c r="F38" s="119"/>
      <c r="G38" s="163">
        <f t="shared" si="0"/>
        <v>71.599999999999994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6"/>
      <c r="F39" s="119"/>
      <c r="G39" s="163">
        <f t="shared" si="0"/>
        <v>71.599999999999994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71.599999999999994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71.599999999999994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56"/>
      <c r="F42" s="157"/>
      <c r="G42" s="163">
        <f t="shared" si="0"/>
        <v>71.599999999999994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6"/>
      <c r="F43" s="119"/>
      <c r="G43" s="163">
        <f t="shared" si="0"/>
        <v>71.599999999999994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71.599999999999994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32"/>
      <c r="F45" s="119"/>
      <c r="G45" s="163">
        <f t="shared" si="0"/>
        <v>71.599999999999994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71.599999999999994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71.599999999999994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71.599999999999994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6"/>
      <c r="F49" s="119"/>
      <c r="G49" s="163">
        <f t="shared" si="0"/>
        <v>71.599999999999994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32"/>
      <c r="F50" s="119"/>
      <c r="G50" s="163">
        <f t="shared" si="0"/>
        <v>71.599999999999994</v>
      </c>
      <c r="H50" s="28"/>
      <c r="I50" s="29"/>
      <c r="J50" s="7"/>
    </row>
    <row r="51" spans="1:10" s="162" customFormat="1" ht="18" customHeight="1" x14ac:dyDescent="0.25">
      <c r="A51" s="14">
        <f t="shared" si="1"/>
        <v>43</v>
      </c>
      <c r="B51" s="159"/>
      <c r="C51" s="15"/>
      <c r="D51" s="14" t="s">
        <v>23</v>
      </c>
      <c r="E51" s="160"/>
      <c r="F51" s="161"/>
      <c r="G51" s="163">
        <f t="shared" si="0"/>
        <v>71.599999999999994</v>
      </c>
      <c r="H51" s="28"/>
      <c r="I51" s="29"/>
      <c r="J51" s="271"/>
    </row>
    <row r="52" spans="1:10" ht="18" customHeight="1" x14ac:dyDescent="0.25">
      <c r="A52" s="14">
        <f t="shared" si="1"/>
        <v>44</v>
      </c>
      <c r="B52" s="39"/>
      <c r="C52" s="15"/>
      <c r="D52" s="14" t="s">
        <v>23</v>
      </c>
      <c r="E52" s="16"/>
      <c r="F52" s="119"/>
      <c r="G52" s="163">
        <f t="shared" si="0"/>
        <v>71.599999999999994</v>
      </c>
      <c r="H52" s="28"/>
      <c r="I52" s="29"/>
      <c r="J52" s="7"/>
    </row>
    <row r="53" spans="1:10" ht="18" customHeight="1" x14ac:dyDescent="0.25">
      <c r="A53" s="14">
        <f t="shared" si="1"/>
        <v>45</v>
      </c>
      <c r="B53" s="39"/>
      <c r="C53" s="15"/>
      <c r="D53" s="14" t="s">
        <v>19</v>
      </c>
      <c r="E53" s="16"/>
      <c r="F53" s="119"/>
      <c r="G53" s="163">
        <f t="shared" si="0"/>
        <v>71.599999999999994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71.599999999999994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71.599999999999994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13"/>
      <c r="F56" s="119"/>
      <c r="G56" s="163">
        <f t="shared" si="0"/>
        <v>71.599999999999994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6"/>
      <c r="F57" s="119"/>
      <c r="G57" s="163">
        <f t="shared" si="0"/>
        <v>71.599999999999994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71.599999999999994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71.599999999999994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71.599999999999994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71.599999999999994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71.599999999999994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13"/>
      <c r="F63" s="119"/>
      <c r="G63" s="163">
        <f t="shared" si="0"/>
        <v>71.599999999999994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6"/>
      <c r="F64" s="119"/>
      <c r="G64" s="163">
        <f t="shared" si="0"/>
        <v>71.599999999999994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71.599999999999994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71.599999999999994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13"/>
      <c r="F67" s="119"/>
      <c r="G67" s="163">
        <f t="shared" si="0"/>
        <v>71.599999999999994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6"/>
      <c r="F68" s="119"/>
      <c r="G68" s="163">
        <f t="shared" si="0"/>
        <v>71.599999999999994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71.599999999999994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71.599999999999994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71.599999999999994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71.599999999999994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ref="G73:G112" si="2">+G72+E73-F73</f>
        <v>71.599999999999994</v>
      </c>
      <c r="H73" s="28"/>
      <c r="I73" s="29"/>
      <c r="J73" s="7"/>
    </row>
    <row r="74" spans="1:10" ht="18" customHeight="1" x14ac:dyDescent="0.25">
      <c r="A74" s="14">
        <f t="shared" ref="A74:A112" si="3">+A73+1</f>
        <v>66</v>
      </c>
      <c r="B74" s="39"/>
      <c r="C74" s="15"/>
      <c r="D74" s="14" t="s">
        <v>19</v>
      </c>
      <c r="E74" s="16"/>
      <c r="F74" s="119"/>
      <c r="G74" s="163">
        <f t="shared" si="2"/>
        <v>71.599999999999994</v>
      </c>
      <c r="H74" s="28"/>
      <c r="I74" s="29"/>
      <c r="J74" s="7"/>
    </row>
    <row r="75" spans="1:10" ht="18" customHeight="1" x14ac:dyDescent="0.25">
      <c r="A75" s="14">
        <f t="shared" si="3"/>
        <v>67</v>
      </c>
      <c r="B75" s="39"/>
      <c r="C75" s="15"/>
      <c r="D75" s="14" t="s">
        <v>19</v>
      </c>
      <c r="E75" s="16"/>
      <c r="F75" s="119"/>
      <c r="G75" s="163">
        <f t="shared" si="2"/>
        <v>71.599999999999994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71.599999999999994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71.599999999999994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71.599999999999994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71.599999999999994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71.599999999999994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71.599999999999994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71.599999999999994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71.599999999999994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71.599999999999994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71.599999999999994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71.599999999999994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71.599999999999994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71.599999999999994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71.599999999999994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71.599999999999994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71.599999999999994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71.599999999999994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71.599999999999994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71.599999999999994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71.599999999999994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71.599999999999994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71.599999999999994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71.599999999999994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71.599999999999994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71.599999999999994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71.599999999999994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71.599999999999994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71.599999999999994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71.599999999999994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71.599999999999994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71.599999999999994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/>
      <c r="E107" s="16"/>
      <c r="F107" s="119"/>
      <c r="G107" s="163">
        <f t="shared" si="2"/>
        <v>71.599999999999994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71.599999999999994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71.599999999999994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71.599999999999994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71.599999999999994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71.599999999999994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4.7</v>
      </c>
      <c r="F113" s="165">
        <f>SUM(F9:F112)</f>
        <v>141.5</v>
      </c>
      <c r="G113" s="35">
        <f>+E113-F113+G8</f>
        <v>71.599999999999994</v>
      </c>
      <c r="H113" s="35"/>
      <c r="I113" s="36"/>
      <c r="J113" s="7"/>
    </row>
  </sheetData>
  <mergeCells count="1">
    <mergeCell ref="A4:I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D766-CAE5-453C-AE2C-7A25980F14B3}">
  <sheetPr codeName="Sheet44"/>
  <dimension ref="A1:L113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227</v>
      </c>
      <c r="H8" s="7"/>
      <c r="I8" s="7"/>
      <c r="J8" s="7"/>
    </row>
    <row r="9" spans="1:12" ht="18" customHeight="1" x14ac:dyDescent="0.25">
      <c r="A9" s="14">
        <v>1</v>
      </c>
      <c r="B9" s="39">
        <v>45870</v>
      </c>
      <c r="C9" s="15" t="s">
        <v>268</v>
      </c>
      <c r="D9" s="14" t="s">
        <v>23</v>
      </c>
      <c r="E9" s="51"/>
      <c r="F9" s="119">
        <v>16.100000000000001</v>
      </c>
      <c r="G9" s="163">
        <f t="shared" ref="G9:G72" si="0">+G8+E9-F9</f>
        <v>210.9</v>
      </c>
      <c r="H9" s="28" t="s">
        <v>91</v>
      </c>
      <c r="I9" s="29"/>
      <c r="J9" s="7">
        <v>2</v>
      </c>
      <c r="K9" s="349"/>
      <c r="L9" s="162"/>
    </row>
    <row r="10" spans="1:12" ht="18" customHeight="1" x14ac:dyDescent="0.25">
      <c r="A10" s="14">
        <f t="shared" ref="A10:A73" si="1">+A9+1</f>
        <v>2</v>
      </c>
      <c r="B10" s="39">
        <v>45887</v>
      </c>
      <c r="C10" s="15" t="s">
        <v>268</v>
      </c>
      <c r="D10" s="14" t="s">
        <v>23</v>
      </c>
      <c r="E10" s="16"/>
      <c r="F10" s="152">
        <v>15.4</v>
      </c>
      <c r="G10" s="163">
        <f t="shared" si="0"/>
        <v>195.5</v>
      </c>
      <c r="H10" s="28" t="s">
        <v>129</v>
      </c>
      <c r="I10" s="29" t="s">
        <v>90</v>
      </c>
      <c r="J10" s="7">
        <v>14</v>
      </c>
    </row>
    <row r="11" spans="1:12" ht="18" customHeight="1" x14ac:dyDescent="0.25">
      <c r="A11" s="14">
        <f t="shared" si="1"/>
        <v>3</v>
      </c>
      <c r="B11" s="39">
        <v>45890</v>
      </c>
      <c r="C11" s="15" t="s">
        <v>268</v>
      </c>
      <c r="D11" s="14" t="s">
        <v>23</v>
      </c>
      <c r="E11" s="143"/>
      <c r="F11" s="152">
        <v>16.100000000000001</v>
      </c>
      <c r="G11" s="163">
        <f t="shared" si="0"/>
        <v>179.4</v>
      </c>
      <c r="H11" s="28" t="s">
        <v>129</v>
      </c>
      <c r="I11" s="29" t="s">
        <v>90</v>
      </c>
      <c r="J11" s="7"/>
    </row>
    <row r="12" spans="1:12" ht="18" customHeight="1" x14ac:dyDescent="0.25">
      <c r="A12" s="14">
        <f t="shared" si="1"/>
        <v>4</v>
      </c>
      <c r="B12" s="39"/>
      <c r="C12" s="15" t="s">
        <v>268</v>
      </c>
      <c r="D12" s="14" t="s">
        <v>23</v>
      </c>
      <c r="E12" s="319"/>
      <c r="F12" s="152"/>
      <c r="G12" s="163">
        <f t="shared" si="0"/>
        <v>179.4</v>
      </c>
      <c r="H12" s="28" t="s">
        <v>129</v>
      </c>
      <c r="I12" s="29" t="s">
        <v>90</v>
      </c>
      <c r="J12" s="7"/>
    </row>
    <row r="13" spans="1:12" ht="18" customHeight="1" x14ac:dyDescent="0.25">
      <c r="A13" s="14">
        <f t="shared" si="1"/>
        <v>5</v>
      </c>
      <c r="B13" s="39"/>
      <c r="C13" s="15" t="s">
        <v>268</v>
      </c>
      <c r="D13" s="14" t="s">
        <v>23</v>
      </c>
      <c r="E13" s="135"/>
      <c r="F13" s="153"/>
      <c r="G13" s="163">
        <f t="shared" si="0"/>
        <v>179.4</v>
      </c>
      <c r="H13" s="28" t="s">
        <v>91</v>
      </c>
      <c r="I13" s="29"/>
      <c r="J13" s="7"/>
    </row>
    <row r="14" spans="1:12" ht="18" customHeight="1" x14ac:dyDescent="0.25">
      <c r="A14" s="14">
        <f t="shared" si="1"/>
        <v>6</v>
      </c>
      <c r="B14" s="39"/>
      <c r="C14" s="15" t="s">
        <v>268</v>
      </c>
      <c r="D14" s="14" t="s">
        <v>23</v>
      </c>
      <c r="E14" s="145"/>
      <c r="F14" s="153"/>
      <c r="G14" s="163">
        <f t="shared" si="0"/>
        <v>179.4</v>
      </c>
      <c r="H14" s="28" t="s">
        <v>91</v>
      </c>
      <c r="I14" s="29"/>
      <c r="J14" s="7"/>
    </row>
    <row r="15" spans="1:12" ht="18" customHeight="1" x14ac:dyDescent="0.25">
      <c r="A15" s="14">
        <f t="shared" si="1"/>
        <v>7</v>
      </c>
      <c r="B15" s="39"/>
      <c r="C15" s="15" t="s">
        <v>268</v>
      </c>
      <c r="D15" s="14" t="s">
        <v>23</v>
      </c>
      <c r="E15" s="154"/>
      <c r="F15" s="153"/>
      <c r="G15" s="163">
        <f t="shared" si="0"/>
        <v>179.4</v>
      </c>
      <c r="H15" s="28" t="s">
        <v>91</v>
      </c>
      <c r="I15" s="29"/>
      <c r="J15" s="140"/>
    </row>
    <row r="16" spans="1:12" ht="18" customHeight="1" x14ac:dyDescent="0.25">
      <c r="A16" s="14">
        <f t="shared" si="1"/>
        <v>8</v>
      </c>
      <c r="B16" s="39"/>
      <c r="C16" s="15"/>
      <c r="D16" s="14" t="s">
        <v>23</v>
      </c>
      <c r="E16" s="113"/>
      <c r="F16" s="152"/>
      <c r="G16" s="163">
        <f t="shared" si="0"/>
        <v>179.4</v>
      </c>
      <c r="H16" s="28" t="s">
        <v>91</v>
      </c>
      <c r="I16" s="29"/>
      <c r="J16" s="7"/>
    </row>
    <row r="17" spans="1:10" ht="18" customHeight="1" x14ac:dyDescent="0.25">
      <c r="A17" s="14">
        <f t="shared" si="1"/>
        <v>9</v>
      </c>
      <c r="B17" s="39"/>
      <c r="C17" s="15"/>
      <c r="D17" s="14" t="s">
        <v>23</v>
      </c>
      <c r="E17" s="132"/>
      <c r="F17" s="152"/>
      <c r="G17" s="163">
        <f t="shared" si="0"/>
        <v>179.4</v>
      </c>
      <c r="H17" s="28" t="s">
        <v>91</v>
      </c>
      <c r="I17" s="29"/>
      <c r="J17" s="7"/>
    </row>
    <row r="18" spans="1:10" ht="18" customHeight="1" x14ac:dyDescent="0.25">
      <c r="A18" s="14">
        <f t="shared" si="1"/>
        <v>10</v>
      </c>
      <c r="B18" s="39"/>
      <c r="C18" s="15"/>
      <c r="D18" s="14" t="s">
        <v>23</v>
      </c>
      <c r="E18" s="16"/>
      <c r="F18" s="152"/>
      <c r="G18" s="163">
        <f t="shared" si="0"/>
        <v>179.4</v>
      </c>
      <c r="H18" s="28" t="s">
        <v>91</v>
      </c>
      <c r="I18" s="29"/>
      <c r="J18" s="7"/>
    </row>
    <row r="19" spans="1:10" ht="18" customHeight="1" x14ac:dyDescent="0.25">
      <c r="A19" s="14">
        <f t="shared" si="1"/>
        <v>11</v>
      </c>
      <c r="B19" s="39"/>
      <c r="C19" s="15"/>
      <c r="D19" s="14" t="s">
        <v>23</v>
      </c>
      <c r="E19" s="16"/>
      <c r="F19" s="152"/>
      <c r="G19" s="163">
        <f t="shared" si="0"/>
        <v>179.4</v>
      </c>
      <c r="H19" s="28" t="s">
        <v>91</v>
      </c>
      <c r="I19" s="29"/>
      <c r="J19" s="7"/>
    </row>
    <row r="20" spans="1:10" ht="18" customHeight="1" x14ac:dyDescent="0.25">
      <c r="A20" s="14">
        <f t="shared" si="1"/>
        <v>12</v>
      </c>
      <c r="B20" s="39"/>
      <c r="C20" s="15"/>
      <c r="D20" s="14" t="s">
        <v>23</v>
      </c>
      <c r="E20" s="132"/>
      <c r="F20" s="152"/>
      <c r="G20" s="163">
        <f t="shared" si="0"/>
        <v>179.4</v>
      </c>
      <c r="H20" s="28" t="s">
        <v>129</v>
      </c>
      <c r="I20" s="29"/>
      <c r="J20" s="7"/>
    </row>
    <row r="21" spans="1:10" ht="18" customHeight="1" x14ac:dyDescent="0.25">
      <c r="A21" s="14">
        <f t="shared" si="1"/>
        <v>13</v>
      </c>
      <c r="B21" s="42"/>
      <c r="C21" s="15"/>
      <c r="D21" s="14" t="s">
        <v>23</v>
      </c>
      <c r="E21" s="132"/>
      <c r="F21" s="152"/>
      <c r="G21" s="163">
        <f t="shared" si="0"/>
        <v>179.4</v>
      </c>
      <c r="H21" s="28" t="s">
        <v>91</v>
      </c>
      <c r="I21" s="29"/>
      <c r="J21" s="7"/>
    </row>
    <row r="22" spans="1:10" ht="18" customHeight="1" x14ac:dyDescent="0.25">
      <c r="A22" s="14">
        <f t="shared" si="1"/>
        <v>14</v>
      </c>
      <c r="B22" s="39"/>
      <c r="C22" s="15"/>
      <c r="D22" s="14" t="s">
        <v>23</v>
      </c>
      <c r="E22" s="132"/>
      <c r="F22" s="152"/>
      <c r="G22" s="163">
        <f t="shared" si="0"/>
        <v>179.4</v>
      </c>
      <c r="H22" s="28" t="s">
        <v>91</v>
      </c>
      <c r="I22" s="29"/>
      <c r="J22" s="7"/>
    </row>
    <row r="23" spans="1:10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179.4</v>
      </c>
      <c r="H23" s="28" t="s">
        <v>91</v>
      </c>
      <c r="I23" s="29"/>
      <c r="J23" s="7"/>
    </row>
    <row r="24" spans="1:10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5"/>
      <c r="G24" s="163">
        <f t="shared" si="0"/>
        <v>179.4</v>
      </c>
      <c r="H24" s="28" t="s">
        <v>91</v>
      </c>
      <c r="I24" s="29"/>
      <c r="J24" s="7"/>
    </row>
    <row r="25" spans="1:10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2"/>
      <c r="G25" s="163">
        <f t="shared" si="0"/>
        <v>179.4</v>
      </c>
      <c r="H25" s="28" t="s">
        <v>91</v>
      </c>
      <c r="I25" s="29"/>
      <c r="J25" s="7"/>
    </row>
    <row r="26" spans="1:10" ht="18" customHeight="1" x14ac:dyDescent="0.25">
      <c r="A26" s="14">
        <f t="shared" si="1"/>
        <v>18</v>
      </c>
      <c r="B26" s="39"/>
      <c r="C26" s="15"/>
      <c r="D26" s="14" t="s">
        <v>23</v>
      </c>
      <c r="E26" s="16"/>
      <c r="F26" s="152"/>
      <c r="G26" s="163">
        <f t="shared" si="0"/>
        <v>179.4</v>
      </c>
      <c r="H26" s="28" t="s">
        <v>91</v>
      </c>
      <c r="I26" s="29"/>
      <c r="J26" s="7"/>
    </row>
    <row r="27" spans="1:10" ht="18" customHeight="1" x14ac:dyDescent="0.25">
      <c r="A27" s="14">
        <f t="shared" si="1"/>
        <v>19</v>
      </c>
      <c r="B27" s="39"/>
      <c r="C27" s="15"/>
      <c r="D27" s="14" t="s">
        <v>23</v>
      </c>
      <c r="E27" s="132"/>
      <c r="F27" s="152"/>
      <c r="G27" s="163">
        <f t="shared" si="0"/>
        <v>179.4</v>
      </c>
      <c r="H27" s="28" t="s">
        <v>91</v>
      </c>
      <c r="I27" s="29"/>
      <c r="J27" s="7"/>
    </row>
    <row r="28" spans="1:10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179.4</v>
      </c>
      <c r="H28" s="28" t="s">
        <v>91</v>
      </c>
      <c r="I28" s="29"/>
      <c r="J28" s="7"/>
    </row>
    <row r="29" spans="1:10" ht="18" customHeight="1" x14ac:dyDescent="0.25">
      <c r="A29" s="14">
        <f t="shared" si="1"/>
        <v>21</v>
      </c>
      <c r="B29" s="39"/>
      <c r="C29" s="15"/>
      <c r="D29" s="14" t="s">
        <v>23</v>
      </c>
      <c r="E29" s="16"/>
      <c r="F29" s="119"/>
      <c r="G29" s="163">
        <f t="shared" si="0"/>
        <v>179.4</v>
      </c>
      <c r="H29" s="28" t="s">
        <v>91</v>
      </c>
      <c r="I29" s="29"/>
      <c r="J29" s="7"/>
    </row>
    <row r="30" spans="1:10" ht="18" customHeight="1" x14ac:dyDescent="0.25">
      <c r="A30" s="14">
        <f t="shared" si="1"/>
        <v>22</v>
      </c>
      <c r="B30" s="39"/>
      <c r="C30" s="15"/>
      <c r="D30" s="14" t="s">
        <v>23</v>
      </c>
      <c r="E30" s="132"/>
      <c r="F30" s="119"/>
      <c r="G30" s="163">
        <f t="shared" si="0"/>
        <v>179.4</v>
      </c>
      <c r="H30" s="28" t="s">
        <v>91</v>
      </c>
      <c r="I30" s="29"/>
      <c r="J30" s="7"/>
    </row>
    <row r="31" spans="1:10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179.4</v>
      </c>
      <c r="H31" s="28" t="s">
        <v>91</v>
      </c>
      <c r="I31" s="29"/>
      <c r="J31" s="7"/>
    </row>
    <row r="32" spans="1:10" ht="18" customHeight="1" x14ac:dyDescent="0.25">
      <c r="A32" s="14">
        <f t="shared" si="1"/>
        <v>24</v>
      </c>
      <c r="B32" s="39"/>
      <c r="C32" s="15"/>
      <c r="D32" s="14" t="s">
        <v>23</v>
      </c>
      <c r="E32" s="16"/>
      <c r="F32" s="119"/>
      <c r="G32" s="163">
        <f t="shared" si="0"/>
        <v>179.4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179.4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32"/>
      <c r="F34" s="119"/>
      <c r="G34" s="163">
        <f t="shared" si="0"/>
        <v>179.4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6"/>
      <c r="F35" s="119"/>
      <c r="G35" s="163">
        <f t="shared" si="0"/>
        <v>179.4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179.4</v>
      </c>
      <c r="H36" s="28"/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179.4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32"/>
      <c r="F38" s="119"/>
      <c r="G38" s="163">
        <f t="shared" si="0"/>
        <v>179.4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6"/>
      <c r="F39" s="119"/>
      <c r="G39" s="163">
        <f t="shared" si="0"/>
        <v>179.4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179.4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179.4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56"/>
      <c r="F42" s="157"/>
      <c r="G42" s="163">
        <f t="shared" si="0"/>
        <v>179.4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6"/>
      <c r="F43" s="119"/>
      <c r="G43" s="163">
        <f t="shared" si="0"/>
        <v>179.4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179.4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32"/>
      <c r="F45" s="119"/>
      <c r="G45" s="163">
        <f t="shared" si="0"/>
        <v>179.4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179.4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179.4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179.4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6"/>
      <c r="F49" s="119"/>
      <c r="G49" s="163">
        <f t="shared" si="0"/>
        <v>179.4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32"/>
      <c r="F50" s="119"/>
      <c r="G50" s="163">
        <f t="shared" si="0"/>
        <v>179.4</v>
      </c>
      <c r="H50" s="28"/>
      <c r="I50" s="29"/>
      <c r="J50" s="7"/>
    </row>
    <row r="51" spans="1:10" s="162" customFormat="1" ht="18" customHeight="1" x14ac:dyDescent="0.25">
      <c r="A51" s="14">
        <f t="shared" si="1"/>
        <v>43</v>
      </c>
      <c r="B51" s="159"/>
      <c r="C51" s="15"/>
      <c r="D51" s="14" t="s">
        <v>23</v>
      </c>
      <c r="E51" s="160"/>
      <c r="F51" s="161"/>
      <c r="G51" s="163">
        <f t="shared" si="0"/>
        <v>179.4</v>
      </c>
      <c r="H51" s="28"/>
      <c r="I51" s="29"/>
      <c r="J51" s="271"/>
    </row>
    <row r="52" spans="1:10" ht="18" customHeight="1" x14ac:dyDescent="0.25">
      <c r="A52" s="14">
        <f t="shared" si="1"/>
        <v>44</v>
      </c>
      <c r="B52" s="39"/>
      <c r="C52" s="15"/>
      <c r="D52" s="14" t="s">
        <v>23</v>
      </c>
      <c r="E52" s="16"/>
      <c r="F52" s="119"/>
      <c r="G52" s="163">
        <f t="shared" si="0"/>
        <v>179.4</v>
      </c>
      <c r="H52" s="28"/>
      <c r="I52" s="29"/>
      <c r="J52" s="7"/>
    </row>
    <row r="53" spans="1:10" ht="18" customHeight="1" x14ac:dyDescent="0.25">
      <c r="A53" s="14">
        <f t="shared" si="1"/>
        <v>45</v>
      </c>
      <c r="B53" s="39"/>
      <c r="C53" s="15"/>
      <c r="D53" s="14" t="s">
        <v>19</v>
      </c>
      <c r="E53" s="16"/>
      <c r="F53" s="119"/>
      <c r="G53" s="163">
        <f t="shared" si="0"/>
        <v>179.4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179.4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179.4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13"/>
      <c r="F56" s="119"/>
      <c r="G56" s="163">
        <f t="shared" si="0"/>
        <v>179.4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6"/>
      <c r="F57" s="119"/>
      <c r="G57" s="163">
        <f t="shared" si="0"/>
        <v>179.4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179.4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179.4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179.4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179.4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179.4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13"/>
      <c r="F63" s="119"/>
      <c r="G63" s="163">
        <f t="shared" si="0"/>
        <v>179.4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6"/>
      <c r="F64" s="119"/>
      <c r="G64" s="163">
        <f t="shared" si="0"/>
        <v>179.4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179.4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179.4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13"/>
      <c r="F67" s="119"/>
      <c r="G67" s="163">
        <f t="shared" si="0"/>
        <v>179.4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6"/>
      <c r="F68" s="119"/>
      <c r="G68" s="163">
        <f t="shared" si="0"/>
        <v>179.4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179.4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179.4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179.4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179.4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ref="G73:G112" si="2">+G72+E73-F73</f>
        <v>179.4</v>
      </c>
      <c r="H73" s="28"/>
      <c r="I73" s="29"/>
      <c r="J73" s="7"/>
    </row>
    <row r="74" spans="1:10" ht="18" customHeight="1" x14ac:dyDescent="0.25">
      <c r="A74" s="14">
        <f t="shared" ref="A74:A112" si="3">+A73+1</f>
        <v>66</v>
      </c>
      <c r="B74" s="39"/>
      <c r="C74" s="15"/>
      <c r="D74" s="14" t="s">
        <v>19</v>
      </c>
      <c r="E74" s="16"/>
      <c r="F74" s="119"/>
      <c r="G74" s="163">
        <f t="shared" si="2"/>
        <v>179.4</v>
      </c>
      <c r="H74" s="28"/>
      <c r="I74" s="29"/>
      <c r="J74" s="7"/>
    </row>
    <row r="75" spans="1:10" ht="18" customHeight="1" x14ac:dyDescent="0.25">
      <c r="A75" s="14">
        <f t="shared" si="3"/>
        <v>67</v>
      </c>
      <c r="B75" s="39"/>
      <c r="C75" s="15"/>
      <c r="D75" s="14" t="s">
        <v>19</v>
      </c>
      <c r="E75" s="16"/>
      <c r="F75" s="119"/>
      <c r="G75" s="163">
        <f t="shared" si="2"/>
        <v>179.4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179.4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179.4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179.4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179.4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179.4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179.4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179.4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179.4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179.4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179.4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179.4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179.4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179.4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179.4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179.4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179.4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179.4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179.4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179.4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179.4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179.4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179.4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179.4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179.4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179.4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179.4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179.4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179.4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179.4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179.4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179.4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/>
      <c r="E107" s="16"/>
      <c r="F107" s="119"/>
      <c r="G107" s="163">
        <f t="shared" si="2"/>
        <v>179.4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179.4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179.4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179.4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179.4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179.4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0</v>
      </c>
      <c r="F113" s="165">
        <f>SUM(F9:F112)</f>
        <v>47.6</v>
      </c>
      <c r="G113" s="35">
        <f>+E113-F113+G8</f>
        <v>179.4</v>
      </c>
      <c r="H113" s="35"/>
      <c r="I113" s="36"/>
      <c r="J113" s="7"/>
    </row>
  </sheetData>
  <mergeCells count="1">
    <mergeCell ref="A4:I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4E3B-3A07-4D5D-B38B-48EBA1FD468A}">
  <sheetPr codeName="Sheet45"/>
  <dimension ref="A1:L113"/>
  <sheetViews>
    <sheetView topLeftCell="A6" workbookViewId="0">
      <selection activeCell="E9" sqref="E9:F23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223.5</v>
      </c>
      <c r="H8" s="7"/>
      <c r="I8" s="7"/>
      <c r="J8" s="7"/>
    </row>
    <row r="9" spans="1:12" ht="18" customHeight="1" x14ac:dyDescent="0.25">
      <c r="A9" s="14">
        <v>1</v>
      </c>
      <c r="B9" s="39"/>
      <c r="C9" s="15" t="s">
        <v>199</v>
      </c>
      <c r="D9" s="14" t="s">
        <v>23</v>
      </c>
      <c r="E9" s="51"/>
      <c r="F9" s="119"/>
      <c r="G9" s="163">
        <f t="shared" ref="G9:G72" si="0">+G8+E9-F9</f>
        <v>223.5</v>
      </c>
      <c r="H9" s="28" t="s">
        <v>129</v>
      </c>
      <c r="I9" s="29" t="s">
        <v>90</v>
      </c>
      <c r="J9" s="7">
        <v>9</v>
      </c>
      <c r="K9" s="349"/>
      <c r="L9" s="162"/>
    </row>
    <row r="10" spans="1:12" ht="18" customHeight="1" x14ac:dyDescent="0.25">
      <c r="A10" s="14">
        <f t="shared" ref="A10:A73" si="1">+A9+1</f>
        <v>2</v>
      </c>
      <c r="B10" s="39"/>
      <c r="C10" s="15" t="s">
        <v>199</v>
      </c>
      <c r="D10" s="14" t="s">
        <v>23</v>
      </c>
      <c r="E10" s="16"/>
      <c r="F10" s="152"/>
      <c r="G10" s="163">
        <f t="shared" si="0"/>
        <v>223.5</v>
      </c>
      <c r="H10" s="28" t="s">
        <v>129</v>
      </c>
      <c r="I10" s="29" t="s">
        <v>90</v>
      </c>
      <c r="J10" s="7"/>
    </row>
    <row r="11" spans="1:12" ht="18" customHeight="1" x14ac:dyDescent="0.25">
      <c r="A11" s="14">
        <f t="shared" si="1"/>
        <v>3</v>
      </c>
      <c r="B11" s="39"/>
      <c r="C11" s="15" t="s">
        <v>199</v>
      </c>
      <c r="D11" s="14" t="s">
        <v>23</v>
      </c>
      <c r="E11" s="143"/>
      <c r="F11" s="152"/>
      <c r="G11" s="163">
        <f t="shared" si="0"/>
        <v>223.5</v>
      </c>
      <c r="H11" s="28" t="s">
        <v>129</v>
      </c>
      <c r="I11" s="29" t="s">
        <v>90</v>
      </c>
      <c r="J11" s="7"/>
      <c r="K11" t="s">
        <v>217</v>
      </c>
    </row>
    <row r="12" spans="1:12" ht="18" customHeight="1" x14ac:dyDescent="0.25">
      <c r="A12" s="14">
        <f t="shared" si="1"/>
        <v>4</v>
      </c>
      <c r="B12" s="39"/>
      <c r="C12" s="15" t="s">
        <v>219</v>
      </c>
      <c r="D12" s="14" t="s">
        <v>23</v>
      </c>
      <c r="E12" s="319"/>
      <c r="F12" s="152"/>
      <c r="G12" s="163">
        <f t="shared" si="0"/>
        <v>223.5</v>
      </c>
      <c r="H12" s="28" t="s">
        <v>129</v>
      </c>
      <c r="I12" s="29" t="s">
        <v>90</v>
      </c>
      <c r="J12" s="7"/>
    </row>
    <row r="13" spans="1:12" ht="18" customHeight="1" x14ac:dyDescent="0.25">
      <c r="A13" s="14">
        <f t="shared" si="1"/>
        <v>5</v>
      </c>
      <c r="B13" s="39"/>
      <c r="C13" s="15" t="s">
        <v>219</v>
      </c>
      <c r="D13" s="14" t="s">
        <v>23</v>
      </c>
      <c r="E13" s="135"/>
      <c r="F13" s="153"/>
      <c r="G13" s="163">
        <f t="shared" si="0"/>
        <v>223.5</v>
      </c>
      <c r="H13" s="28" t="s">
        <v>129</v>
      </c>
      <c r="I13" s="29" t="s">
        <v>90</v>
      </c>
      <c r="J13" s="7"/>
    </row>
    <row r="14" spans="1:12" ht="18" customHeight="1" x14ac:dyDescent="0.25">
      <c r="A14" s="14">
        <f t="shared" si="1"/>
        <v>6</v>
      </c>
      <c r="B14" s="39"/>
      <c r="C14" s="15" t="s">
        <v>219</v>
      </c>
      <c r="D14" s="14" t="s">
        <v>23</v>
      </c>
      <c r="E14" s="145"/>
      <c r="F14" s="153"/>
      <c r="G14" s="163">
        <f t="shared" si="0"/>
        <v>223.5</v>
      </c>
      <c r="H14" s="28" t="s">
        <v>129</v>
      </c>
      <c r="I14" s="29" t="s">
        <v>90</v>
      </c>
      <c r="J14" s="7"/>
    </row>
    <row r="15" spans="1:12" ht="18" customHeight="1" x14ac:dyDescent="0.25">
      <c r="A15" s="14">
        <f t="shared" si="1"/>
        <v>7</v>
      </c>
      <c r="B15" s="39"/>
      <c r="C15" s="15" t="s">
        <v>219</v>
      </c>
      <c r="D15" s="14" t="s">
        <v>23</v>
      </c>
      <c r="E15" s="154"/>
      <c r="F15" s="153"/>
      <c r="G15" s="163">
        <f t="shared" si="0"/>
        <v>223.5</v>
      </c>
      <c r="H15" s="28" t="s">
        <v>129</v>
      </c>
      <c r="I15" s="29" t="s">
        <v>90</v>
      </c>
      <c r="J15" s="140"/>
    </row>
    <row r="16" spans="1:12" ht="18" customHeight="1" x14ac:dyDescent="0.25">
      <c r="A16" s="14">
        <f t="shared" si="1"/>
        <v>8</v>
      </c>
      <c r="B16" s="39"/>
      <c r="C16" s="15" t="s">
        <v>219</v>
      </c>
      <c r="D16" s="14" t="s">
        <v>23</v>
      </c>
      <c r="E16" s="113"/>
      <c r="F16" s="152"/>
      <c r="G16" s="163">
        <f t="shared" si="0"/>
        <v>223.5</v>
      </c>
      <c r="H16" s="28" t="s">
        <v>129</v>
      </c>
      <c r="I16" s="29" t="s">
        <v>90</v>
      </c>
      <c r="J16" s="7"/>
    </row>
    <row r="17" spans="1:10" ht="18" customHeight="1" x14ac:dyDescent="0.25">
      <c r="A17" s="14">
        <f t="shared" si="1"/>
        <v>9</v>
      </c>
      <c r="B17" s="39"/>
      <c r="C17" s="15" t="s">
        <v>219</v>
      </c>
      <c r="D17" s="14" t="s">
        <v>23</v>
      </c>
      <c r="E17" s="132"/>
      <c r="F17" s="152"/>
      <c r="G17" s="163">
        <f t="shared" si="0"/>
        <v>223.5</v>
      </c>
      <c r="H17" s="28" t="s">
        <v>129</v>
      </c>
      <c r="I17" s="29" t="s">
        <v>90</v>
      </c>
      <c r="J17" s="7"/>
    </row>
    <row r="18" spans="1:10" ht="18" customHeight="1" x14ac:dyDescent="0.25">
      <c r="A18" s="14">
        <f t="shared" si="1"/>
        <v>10</v>
      </c>
      <c r="B18" s="39"/>
      <c r="C18" s="15" t="s">
        <v>219</v>
      </c>
      <c r="D18" s="14" t="s">
        <v>23</v>
      </c>
      <c r="E18" s="16"/>
      <c r="F18" s="152"/>
      <c r="G18" s="163">
        <f t="shared" si="0"/>
        <v>223.5</v>
      </c>
      <c r="H18" s="28" t="s">
        <v>129</v>
      </c>
      <c r="I18" s="29" t="s">
        <v>90</v>
      </c>
      <c r="J18" s="7"/>
    </row>
    <row r="19" spans="1:10" ht="18" customHeight="1" x14ac:dyDescent="0.25">
      <c r="A19" s="14">
        <f t="shared" si="1"/>
        <v>11</v>
      </c>
      <c r="B19" s="39"/>
      <c r="C19" s="15" t="s">
        <v>219</v>
      </c>
      <c r="D19" s="14" t="s">
        <v>23</v>
      </c>
      <c r="E19" s="16"/>
      <c r="F19" s="152"/>
      <c r="G19" s="163">
        <f t="shared" si="0"/>
        <v>223.5</v>
      </c>
      <c r="H19" s="28" t="s">
        <v>129</v>
      </c>
      <c r="I19" s="29" t="s">
        <v>90</v>
      </c>
      <c r="J19" s="7"/>
    </row>
    <row r="20" spans="1:10" ht="18" customHeight="1" x14ac:dyDescent="0.25">
      <c r="A20" s="14">
        <f t="shared" si="1"/>
        <v>12</v>
      </c>
      <c r="B20" s="39"/>
      <c r="C20" s="15"/>
      <c r="D20" s="14" t="s">
        <v>23</v>
      </c>
      <c r="E20" s="132"/>
      <c r="F20" s="152"/>
      <c r="G20" s="163">
        <f t="shared" si="0"/>
        <v>223.5</v>
      </c>
      <c r="H20" s="28" t="s">
        <v>129</v>
      </c>
      <c r="I20" s="29" t="s">
        <v>90</v>
      </c>
      <c r="J20" s="7"/>
    </row>
    <row r="21" spans="1:10" ht="18" customHeight="1" x14ac:dyDescent="0.25">
      <c r="A21" s="14">
        <f t="shared" si="1"/>
        <v>13</v>
      </c>
      <c r="B21" s="42"/>
      <c r="C21" s="15"/>
      <c r="D21" s="14" t="s">
        <v>23</v>
      </c>
      <c r="E21" s="132"/>
      <c r="F21" s="152"/>
      <c r="G21" s="163">
        <f t="shared" si="0"/>
        <v>223.5</v>
      </c>
      <c r="H21" s="28" t="s">
        <v>129</v>
      </c>
      <c r="I21" s="29" t="s">
        <v>90</v>
      </c>
      <c r="J21" s="7"/>
    </row>
    <row r="22" spans="1:10" ht="18" customHeight="1" x14ac:dyDescent="0.25">
      <c r="A22" s="14">
        <f t="shared" si="1"/>
        <v>14</v>
      </c>
      <c r="B22" s="39"/>
      <c r="C22" s="15"/>
      <c r="D22" s="14" t="s">
        <v>23</v>
      </c>
      <c r="E22" s="132"/>
      <c r="F22" s="152"/>
      <c r="G22" s="163">
        <f t="shared" si="0"/>
        <v>223.5</v>
      </c>
      <c r="H22" s="28" t="s">
        <v>91</v>
      </c>
      <c r="I22" s="29"/>
      <c r="J22" s="7"/>
    </row>
    <row r="23" spans="1:10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223.5</v>
      </c>
      <c r="H23" s="28" t="s">
        <v>91</v>
      </c>
      <c r="I23" s="29"/>
      <c r="J23" s="7"/>
    </row>
    <row r="24" spans="1:10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5"/>
      <c r="G24" s="163">
        <f t="shared" si="0"/>
        <v>223.5</v>
      </c>
      <c r="H24" s="28" t="s">
        <v>91</v>
      </c>
      <c r="I24" s="29"/>
      <c r="J24" s="7"/>
    </row>
    <row r="25" spans="1:10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2"/>
      <c r="G25" s="163">
        <f t="shared" si="0"/>
        <v>223.5</v>
      </c>
      <c r="H25" s="28" t="s">
        <v>91</v>
      </c>
      <c r="I25" s="29"/>
      <c r="J25" s="7"/>
    </row>
    <row r="26" spans="1:10" ht="18" customHeight="1" x14ac:dyDescent="0.25">
      <c r="A26" s="14">
        <f t="shared" si="1"/>
        <v>18</v>
      </c>
      <c r="B26" s="39"/>
      <c r="C26" s="15"/>
      <c r="D26" s="14" t="s">
        <v>23</v>
      </c>
      <c r="E26" s="16"/>
      <c r="F26" s="152"/>
      <c r="G26" s="163">
        <f t="shared" si="0"/>
        <v>223.5</v>
      </c>
      <c r="H26" s="28" t="s">
        <v>91</v>
      </c>
      <c r="I26" s="29"/>
      <c r="J26" s="7"/>
    </row>
    <row r="27" spans="1:10" ht="18" customHeight="1" x14ac:dyDescent="0.25">
      <c r="A27" s="14">
        <f t="shared" si="1"/>
        <v>19</v>
      </c>
      <c r="B27" s="39"/>
      <c r="C27" s="15"/>
      <c r="D27" s="14" t="s">
        <v>23</v>
      </c>
      <c r="E27" s="132"/>
      <c r="F27" s="152"/>
      <c r="G27" s="163">
        <f t="shared" si="0"/>
        <v>223.5</v>
      </c>
      <c r="H27" s="28" t="s">
        <v>91</v>
      </c>
      <c r="I27" s="29"/>
      <c r="J27" s="7"/>
    </row>
    <row r="28" spans="1:10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223.5</v>
      </c>
      <c r="H28" s="28" t="s">
        <v>91</v>
      </c>
      <c r="I28" s="29"/>
      <c r="J28" s="7"/>
    </row>
    <row r="29" spans="1:10" ht="18" customHeight="1" x14ac:dyDescent="0.25">
      <c r="A29" s="14">
        <f t="shared" si="1"/>
        <v>21</v>
      </c>
      <c r="B29" s="39"/>
      <c r="C29" s="15"/>
      <c r="D29" s="14" t="s">
        <v>23</v>
      </c>
      <c r="E29" s="16"/>
      <c r="F29" s="119"/>
      <c r="G29" s="163">
        <f t="shared" si="0"/>
        <v>223.5</v>
      </c>
      <c r="H29" s="28" t="s">
        <v>91</v>
      </c>
      <c r="I29" s="29"/>
      <c r="J29" s="7"/>
    </row>
    <row r="30" spans="1:10" ht="18" customHeight="1" x14ac:dyDescent="0.25">
      <c r="A30" s="14">
        <f t="shared" si="1"/>
        <v>22</v>
      </c>
      <c r="B30" s="39"/>
      <c r="C30" s="15"/>
      <c r="D30" s="14" t="s">
        <v>23</v>
      </c>
      <c r="E30" s="132"/>
      <c r="F30" s="119"/>
      <c r="G30" s="163">
        <f t="shared" si="0"/>
        <v>223.5</v>
      </c>
      <c r="H30" s="28" t="s">
        <v>91</v>
      </c>
      <c r="I30" s="29"/>
      <c r="J30" s="7"/>
    </row>
    <row r="31" spans="1:10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223.5</v>
      </c>
      <c r="H31" s="28" t="s">
        <v>91</v>
      </c>
      <c r="I31" s="29"/>
      <c r="J31" s="7"/>
    </row>
    <row r="32" spans="1:10" ht="18" customHeight="1" x14ac:dyDescent="0.25">
      <c r="A32" s="14">
        <f t="shared" si="1"/>
        <v>24</v>
      </c>
      <c r="B32" s="39"/>
      <c r="C32" s="15"/>
      <c r="D32" s="14" t="s">
        <v>23</v>
      </c>
      <c r="E32" s="16"/>
      <c r="F32" s="119"/>
      <c r="G32" s="163">
        <f t="shared" si="0"/>
        <v>223.5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223.5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32"/>
      <c r="F34" s="119"/>
      <c r="G34" s="163">
        <f t="shared" si="0"/>
        <v>223.5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6"/>
      <c r="F35" s="119"/>
      <c r="G35" s="163">
        <f t="shared" si="0"/>
        <v>223.5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223.5</v>
      </c>
      <c r="H36" s="28"/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223.5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32"/>
      <c r="F38" s="119"/>
      <c r="G38" s="163">
        <f t="shared" si="0"/>
        <v>223.5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6"/>
      <c r="F39" s="119"/>
      <c r="G39" s="163">
        <f t="shared" si="0"/>
        <v>223.5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223.5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223.5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56"/>
      <c r="F42" s="157"/>
      <c r="G42" s="163">
        <f t="shared" si="0"/>
        <v>223.5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6"/>
      <c r="F43" s="119"/>
      <c r="G43" s="163">
        <f t="shared" si="0"/>
        <v>223.5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223.5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32"/>
      <c r="F45" s="119"/>
      <c r="G45" s="163">
        <f t="shared" si="0"/>
        <v>223.5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223.5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223.5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223.5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6"/>
      <c r="F49" s="119"/>
      <c r="G49" s="163">
        <f t="shared" si="0"/>
        <v>223.5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32"/>
      <c r="F50" s="119"/>
      <c r="G50" s="163">
        <f t="shared" si="0"/>
        <v>223.5</v>
      </c>
      <c r="H50" s="28"/>
      <c r="I50" s="29"/>
      <c r="J50" s="7"/>
    </row>
    <row r="51" spans="1:10" s="162" customFormat="1" ht="18" customHeight="1" x14ac:dyDescent="0.25">
      <c r="A51" s="14">
        <f t="shared" si="1"/>
        <v>43</v>
      </c>
      <c r="B51" s="159"/>
      <c r="C51" s="15"/>
      <c r="D51" s="14" t="s">
        <v>23</v>
      </c>
      <c r="E51" s="160"/>
      <c r="F51" s="161"/>
      <c r="G51" s="163">
        <f t="shared" si="0"/>
        <v>223.5</v>
      </c>
      <c r="H51" s="28"/>
      <c r="I51" s="29"/>
      <c r="J51" s="271"/>
    </row>
    <row r="52" spans="1:10" ht="18" customHeight="1" x14ac:dyDescent="0.25">
      <c r="A52" s="14">
        <f t="shared" si="1"/>
        <v>44</v>
      </c>
      <c r="B52" s="39"/>
      <c r="C52" s="15"/>
      <c r="D52" s="14" t="s">
        <v>23</v>
      </c>
      <c r="E52" s="16"/>
      <c r="F52" s="119"/>
      <c r="G52" s="163">
        <f t="shared" si="0"/>
        <v>223.5</v>
      </c>
      <c r="H52" s="28"/>
      <c r="I52" s="29"/>
      <c r="J52" s="7"/>
    </row>
    <row r="53" spans="1:10" ht="18" customHeight="1" x14ac:dyDescent="0.25">
      <c r="A53" s="14">
        <f t="shared" si="1"/>
        <v>45</v>
      </c>
      <c r="B53" s="39"/>
      <c r="C53" s="15"/>
      <c r="D53" s="14" t="s">
        <v>19</v>
      </c>
      <c r="E53" s="16"/>
      <c r="F53" s="119"/>
      <c r="G53" s="163">
        <f t="shared" si="0"/>
        <v>223.5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223.5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223.5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13"/>
      <c r="F56" s="119"/>
      <c r="G56" s="163">
        <f t="shared" si="0"/>
        <v>223.5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6"/>
      <c r="F57" s="119"/>
      <c r="G57" s="163">
        <f t="shared" si="0"/>
        <v>223.5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223.5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223.5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223.5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223.5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223.5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13"/>
      <c r="F63" s="119"/>
      <c r="G63" s="163">
        <f t="shared" si="0"/>
        <v>223.5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6"/>
      <c r="F64" s="119"/>
      <c r="G64" s="163">
        <f t="shared" si="0"/>
        <v>223.5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223.5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223.5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13"/>
      <c r="F67" s="119"/>
      <c r="G67" s="163">
        <f t="shared" si="0"/>
        <v>223.5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6"/>
      <c r="F68" s="119"/>
      <c r="G68" s="163">
        <f t="shared" si="0"/>
        <v>223.5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223.5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223.5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223.5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223.5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ref="G73:G112" si="2">+G72+E73-F73</f>
        <v>223.5</v>
      </c>
      <c r="H73" s="28"/>
      <c r="I73" s="29"/>
      <c r="J73" s="7"/>
    </row>
    <row r="74" spans="1:10" ht="18" customHeight="1" x14ac:dyDescent="0.25">
      <c r="A74" s="14">
        <f t="shared" ref="A74:A112" si="3">+A73+1</f>
        <v>66</v>
      </c>
      <c r="B74" s="39"/>
      <c r="C74" s="15"/>
      <c r="D74" s="14" t="s">
        <v>19</v>
      </c>
      <c r="E74" s="16"/>
      <c r="F74" s="119"/>
      <c r="G74" s="163">
        <f t="shared" si="2"/>
        <v>223.5</v>
      </c>
      <c r="H74" s="28"/>
      <c r="I74" s="29"/>
      <c r="J74" s="7"/>
    </row>
    <row r="75" spans="1:10" ht="18" customHeight="1" x14ac:dyDescent="0.25">
      <c r="A75" s="14">
        <f t="shared" si="3"/>
        <v>67</v>
      </c>
      <c r="B75" s="39"/>
      <c r="C75" s="15"/>
      <c r="D75" s="14" t="s">
        <v>19</v>
      </c>
      <c r="E75" s="16"/>
      <c r="F75" s="119"/>
      <c r="G75" s="163">
        <f t="shared" si="2"/>
        <v>223.5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223.5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223.5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223.5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223.5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223.5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223.5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223.5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223.5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223.5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223.5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223.5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223.5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223.5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223.5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223.5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223.5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223.5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223.5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223.5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223.5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223.5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223.5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223.5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223.5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223.5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223.5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223.5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223.5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223.5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223.5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223.5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/>
      <c r="E107" s="16"/>
      <c r="F107" s="119"/>
      <c r="G107" s="163">
        <f t="shared" si="2"/>
        <v>223.5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223.5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223.5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223.5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223.5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223.5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0</v>
      </c>
      <c r="F113" s="165">
        <f>SUM(F9:F112)</f>
        <v>0</v>
      </c>
      <c r="G113" s="35">
        <f>+E113-F113+G8</f>
        <v>223.5</v>
      </c>
      <c r="H113" s="35"/>
      <c r="I113" s="36"/>
      <c r="J113" s="7"/>
    </row>
  </sheetData>
  <mergeCells count="1">
    <mergeCell ref="A4:I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2AF2-3A8D-4770-A04F-DA5421DC68E0}">
  <sheetPr codeName="Sheet46"/>
  <dimension ref="A1:L113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style="149" customWidth="1"/>
    <col min="7" max="7" width="13" customWidth="1"/>
    <col min="8" max="8" width="20.85546875" customWidth="1"/>
    <col min="9" max="9" width="12.42578125" customWidth="1"/>
    <col min="10" max="10" width="12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2" ht="27.75" customHeight="1" x14ac:dyDescent="0.25">
      <c r="A7" s="4" t="s">
        <v>3</v>
      </c>
      <c r="B7" s="4" t="s">
        <v>4</v>
      </c>
      <c r="C7" s="5">
        <v>45023</v>
      </c>
      <c r="D7" s="4" t="s">
        <v>5</v>
      </c>
      <c r="E7" s="6" t="s">
        <v>6</v>
      </c>
      <c r="F7" s="150" t="s">
        <v>7</v>
      </c>
      <c r="G7" s="6" t="s">
        <v>8</v>
      </c>
      <c r="H7" s="6" t="s">
        <v>9</v>
      </c>
      <c r="I7" s="4" t="s">
        <v>22</v>
      </c>
      <c r="J7" s="4" t="s">
        <v>182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7">
        <v>223.3</v>
      </c>
      <c r="H8" s="7"/>
      <c r="I8" s="7"/>
      <c r="J8" s="7"/>
    </row>
    <row r="9" spans="1:12" ht="18" customHeight="1" x14ac:dyDescent="0.25">
      <c r="A9" s="14">
        <v>1</v>
      </c>
      <c r="B9" s="39">
        <v>45728</v>
      </c>
      <c r="C9" s="15" t="s">
        <v>200</v>
      </c>
      <c r="D9" s="14" t="s">
        <v>23</v>
      </c>
      <c r="E9" s="51"/>
      <c r="F9" s="119">
        <v>12.4</v>
      </c>
      <c r="G9" s="163">
        <f t="shared" ref="G9:G72" si="0">+G8+E9-F9</f>
        <v>210.9</v>
      </c>
      <c r="H9" s="28" t="s">
        <v>129</v>
      </c>
      <c r="I9" s="29"/>
      <c r="J9" s="7">
        <v>9</v>
      </c>
      <c r="K9" s="349"/>
      <c r="L9" s="162"/>
    </row>
    <row r="10" spans="1:12" ht="18" customHeight="1" x14ac:dyDescent="0.25">
      <c r="A10" s="14">
        <f t="shared" ref="A10:A73" si="1">+A9+1</f>
        <v>2</v>
      </c>
      <c r="B10" s="39">
        <v>45729</v>
      </c>
      <c r="C10" s="15" t="s">
        <v>200</v>
      </c>
      <c r="D10" s="14" t="s">
        <v>23</v>
      </c>
      <c r="E10" s="16"/>
      <c r="F10" s="152">
        <v>19.2</v>
      </c>
      <c r="G10" s="163">
        <f t="shared" si="0"/>
        <v>191.70000000000002</v>
      </c>
      <c r="H10" s="28" t="s">
        <v>129</v>
      </c>
      <c r="I10" s="29"/>
      <c r="J10" s="7"/>
    </row>
    <row r="11" spans="1:12" ht="18" customHeight="1" x14ac:dyDescent="0.25">
      <c r="A11" s="14">
        <f t="shared" si="1"/>
        <v>3</v>
      </c>
      <c r="B11" s="39">
        <v>45926</v>
      </c>
      <c r="C11" s="15" t="s">
        <v>200</v>
      </c>
      <c r="D11" s="14" t="s">
        <v>23</v>
      </c>
      <c r="E11" s="143"/>
      <c r="F11" s="152">
        <v>2</v>
      </c>
      <c r="G11" s="163">
        <f t="shared" si="0"/>
        <v>189.70000000000002</v>
      </c>
      <c r="H11" s="28" t="s">
        <v>129</v>
      </c>
      <c r="I11" s="29"/>
      <c r="J11" s="7"/>
    </row>
    <row r="12" spans="1:12" ht="18" customHeight="1" x14ac:dyDescent="0.25">
      <c r="A12" s="14">
        <f t="shared" si="1"/>
        <v>4</v>
      </c>
      <c r="B12" s="39"/>
      <c r="C12" s="15" t="s">
        <v>200</v>
      </c>
      <c r="D12" s="14" t="s">
        <v>23</v>
      </c>
      <c r="E12" s="319"/>
      <c r="F12" s="152"/>
      <c r="G12" s="163">
        <f t="shared" si="0"/>
        <v>189.70000000000002</v>
      </c>
      <c r="H12" s="28" t="s">
        <v>129</v>
      </c>
      <c r="I12" s="29"/>
      <c r="J12" s="7"/>
    </row>
    <row r="13" spans="1:12" ht="18" customHeight="1" x14ac:dyDescent="0.25">
      <c r="A13" s="14">
        <f t="shared" si="1"/>
        <v>5</v>
      </c>
      <c r="B13" s="39"/>
      <c r="C13" s="15" t="s">
        <v>200</v>
      </c>
      <c r="D13" s="14" t="s">
        <v>23</v>
      </c>
      <c r="E13" s="135"/>
      <c r="F13" s="153"/>
      <c r="G13" s="163">
        <f t="shared" si="0"/>
        <v>189.70000000000002</v>
      </c>
      <c r="H13" s="28" t="s">
        <v>129</v>
      </c>
      <c r="I13" s="29"/>
      <c r="J13" s="7"/>
      <c r="K13" t="s">
        <v>218</v>
      </c>
    </row>
    <row r="14" spans="1:12" ht="18" customHeight="1" x14ac:dyDescent="0.25">
      <c r="A14" s="14">
        <f t="shared" si="1"/>
        <v>6</v>
      </c>
      <c r="B14" s="39"/>
      <c r="C14" s="15" t="s">
        <v>220</v>
      </c>
      <c r="D14" s="14" t="s">
        <v>23</v>
      </c>
      <c r="E14" s="145"/>
      <c r="F14" s="153"/>
      <c r="G14" s="163">
        <f t="shared" si="0"/>
        <v>189.70000000000002</v>
      </c>
      <c r="H14" s="28" t="s">
        <v>129</v>
      </c>
      <c r="I14" s="29"/>
      <c r="J14" s="7"/>
    </row>
    <row r="15" spans="1:12" ht="18" customHeight="1" x14ac:dyDescent="0.25">
      <c r="A15" s="14">
        <f t="shared" si="1"/>
        <v>7</v>
      </c>
      <c r="B15" s="39"/>
      <c r="C15" s="15" t="s">
        <v>220</v>
      </c>
      <c r="D15" s="14" t="s">
        <v>23</v>
      </c>
      <c r="E15" s="154"/>
      <c r="F15" s="153"/>
      <c r="G15" s="163">
        <f t="shared" si="0"/>
        <v>189.70000000000002</v>
      </c>
      <c r="H15" s="28" t="s">
        <v>129</v>
      </c>
      <c r="I15" s="29"/>
      <c r="J15" s="140"/>
    </row>
    <row r="16" spans="1:12" ht="18" customHeight="1" x14ac:dyDescent="0.25">
      <c r="A16" s="14">
        <f t="shared" si="1"/>
        <v>8</v>
      </c>
      <c r="B16" s="39"/>
      <c r="C16" s="15" t="s">
        <v>220</v>
      </c>
      <c r="D16" s="14" t="s">
        <v>23</v>
      </c>
      <c r="E16" s="113"/>
      <c r="F16" s="152"/>
      <c r="G16" s="163">
        <f t="shared" si="0"/>
        <v>189.70000000000002</v>
      </c>
      <c r="H16" s="28" t="s">
        <v>129</v>
      </c>
      <c r="I16" s="29"/>
      <c r="J16" s="7"/>
    </row>
    <row r="17" spans="1:10" ht="18" customHeight="1" x14ac:dyDescent="0.25">
      <c r="A17" s="14">
        <f t="shared" si="1"/>
        <v>9</v>
      </c>
      <c r="B17" s="39"/>
      <c r="C17" s="15" t="s">
        <v>220</v>
      </c>
      <c r="D17" s="14" t="s">
        <v>23</v>
      </c>
      <c r="E17" s="132"/>
      <c r="F17" s="152"/>
      <c r="G17" s="163">
        <f t="shared" si="0"/>
        <v>189.70000000000002</v>
      </c>
      <c r="H17" s="28" t="s">
        <v>129</v>
      </c>
      <c r="I17" s="29"/>
      <c r="J17" s="7"/>
    </row>
    <row r="18" spans="1:10" ht="18" customHeight="1" x14ac:dyDescent="0.25">
      <c r="A18" s="14">
        <f t="shared" si="1"/>
        <v>10</v>
      </c>
      <c r="B18" s="39"/>
      <c r="C18" s="15" t="s">
        <v>220</v>
      </c>
      <c r="D18" s="14" t="s">
        <v>23</v>
      </c>
      <c r="E18" s="16"/>
      <c r="F18" s="152"/>
      <c r="G18" s="163">
        <f t="shared" si="0"/>
        <v>189.70000000000002</v>
      </c>
      <c r="H18" s="28" t="s">
        <v>91</v>
      </c>
      <c r="I18" s="29"/>
      <c r="J18" s="7"/>
    </row>
    <row r="19" spans="1:10" ht="18" customHeight="1" x14ac:dyDescent="0.25">
      <c r="A19" s="14">
        <f t="shared" si="1"/>
        <v>11</v>
      </c>
      <c r="B19" s="39"/>
      <c r="C19" s="15" t="s">
        <v>220</v>
      </c>
      <c r="D19" s="14" t="s">
        <v>23</v>
      </c>
      <c r="E19" s="16"/>
      <c r="F19" s="152"/>
      <c r="G19" s="163">
        <f t="shared" si="0"/>
        <v>189.70000000000002</v>
      </c>
      <c r="H19" s="28" t="s">
        <v>91</v>
      </c>
      <c r="I19" s="29"/>
      <c r="J19" s="7"/>
    </row>
    <row r="20" spans="1:10" ht="18" customHeight="1" x14ac:dyDescent="0.25">
      <c r="A20" s="14">
        <f t="shared" si="1"/>
        <v>12</v>
      </c>
      <c r="B20" s="39"/>
      <c r="C20" s="15"/>
      <c r="D20" s="14" t="s">
        <v>23</v>
      </c>
      <c r="E20" s="132"/>
      <c r="F20" s="152"/>
      <c r="G20" s="163">
        <f t="shared" si="0"/>
        <v>189.70000000000002</v>
      </c>
      <c r="H20" s="28" t="s">
        <v>129</v>
      </c>
      <c r="I20" s="29"/>
      <c r="J20" s="7"/>
    </row>
    <row r="21" spans="1:10" ht="18" customHeight="1" x14ac:dyDescent="0.25">
      <c r="A21" s="14">
        <f t="shared" si="1"/>
        <v>13</v>
      </c>
      <c r="B21" s="42"/>
      <c r="C21" s="15"/>
      <c r="D21" s="14" t="s">
        <v>23</v>
      </c>
      <c r="E21" s="132"/>
      <c r="F21" s="152"/>
      <c r="G21" s="163">
        <f t="shared" si="0"/>
        <v>189.70000000000002</v>
      </c>
      <c r="H21" s="28" t="s">
        <v>91</v>
      </c>
      <c r="I21" s="29"/>
      <c r="J21" s="7"/>
    </row>
    <row r="22" spans="1:10" ht="18" customHeight="1" x14ac:dyDescent="0.25">
      <c r="A22" s="14">
        <f t="shared" si="1"/>
        <v>14</v>
      </c>
      <c r="B22" s="39"/>
      <c r="C22" s="15"/>
      <c r="D22" s="14" t="s">
        <v>23</v>
      </c>
      <c r="E22" s="132"/>
      <c r="F22" s="152"/>
      <c r="G22" s="163">
        <f t="shared" si="0"/>
        <v>189.70000000000002</v>
      </c>
      <c r="H22" s="28" t="s">
        <v>91</v>
      </c>
      <c r="I22" s="29"/>
      <c r="J22" s="7"/>
    </row>
    <row r="23" spans="1:10" ht="18" customHeight="1" x14ac:dyDescent="0.25">
      <c r="A23" s="14">
        <f t="shared" si="1"/>
        <v>15</v>
      </c>
      <c r="B23" s="39"/>
      <c r="C23" s="15"/>
      <c r="D23" s="14" t="s">
        <v>23</v>
      </c>
      <c r="E23" s="132"/>
      <c r="F23" s="152"/>
      <c r="G23" s="163">
        <f t="shared" si="0"/>
        <v>189.70000000000002</v>
      </c>
      <c r="H23" s="28" t="s">
        <v>91</v>
      </c>
      <c r="I23" s="29"/>
      <c r="J23" s="7"/>
    </row>
    <row r="24" spans="1:10" ht="18" customHeight="1" x14ac:dyDescent="0.25">
      <c r="A24" s="14">
        <f t="shared" si="1"/>
        <v>16</v>
      </c>
      <c r="B24" s="39"/>
      <c r="C24" s="15"/>
      <c r="D24" s="14" t="s">
        <v>23</v>
      </c>
      <c r="E24" s="132"/>
      <c r="F24" s="155"/>
      <c r="G24" s="163">
        <f t="shared" si="0"/>
        <v>189.70000000000002</v>
      </c>
      <c r="H24" s="28" t="s">
        <v>91</v>
      </c>
      <c r="I24" s="29"/>
      <c r="J24" s="7"/>
    </row>
    <row r="25" spans="1:10" ht="18" customHeight="1" x14ac:dyDescent="0.25">
      <c r="A25" s="14">
        <f t="shared" si="1"/>
        <v>17</v>
      </c>
      <c r="B25" s="39"/>
      <c r="C25" s="15"/>
      <c r="D25" s="14" t="s">
        <v>23</v>
      </c>
      <c r="E25" s="132"/>
      <c r="F25" s="152"/>
      <c r="G25" s="163">
        <f t="shared" si="0"/>
        <v>189.70000000000002</v>
      </c>
      <c r="H25" s="28" t="s">
        <v>91</v>
      </c>
      <c r="I25" s="29"/>
      <c r="J25" s="7"/>
    </row>
    <row r="26" spans="1:10" ht="18" customHeight="1" x14ac:dyDescent="0.25">
      <c r="A26" s="14">
        <f t="shared" si="1"/>
        <v>18</v>
      </c>
      <c r="B26" s="39"/>
      <c r="C26" s="15"/>
      <c r="D26" s="14" t="s">
        <v>23</v>
      </c>
      <c r="E26" s="16"/>
      <c r="F26" s="152"/>
      <c r="G26" s="163">
        <f t="shared" si="0"/>
        <v>189.70000000000002</v>
      </c>
      <c r="H26" s="28" t="s">
        <v>91</v>
      </c>
      <c r="I26" s="29"/>
      <c r="J26" s="7"/>
    </row>
    <row r="27" spans="1:10" ht="18" customHeight="1" x14ac:dyDescent="0.25">
      <c r="A27" s="14">
        <f t="shared" si="1"/>
        <v>19</v>
      </c>
      <c r="B27" s="39"/>
      <c r="C27" s="15"/>
      <c r="D27" s="14" t="s">
        <v>23</v>
      </c>
      <c r="E27" s="132"/>
      <c r="F27" s="152"/>
      <c r="G27" s="163">
        <f t="shared" si="0"/>
        <v>189.70000000000002</v>
      </c>
      <c r="H27" s="28" t="s">
        <v>91</v>
      </c>
      <c r="I27" s="29"/>
      <c r="J27" s="7"/>
    </row>
    <row r="28" spans="1:10" ht="18" customHeight="1" x14ac:dyDescent="0.25">
      <c r="A28" s="14">
        <f t="shared" si="1"/>
        <v>20</v>
      </c>
      <c r="B28" s="39"/>
      <c r="C28" s="15"/>
      <c r="D28" s="14" t="s">
        <v>23</v>
      </c>
      <c r="E28" s="132"/>
      <c r="F28" s="152"/>
      <c r="G28" s="163">
        <f t="shared" si="0"/>
        <v>189.70000000000002</v>
      </c>
      <c r="H28" s="28" t="s">
        <v>91</v>
      </c>
      <c r="I28" s="29"/>
      <c r="J28" s="7"/>
    </row>
    <row r="29" spans="1:10" ht="18" customHeight="1" x14ac:dyDescent="0.25">
      <c r="A29" s="14">
        <f t="shared" si="1"/>
        <v>21</v>
      </c>
      <c r="B29" s="39"/>
      <c r="C29" s="15"/>
      <c r="D29" s="14" t="s">
        <v>23</v>
      </c>
      <c r="E29" s="16"/>
      <c r="F29" s="119"/>
      <c r="G29" s="163">
        <f t="shared" si="0"/>
        <v>189.70000000000002</v>
      </c>
      <c r="H29" s="28" t="s">
        <v>91</v>
      </c>
      <c r="I29" s="29"/>
      <c r="J29" s="7"/>
    </row>
    <row r="30" spans="1:10" ht="18" customHeight="1" x14ac:dyDescent="0.25">
      <c r="A30" s="14">
        <f t="shared" si="1"/>
        <v>22</v>
      </c>
      <c r="B30" s="39"/>
      <c r="C30" s="15"/>
      <c r="D30" s="14" t="s">
        <v>23</v>
      </c>
      <c r="E30" s="132"/>
      <c r="F30" s="119"/>
      <c r="G30" s="163">
        <f t="shared" si="0"/>
        <v>189.70000000000002</v>
      </c>
      <c r="H30" s="28" t="s">
        <v>91</v>
      </c>
      <c r="I30" s="29"/>
      <c r="J30" s="7"/>
    </row>
    <row r="31" spans="1:10" ht="18" customHeight="1" x14ac:dyDescent="0.25">
      <c r="A31" s="14">
        <f t="shared" si="1"/>
        <v>23</v>
      </c>
      <c r="B31" s="39"/>
      <c r="C31" s="15"/>
      <c r="D31" s="14" t="s">
        <v>23</v>
      </c>
      <c r="E31" s="132"/>
      <c r="F31" s="119"/>
      <c r="G31" s="163">
        <f t="shared" si="0"/>
        <v>189.70000000000002</v>
      </c>
      <c r="H31" s="28" t="s">
        <v>91</v>
      </c>
      <c r="I31" s="29"/>
      <c r="J31" s="7"/>
    </row>
    <row r="32" spans="1:10" ht="18" customHeight="1" x14ac:dyDescent="0.25">
      <c r="A32" s="14">
        <f t="shared" si="1"/>
        <v>24</v>
      </c>
      <c r="B32" s="39"/>
      <c r="C32" s="15"/>
      <c r="D32" s="14" t="s">
        <v>23</v>
      </c>
      <c r="E32" s="16"/>
      <c r="F32" s="119"/>
      <c r="G32" s="163">
        <f t="shared" si="0"/>
        <v>189.70000000000002</v>
      </c>
      <c r="H32" s="28" t="s">
        <v>91</v>
      </c>
      <c r="I32" s="29"/>
      <c r="J32" s="7"/>
    </row>
    <row r="33" spans="1:10" ht="18" customHeight="1" x14ac:dyDescent="0.25">
      <c r="A33" s="14">
        <f t="shared" si="1"/>
        <v>25</v>
      </c>
      <c r="B33" s="39"/>
      <c r="C33" s="15"/>
      <c r="D33" s="14" t="s">
        <v>23</v>
      </c>
      <c r="E33" s="16"/>
      <c r="F33" s="119"/>
      <c r="G33" s="163">
        <f t="shared" si="0"/>
        <v>189.70000000000002</v>
      </c>
      <c r="H33" s="28" t="s">
        <v>91</v>
      </c>
      <c r="I33" s="29"/>
      <c r="J33" s="7"/>
    </row>
    <row r="34" spans="1:10" ht="18" customHeight="1" x14ac:dyDescent="0.25">
      <c r="A34" s="14">
        <f t="shared" si="1"/>
        <v>26</v>
      </c>
      <c r="B34" s="39"/>
      <c r="C34" s="15"/>
      <c r="D34" s="14" t="s">
        <v>23</v>
      </c>
      <c r="E34" s="132"/>
      <c r="F34" s="119"/>
      <c r="G34" s="163">
        <f t="shared" si="0"/>
        <v>189.70000000000002</v>
      </c>
      <c r="H34" s="28" t="s">
        <v>91</v>
      </c>
      <c r="I34" s="29"/>
      <c r="J34" s="7"/>
    </row>
    <row r="35" spans="1:10" ht="18" customHeight="1" x14ac:dyDescent="0.25">
      <c r="A35" s="14">
        <f t="shared" si="1"/>
        <v>27</v>
      </c>
      <c r="B35" s="39"/>
      <c r="C35" s="15"/>
      <c r="D35" s="14" t="s">
        <v>23</v>
      </c>
      <c r="E35" s="16"/>
      <c r="F35" s="119"/>
      <c r="G35" s="163">
        <f t="shared" si="0"/>
        <v>189.70000000000002</v>
      </c>
      <c r="H35" s="28" t="s">
        <v>91</v>
      </c>
      <c r="I35" s="29"/>
      <c r="J35" s="7"/>
    </row>
    <row r="36" spans="1:10" ht="18" customHeight="1" x14ac:dyDescent="0.25">
      <c r="A36" s="14">
        <f t="shared" si="1"/>
        <v>28</v>
      </c>
      <c r="B36" s="39"/>
      <c r="C36" s="15"/>
      <c r="D36" s="14" t="s">
        <v>23</v>
      </c>
      <c r="E36" s="16"/>
      <c r="F36" s="119"/>
      <c r="G36" s="163">
        <f t="shared" si="0"/>
        <v>189.70000000000002</v>
      </c>
      <c r="H36" s="28"/>
      <c r="I36" s="29"/>
      <c r="J36" s="7"/>
    </row>
    <row r="37" spans="1:10" ht="18" customHeight="1" x14ac:dyDescent="0.25">
      <c r="A37" s="14">
        <f t="shared" si="1"/>
        <v>29</v>
      </c>
      <c r="B37" s="39"/>
      <c r="C37" s="15"/>
      <c r="D37" s="14" t="s">
        <v>23</v>
      </c>
      <c r="E37" s="16"/>
      <c r="F37" s="119"/>
      <c r="G37" s="163">
        <f t="shared" si="0"/>
        <v>189.70000000000002</v>
      </c>
      <c r="H37" s="28"/>
      <c r="I37" s="29"/>
      <c r="J37" s="7"/>
    </row>
    <row r="38" spans="1:10" ht="18" customHeight="1" x14ac:dyDescent="0.25">
      <c r="A38" s="14">
        <f t="shared" si="1"/>
        <v>30</v>
      </c>
      <c r="B38" s="39"/>
      <c r="C38" s="15"/>
      <c r="D38" s="14" t="s">
        <v>23</v>
      </c>
      <c r="E38" s="132"/>
      <c r="F38" s="119"/>
      <c r="G38" s="163">
        <f t="shared" si="0"/>
        <v>189.70000000000002</v>
      </c>
      <c r="H38" s="28"/>
      <c r="I38" s="29"/>
      <c r="J38" s="7"/>
    </row>
    <row r="39" spans="1:10" ht="18" customHeight="1" x14ac:dyDescent="0.25">
      <c r="A39" s="14">
        <f t="shared" si="1"/>
        <v>31</v>
      </c>
      <c r="B39" s="39"/>
      <c r="C39" s="15"/>
      <c r="D39" s="14" t="s">
        <v>23</v>
      </c>
      <c r="E39" s="16"/>
      <c r="F39" s="119"/>
      <c r="G39" s="163">
        <f t="shared" si="0"/>
        <v>189.70000000000002</v>
      </c>
      <c r="H39" s="28"/>
      <c r="I39" s="29"/>
      <c r="J39" s="7"/>
    </row>
    <row r="40" spans="1:10" ht="18" customHeight="1" x14ac:dyDescent="0.25">
      <c r="A40" s="14">
        <f t="shared" si="1"/>
        <v>32</v>
      </c>
      <c r="B40" s="39"/>
      <c r="C40" s="15"/>
      <c r="D40" s="14" t="s">
        <v>23</v>
      </c>
      <c r="E40" s="16"/>
      <c r="F40" s="119"/>
      <c r="G40" s="163">
        <f t="shared" si="0"/>
        <v>189.70000000000002</v>
      </c>
      <c r="H40" s="28"/>
      <c r="I40" s="29"/>
      <c r="J40" s="7"/>
    </row>
    <row r="41" spans="1:10" ht="18" customHeight="1" x14ac:dyDescent="0.25">
      <c r="A41" s="14">
        <f t="shared" si="1"/>
        <v>33</v>
      </c>
      <c r="B41" s="39"/>
      <c r="C41" s="15"/>
      <c r="D41" s="14" t="s">
        <v>23</v>
      </c>
      <c r="E41" s="16"/>
      <c r="F41" s="119"/>
      <c r="G41" s="163">
        <f t="shared" si="0"/>
        <v>189.70000000000002</v>
      </c>
      <c r="H41" s="28"/>
      <c r="I41" s="29"/>
      <c r="J41" s="7"/>
    </row>
    <row r="42" spans="1:10" ht="18" customHeight="1" x14ac:dyDescent="0.25">
      <c r="A42" s="14">
        <f t="shared" si="1"/>
        <v>34</v>
      </c>
      <c r="B42" s="39"/>
      <c r="C42" s="15"/>
      <c r="D42" s="14" t="s">
        <v>23</v>
      </c>
      <c r="E42" s="156"/>
      <c r="F42" s="157"/>
      <c r="G42" s="163">
        <f t="shared" si="0"/>
        <v>189.70000000000002</v>
      </c>
      <c r="H42" s="28"/>
      <c r="I42" s="29"/>
      <c r="J42" s="7"/>
    </row>
    <row r="43" spans="1:10" ht="18" customHeight="1" x14ac:dyDescent="0.25">
      <c r="A43" s="14">
        <f t="shared" si="1"/>
        <v>35</v>
      </c>
      <c r="B43" s="39"/>
      <c r="C43" s="15"/>
      <c r="D43" s="14" t="s">
        <v>23</v>
      </c>
      <c r="E43" s="16"/>
      <c r="F43" s="119"/>
      <c r="G43" s="163">
        <f t="shared" si="0"/>
        <v>189.70000000000002</v>
      </c>
      <c r="H43" s="28"/>
      <c r="I43" s="29"/>
      <c r="J43" s="7"/>
    </row>
    <row r="44" spans="1:10" ht="18" customHeight="1" x14ac:dyDescent="0.25">
      <c r="A44" s="14">
        <f t="shared" si="1"/>
        <v>36</v>
      </c>
      <c r="B44" s="39"/>
      <c r="C44" s="15"/>
      <c r="D44" s="14" t="s">
        <v>23</v>
      </c>
      <c r="E44" s="16"/>
      <c r="F44" s="119"/>
      <c r="G44" s="163">
        <f t="shared" si="0"/>
        <v>189.70000000000002</v>
      </c>
      <c r="H44" s="28"/>
      <c r="I44" s="29"/>
      <c r="J44" s="7"/>
    </row>
    <row r="45" spans="1:10" ht="18" customHeight="1" x14ac:dyDescent="0.25">
      <c r="A45" s="14">
        <f t="shared" si="1"/>
        <v>37</v>
      </c>
      <c r="B45" s="39"/>
      <c r="C45" s="15"/>
      <c r="D45" s="14" t="s">
        <v>23</v>
      </c>
      <c r="E45" s="132"/>
      <c r="F45" s="119"/>
      <c r="G45" s="163">
        <f t="shared" si="0"/>
        <v>189.70000000000002</v>
      </c>
      <c r="H45" s="28"/>
      <c r="I45" s="29"/>
      <c r="J45" s="7"/>
    </row>
    <row r="46" spans="1:10" ht="18" customHeight="1" x14ac:dyDescent="0.25">
      <c r="A46" s="14">
        <f t="shared" si="1"/>
        <v>38</v>
      </c>
      <c r="B46" s="39"/>
      <c r="C46" s="15"/>
      <c r="D46" s="14" t="s">
        <v>23</v>
      </c>
      <c r="E46" s="132"/>
      <c r="F46" s="119"/>
      <c r="G46" s="163">
        <f t="shared" si="0"/>
        <v>189.70000000000002</v>
      </c>
      <c r="H46" s="28"/>
      <c r="I46" s="29"/>
      <c r="J46" s="7"/>
    </row>
    <row r="47" spans="1:10" ht="18" customHeight="1" x14ac:dyDescent="0.25">
      <c r="A47" s="14">
        <f t="shared" si="1"/>
        <v>39</v>
      </c>
      <c r="B47" s="39"/>
      <c r="C47" s="15"/>
      <c r="D47" s="14" t="s">
        <v>23</v>
      </c>
      <c r="E47" s="132"/>
      <c r="F47" s="119"/>
      <c r="G47" s="163">
        <f t="shared" si="0"/>
        <v>189.70000000000002</v>
      </c>
      <c r="H47" s="28"/>
      <c r="I47" s="29"/>
      <c r="J47" s="7"/>
    </row>
    <row r="48" spans="1:10" ht="18" customHeight="1" x14ac:dyDescent="0.25">
      <c r="A48" s="14">
        <f t="shared" si="1"/>
        <v>40</v>
      </c>
      <c r="B48" s="39"/>
      <c r="C48" s="15"/>
      <c r="D48" s="14" t="s">
        <v>23</v>
      </c>
      <c r="E48" s="132"/>
      <c r="F48" s="119"/>
      <c r="G48" s="163">
        <f t="shared" si="0"/>
        <v>189.70000000000002</v>
      </c>
      <c r="H48" s="28"/>
      <c r="I48" s="29"/>
      <c r="J48" s="7"/>
    </row>
    <row r="49" spans="1:10" ht="18" customHeight="1" x14ac:dyDescent="0.25">
      <c r="A49" s="14">
        <f t="shared" si="1"/>
        <v>41</v>
      </c>
      <c r="B49" s="39"/>
      <c r="C49" s="15"/>
      <c r="D49" s="14" t="s">
        <v>23</v>
      </c>
      <c r="E49" s="16"/>
      <c r="F49" s="119"/>
      <c r="G49" s="163">
        <f t="shared" si="0"/>
        <v>189.70000000000002</v>
      </c>
      <c r="H49" s="28"/>
      <c r="I49" s="29"/>
      <c r="J49" s="7"/>
    </row>
    <row r="50" spans="1:10" ht="18" customHeight="1" x14ac:dyDescent="0.25">
      <c r="A50" s="14">
        <f t="shared" si="1"/>
        <v>42</v>
      </c>
      <c r="B50" s="39"/>
      <c r="C50" s="15"/>
      <c r="D50" s="14" t="s">
        <v>23</v>
      </c>
      <c r="E50" s="132"/>
      <c r="F50" s="119"/>
      <c r="G50" s="163">
        <f t="shared" si="0"/>
        <v>189.70000000000002</v>
      </c>
      <c r="H50" s="28"/>
      <c r="I50" s="29"/>
      <c r="J50" s="7"/>
    </row>
    <row r="51" spans="1:10" s="162" customFormat="1" ht="18" customHeight="1" x14ac:dyDescent="0.25">
      <c r="A51" s="14">
        <f t="shared" si="1"/>
        <v>43</v>
      </c>
      <c r="B51" s="159"/>
      <c r="C51" s="15"/>
      <c r="D51" s="14" t="s">
        <v>23</v>
      </c>
      <c r="E51" s="160"/>
      <c r="F51" s="161"/>
      <c r="G51" s="163">
        <f t="shared" si="0"/>
        <v>189.70000000000002</v>
      </c>
      <c r="H51" s="28"/>
      <c r="I51" s="29"/>
      <c r="J51" s="271"/>
    </row>
    <row r="52" spans="1:10" ht="18" customHeight="1" x14ac:dyDescent="0.25">
      <c r="A52" s="14">
        <f t="shared" si="1"/>
        <v>44</v>
      </c>
      <c r="B52" s="39"/>
      <c r="C52" s="15"/>
      <c r="D52" s="14" t="s">
        <v>23</v>
      </c>
      <c r="E52" s="16"/>
      <c r="F52" s="119"/>
      <c r="G52" s="163">
        <f t="shared" si="0"/>
        <v>189.70000000000002</v>
      </c>
      <c r="H52" s="28"/>
      <c r="I52" s="29"/>
      <c r="J52" s="7"/>
    </row>
    <row r="53" spans="1:10" ht="18" customHeight="1" x14ac:dyDescent="0.25">
      <c r="A53" s="14">
        <f t="shared" si="1"/>
        <v>45</v>
      </c>
      <c r="B53" s="39"/>
      <c r="C53" s="15"/>
      <c r="D53" s="14" t="s">
        <v>19</v>
      </c>
      <c r="E53" s="16"/>
      <c r="F53" s="119"/>
      <c r="G53" s="163">
        <f t="shared" si="0"/>
        <v>189.70000000000002</v>
      </c>
      <c r="H53" s="28"/>
      <c r="I53" s="29"/>
      <c r="J53" s="7"/>
    </row>
    <row r="54" spans="1:10" ht="18" customHeight="1" x14ac:dyDescent="0.25">
      <c r="A54" s="14">
        <f t="shared" si="1"/>
        <v>46</v>
      </c>
      <c r="B54" s="39"/>
      <c r="C54" s="15"/>
      <c r="D54" s="14" t="s">
        <v>19</v>
      </c>
      <c r="E54" s="16"/>
      <c r="F54" s="119"/>
      <c r="G54" s="163">
        <f t="shared" si="0"/>
        <v>189.70000000000002</v>
      </c>
      <c r="H54" s="28"/>
      <c r="I54" s="29"/>
      <c r="J54" s="7"/>
    </row>
    <row r="55" spans="1:10" ht="18" customHeight="1" x14ac:dyDescent="0.25">
      <c r="A55" s="14">
        <f t="shared" si="1"/>
        <v>47</v>
      </c>
      <c r="B55" s="39"/>
      <c r="C55" s="15"/>
      <c r="D55" s="14" t="s">
        <v>19</v>
      </c>
      <c r="E55" s="16"/>
      <c r="F55" s="119"/>
      <c r="G55" s="163">
        <f t="shared" si="0"/>
        <v>189.70000000000002</v>
      </c>
      <c r="H55" s="28"/>
      <c r="I55" s="29"/>
      <c r="J55" s="7"/>
    </row>
    <row r="56" spans="1:10" ht="18" customHeight="1" x14ac:dyDescent="0.25">
      <c r="A56" s="14">
        <f t="shared" si="1"/>
        <v>48</v>
      </c>
      <c r="B56" s="39"/>
      <c r="C56" s="15"/>
      <c r="D56" s="14" t="s">
        <v>19</v>
      </c>
      <c r="E56" s="113"/>
      <c r="F56" s="119"/>
      <c r="G56" s="163">
        <f t="shared" si="0"/>
        <v>189.70000000000002</v>
      </c>
      <c r="H56" s="28"/>
      <c r="I56" s="29"/>
      <c r="J56" s="7"/>
    </row>
    <row r="57" spans="1:10" ht="18" customHeight="1" x14ac:dyDescent="0.25">
      <c r="A57" s="14">
        <f t="shared" si="1"/>
        <v>49</v>
      </c>
      <c r="B57" s="39"/>
      <c r="C57" s="15"/>
      <c r="D57" s="14" t="s">
        <v>19</v>
      </c>
      <c r="E57" s="16"/>
      <c r="F57" s="119"/>
      <c r="G57" s="163">
        <f t="shared" si="0"/>
        <v>189.70000000000002</v>
      </c>
      <c r="H57" s="28"/>
      <c r="I57" s="29"/>
      <c r="J57" s="7"/>
    </row>
    <row r="58" spans="1:10" ht="18" customHeight="1" x14ac:dyDescent="0.25">
      <c r="A58" s="14">
        <f t="shared" si="1"/>
        <v>50</v>
      </c>
      <c r="B58" s="39"/>
      <c r="C58" s="15"/>
      <c r="D58" s="14" t="s">
        <v>19</v>
      </c>
      <c r="E58" s="16"/>
      <c r="F58" s="119"/>
      <c r="G58" s="163">
        <f t="shared" si="0"/>
        <v>189.70000000000002</v>
      </c>
      <c r="H58" s="28"/>
      <c r="I58" s="29"/>
      <c r="J58" s="7"/>
    </row>
    <row r="59" spans="1:10" ht="18" customHeight="1" x14ac:dyDescent="0.25">
      <c r="A59" s="14">
        <f t="shared" si="1"/>
        <v>51</v>
      </c>
      <c r="B59" s="39"/>
      <c r="C59" s="15"/>
      <c r="D59" s="14" t="s">
        <v>19</v>
      </c>
      <c r="E59" s="16"/>
      <c r="F59" s="119"/>
      <c r="G59" s="163">
        <f t="shared" si="0"/>
        <v>189.70000000000002</v>
      </c>
      <c r="H59" s="28"/>
      <c r="I59" s="29"/>
      <c r="J59" s="7"/>
    </row>
    <row r="60" spans="1:10" ht="18" customHeight="1" x14ac:dyDescent="0.25">
      <c r="A60" s="14">
        <f t="shared" si="1"/>
        <v>52</v>
      </c>
      <c r="B60" s="39"/>
      <c r="C60" s="15"/>
      <c r="D60" s="14" t="s">
        <v>19</v>
      </c>
      <c r="E60" s="16"/>
      <c r="F60" s="119"/>
      <c r="G60" s="163">
        <f t="shared" si="0"/>
        <v>189.70000000000002</v>
      </c>
      <c r="H60" s="28"/>
      <c r="I60" s="29"/>
      <c r="J60" s="7"/>
    </row>
    <row r="61" spans="1:10" ht="18" customHeight="1" x14ac:dyDescent="0.25">
      <c r="A61" s="14">
        <f t="shared" si="1"/>
        <v>53</v>
      </c>
      <c r="B61" s="39"/>
      <c r="C61" s="15"/>
      <c r="D61" s="14" t="s">
        <v>19</v>
      </c>
      <c r="E61" s="16"/>
      <c r="F61" s="119"/>
      <c r="G61" s="163">
        <f t="shared" si="0"/>
        <v>189.70000000000002</v>
      </c>
      <c r="H61" s="28"/>
      <c r="I61" s="29"/>
      <c r="J61" s="7"/>
    </row>
    <row r="62" spans="1:10" ht="18" customHeight="1" x14ac:dyDescent="0.25">
      <c r="A62" s="14">
        <f t="shared" si="1"/>
        <v>54</v>
      </c>
      <c r="B62" s="39"/>
      <c r="C62" s="15"/>
      <c r="D62" s="14" t="s">
        <v>19</v>
      </c>
      <c r="E62" s="16"/>
      <c r="F62" s="119"/>
      <c r="G62" s="163">
        <f t="shared" si="0"/>
        <v>189.70000000000002</v>
      </c>
      <c r="H62" s="28"/>
      <c r="I62" s="29"/>
      <c r="J62" s="7"/>
    </row>
    <row r="63" spans="1:10" ht="18" customHeight="1" x14ac:dyDescent="0.25">
      <c r="A63" s="14">
        <f t="shared" si="1"/>
        <v>55</v>
      </c>
      <c r="B63" s="39"/>
      <c r="C63" s="15"/>
      <c r="D63" s="14" t="s">
        <v>19</v>
      </c>
      <c r="E63" s="113"/>
      <c r="F63" s="119"/>
      <c r="G63" s="163">
        <f t="shared" si="0"/>
        <v>189.70000000000002</v>
      </c>
      <c r="H63" s="28"/>
      <c r="I63" s="29"/>
      <c r="J63" s="7"/>
    </row>
    <row r="64" spans="1:10" ht="18" customHeight="1" x14ac:dyDescent="0.25">
      <c r="A64" s="14">
        <f t="shared" si="1"/>
        <v>56</v>
      </c>
      <c r="B64" s="39"/>
      <c r="C64" s="15"/>
      <c r="D64" s="14" t="s">
        <v>19</v>
      </c>
      <c r="E64" s="16"/>
      <c r="F64" s="119"/>
      <c r="G64" s="163">
        <f t="shared" si="0"/>
        <v>189.70000000000002</v>
      </c>
      <c r="H64" s="28"/>
      <c r="I64" s="29"/>
      <c r="J64" s="7"/>
    </row>
    <row r="65" spans="1:10" ht="18" customHeight="1" x14ac:dyDescent="0.25">
      <c r="A65" s="14">
        <f t="shared" si="1"/>
        <v>57</v>
      </c>
      <c r="B65" s="39"/>
      <c r="C65" s="15"/>
      <c r="D65" s="14" t="s">
        <v>19</v>
      </c>
      <c r="E65" s="16"/>
      <c r="F65" s="119"/>
      <c r="G65" s="163">
        <f t="shared" si="0"/>
        <v>189.70000000000002</v>
      </c>
      <c r="H65" s="28"/>
      <c r="I65" s="29"/>
      <c r="J65" s="7"/>
    </row>
    <row r="66" spans="1:10" ht="18" customHeight="1" x14ac:dyDescent="0.25">
      <c r="A66" s="14">
        <f t="shared" si="1"/>
        <v>58</v>
      </c>
      <c r="B66" s="39"/>
      <c r="C66" s="15"/>
      <c r="D66" s="14" t="s">
        <v>19</v>
      </c>
      <c r="E66" s="16"/>
      <c r="F66" s="119"/>
      <c r="G66" s="163">
        <f t="shared" si="0"/>
        <v>189.70000000000002</v>
      </c>
      <c r="H66" s="28"/>
      <c r="I66" s="29"/>
      <c r="J66" s="7"/>
    </row>
    <row r="67" spans="1:10" ht="18" customHeight="1" x14ac:dyDescent="0.25">
      <c r="A67" s="14">
        <f t="shared" si="1"/>
        <v>59</v>
      </c>
      <c r="B67" s="39"/>
      <c r="C67" s="15"/>
      <c r="D67" s="14" t="s">
        <v>19</v>
      </c>
      <c r="E67" s="113"/>
      <c r="F67" s="119"/>
      <c r="G67" s="163">
        <f t="shared" si="0"/>
        <v>189.70000000000002</v>
      </c>
      <c r="H67" s="28"/>
      <c r="I67" s="29"/>
      <c r="J67" s="7"/>
    </row>
    <row r="68" spans="1:10" ht="18" customHeight="1" x14ac:dyDescent="0.25">
      <c r="A68" s="14">
        <f t="shared" si="1"/>
        <v>60</v>
      </c>
      <c r="B68" s="39"/>
      <c r="C68" s="15"/>
      <c r="D68" s="14" t="s">
        <v>19</v>
      </c>
      <c r="E68" s="16"/>
      <c r="F68" s="119"/>
      <c r="G68" s="163">
        <f t="shared" si="0"/>
        <v>189.70000000000002</v>
      </c>
      <c r="H68" s="28"/>
      <c r="I68" s="29"/>
      <c r="J68" s="7"/>
    </row>
    <row r="69" spans="1:10" ht="18" customHeight="1" x14ac:dyDescent="0.25">
      <c r="A69" s="14">
        <f t="shared" si="1"/>
        <v>61</v>
      </c>
      <c r="B69" s="39"/>
      <c r="C69" s="15"/>
      <c r="D69" s="14" t="s">
        <v>19</v>
      </c>
      <c r="E69" s="16"/>
      <c r="F69" s="119"/>
      <c r="G69" s="163">
        <f t="shared" si="0"/>
        <v>189.70000000000002</v>
      </c>
      <c r="H69" s="28"/>
      <c r="I69" s="29"/>
      <c r="J69" s="7"/>
    </row>
    <row r="70" spans="1:10" ht="18" customHeight="1" x14ac:dyDescent="0.25">
      <c r="A70" s="14">
        <f t="shared" si="1"/>
        <v>62</v>
      </c>
      <c r="B70" s="39"/>
      <c r="C70" s="15"/>
      <c r="D70" s="14" t="s">
        <v>19</v>
      </c>
      <c r="E70" s="16"/>
      <c r="F70" s="119"/>
      <c r="G70" s="163">
        <f t="shared" si="0"/>
        <v>189.70000000000002</v>
      </c>
      <c r="H70" s="28"/>
      <c r="I70" s="29"/>
      <c r="J70" s="7"/>
    </row>
    <row r="71" spans="1:10" ht="18" customHeight="1" x14ac:dyDescent="0.25">
      <c r="A71" s="14">
        <f t="shared" si="1"/>
        <v>63</v>
      </c>
      <c r="B71" s="39"/>
      <c r="C71" s="15"/>
      <c r="D71" s="14" t="s">
        <v>19</v>
      </c>
      <c r="E71" s="16"/>
      <c r="F71" s="119"/>
      <c r="G71" s="163">
        <f t="shared" si="0"/>
        <v>189.70000000000002</v>
      </c>
      <c r="H71" s="28"/>
      <c r="I71" s="29"/>
      <c r="J71" s="7"/>
    </row>
    <row r="72" spans="1:10" ht="18" customHeight="1" x14ac:dyDescent="0.25">
      <c r="A72" s="14">
        <f t="shared" si="1"/>
        <v>64</v>
      </c>
      <c r="B72" s="39"/>
      <c r="C72" s="15"/>
      <c r="D72" s="14" t="s">
        <v>19</v>
      </c>
      <c r="E72" s="16"/>
      <c r="F72" s="119"/>
      <c r="G72" s="163">
        <f t="shared" si="0"/>
        <v>189.70000000000002</v>
      </c>
      <c r="H72" s="28"/>
      <c r="I72" s="29"/>
      <c r="J72" s="7"/>
    </row>
    <row r="73" spans="1:10" ht="18" customHeight="1" x14ac:dyDescent="0.25">
      <c r="A73" s="14">
        <f t="shared" si="1"/>
        <v>65</v>
      </c>
      <c r="B73" s="39"/>
      <c r="C73" s="15"/>
      <c r="D73" s="14" t="s">
        <v>19</v>
      </c>
      <c r="E73" s="16"/>
      <c r="F73" s="119"/>
      <c r="G73" s="163">
        <f t="shared" ref="G73:G112" si="2">+G72+E73-F73</f>
        <v>189.70000000000002</v>
      </c>
      <c r="H73" s="28"/>
      <c r="I73" s="29"/>
      <c r="J73" s="7"/>
    </row>
    <row r="74" spans="1:10" ht="18" customHeight="1" x14ac:dyDescent="0.25">
      <c r="A74" s="14">
        <f t="shared" ref="A74:A112" si="3">+A73+1</f>
        <v>66</v>
      </c>
      <c r="B74" s="39"/>
      <c r="C74" s="15"/>
      <c r="D74" s="14" t="s">
        <v>19</v>
      </c>
      <c r="E74" s="16"/>
      <c r="F74" s="119"/>
      <c r="G74" s="163">
        <f t="shared" si="2"/>
        <v>189.70000000000002</v>
      </c>
      <c r="H74" s="28"/>
      <c r="I74" s="29"/>
      <c r="J74" s="7"/>
    </row>
    <row r="75" spans="1:10" ht="18" customHeight="1" x14ac:dyDescent="0.25">
      <c r="A75" s="14">
        <f t="shared" si="3"/>
        <v>67</v>
      </c>
      <c r="B75" s="39"/>
      <c r="C75" s="15"/>
      <c r="D75" s="14" t="s">
        <v>19</v>
      </c>
      <c r="E75" s="16"/>
      <c r="F75" s="119"/>
      <c r="G75" s="163">
        <f t="shared" si="2"/>
        <v>189.70000000000002</v>
      </c>
      <c r="H75" s="28"/>
      <c r="I75" s="29"/>
      <c r="J75" s="7"/>
    </row>
    <row r="76" spans="1:10" ht="18" customHeight="1" x14ac:dyDescent="0.25">
      <c r="A76" s="14">
        <f t="shared" si="3"/>
        <v>68</v>
      </c>
      <c r="B76" s="39"/>
      <c r="C76" s="15"/>
      <c r="D76" s="14" t="s">
        <v>19</v>
      </c>
      <c r="E76" s="16"/>
      <c r="F76" s="119"/>
      <c r="G76" s="163">
        <f t="shared" si="2"/>
        <v>189.70000000000002</v>
      </c>
      <c r="H76" s="28"/>
      <c r="I76" s="29"/>
      <c r="J76" s="7"/>
    </row>
    <row r="77" spans="1:10" ht="18" customHeight="1" x14ac:dyDescent="0.25">
      <c r="A77" s="14">
        <f t="shared" si="3"/>
        <v>69</v>
      </c>
      <c r="B77" s="39"/>
      <c r="C77" s="15"/>
      <c r="D77" s="14" t="s">
        <v>19</v>
      </c>
      <c r="E77" s="16"/>
      <c r="F77" s="119"/>
      <c r="G77" s="163">
        <f t="shared" si="2"/>
        <v>189.70000000000002</v>
      </c>
      <c r="H77" s="28"/>
      <c r="I77" s="29"/>
      <c r="J77" s="7"/>
    </row>
    <row r="78" spans="1:10" ht="18" customHeight="1" x14ac:dyDescent="0.25">
      <c r="A78" s="14">
        <f t="shared" si="3"/>
        <v>70</v>
      </c>
      <c r="B78" s="39"/>
      <c r="C78" s="15"/>
      <c r="D78" s="14" t="s">
        <v>19</v>
      </c>
      <c r="E78" s="16"/>
      <c r="F78" s="119"/>
      <c r="G78" s="163">
        <f t="shared" si="2"/>
        <v>189.70000000000002</v>
      </c>
      <c r="H78" s="28"/>
      <c r="I78" s="29"/>
      <c r="J78" s="7"/>
    </row>
    <row r="79" spans="1:10" ht="18" customHeight="1" x14ac:dyDescent="0.25">
      <c r="A79" s="14">
        <f t="shared" si="3"/>
        <v>71</v>
      </c>
      <c r="B79" s="39"/>
      <c r="C79" s="15"/>
      <c r="D79" s="14" t="s">
        <v>19</v>
      </c>
      <c r="E79" s="16"/>
      <c r="F79" s="119"/>
      <c r="G79" s="163">
        <f t="shared" si="2"/>
        <v>189.70000000000002</v>
      </c>
      <c r="H79" s="28"/>
      <c r="I79" s="29"/>
      <c r="J79" s="7"/>
    </row>
    <row r="80" spans="1:10" ht="18" customHeight="1" x14ac:dyDescent="0.25">
      <c r="A80" s="14">
        <f t="shared" si="3"/>
        <v>72</v>
      </c>
      <c r="B80" s="39"/>
      <c r="C80" s="15"/>
      <c r="D80" s="14" t="s">
        <v>19</v>
      </c>
      <c r="E80" s="16"/>
      <c r="F80" s="119"/>
      <c r="G80" s="163">
        <f t="shared" si="2"/>
        <v>189.70000000000002</v>
      </c>
      <c r="H80" s="28"/>
      <c r="I80" s="29"/>
      <c r="J80" s="7"/>
    </row>
    <row r="81" spans="1:10" ht="18" customHeight="1" x14ac:dyDescent="0.25">
      <c r="A81" s="14">
        <f t="shared" si="3"/>
        <v>73</v>
      </c>
      <c r="B81" s="39"/>
      <c r="C81" s="15"/>
      <c r="D81" s="14" t="s">
        <v>19</v>
      </c>
      <c r="E81" s="16"/>
      <c r="F81" s="119"/>
      <c r="G81" s="163">
        <f t="shared" si="2"/>
        <v>189.70000000000002</v>
      </c>
      <c r="H81" s="28"/>
      <c r="I81" s="29"/>
      <c r="J81" s="7"/>
    </row>
    <row r="82" spans="1:10" ht="18" customHeight="1" x14ac:dyDescent="0.25">
      <c r="A82" s="14">
        <f t="shared" si="3"/>
        <v>74</v>
      </c>
      <c r="B82" s="39"/>
      <c r="C82" s="15"/>
      <c r="D82" s="14" t="s">
        <v>19</v>
      </c>
      <c r="E82" s="16"/>
      <c r="F82" s="119"/>
      <c r="G82" s="163">
        <f t="shared" si="2"/>
        <v>189.70000000000002</v>
      </c>
      <c r="H82" s="28"/>
      <c r="I82" s="29"/>
      <c r="J82" s="7"/>
    </row>
    <row r="83" spans="1:10" ht="18" customHeight="1" x14ac:dyDescent="0.25">
      <c r="A83" s="14">
        <f t="shared" si="3"/>
        <v>75</v>
      </c>
      <c r="B83" s="39"/>
      <c r="C83" s="15"/>
      <c r="D83" s="14" t="s">
        <v>19</v>
      </c>
      <c r="E83" s="16"/>
      <c r="F83" s="119"/>
      <c r="G83" s="163">
        <f t="shared" si="2"/>
        <v>189.70000000000002</v>
      </c>
      <c r="H83" s="28"/>
      <c r="I83" s="29"/>
      <c r="J83" s="7"/>
    </row>
    <row r="84" spans="1:10" ht="18" customHeight="1" x14ac:dyDescent="0.25">
      <c r="A84" s="14">
        <f t="shared" si="3"/>
        <v>76</v>
      </c>
      <c r="B84" s="39"/>
      <c r="C84" s="15"/>
      <c r="D84" s="14" t="s">
        <v>19</v>
      </c>
      <c r="E84" s="16"/>
      <c r="F84" s="119"/>
      <c r="G84" s="163">
        <f t="shared" si="2"/>
        <v>189.70000000000002</v>
      </c>
      <c r="H84" s="28"/>
      <c r="I84" s="29"/>
      <c r="J84" s="7"/>
    </row>
    <row r="85" spans="1:10" ht="18" customHeight="1" x14ac:dyDescent="0.25">
      <c r="A85" s="14">
        <f t="shared" si="3"/>
        <v>77</v>
      </c>
      <c r="B85" s="39"/>
      <c r="C85" s="15"/>
      <c r="D85" s="14" t="s">
        <v>19</v>
      </c>
      <c r="E85" s="16"/>
      <c r="F85" s="119"/>
      <c r="G85" s="163">
        <f t="shared" si="2"/>
        <v>189.70000000000002</v>
      </c>
      <c r="H85" s="28"/>
      <c r="I85" s="29"/>
      <c r="J85" s="7"/>
    </row>
    <row r="86" spans="1:10" ht="18" customHeight="1" x14ac:dyDescent="0.25">
      <c r="A86" s="14">
        <f t="shared" si="3"/>
        <v>78</v>
      </c>
      <c r="B86" s="39"/>
      <c r="C86" s="15"/>
      <c r="D86" s="14" t="s">
        <v>19</v>
      </c>
      <c r="E86" s="16"/>
      <c r="F86" s="119"/>
      <c r="G86" s="163">
        <f t="shared" si="2"/>
        <v>189.70000000000002</v>
      </c>
      <c r="H86" s="28"/>
      <c r="I86" s="29"/>
      <c r="J86" s="7"/>
    </row>
    <row r="87" spans="1:10" ht="18" customHeight="1" x14ac:dyDescent="0.25">
      <c r="A87" s="14">
        <f t="shared" si="3"/>
        <v>79</v>
      </c>
      <c r="B87" s="39"/>
      <c r="C87" s="15"/>
      <c r="D87" s="14" t="s">
        <v>19</v>
      </c>
      <c r="E87" s="16"/>
      <c r="F87" s="119"/>
      <c r="G87" s="163">
        <f t="shared" si="2"/>
        <v>189.70000000000002</v>
      </c>
      <c r="H87" s="28"/>
      <c r="I87" s="29"/>
      <c r="J87" s="7"/>
    </row>
    <row r="88" spans="1:10" ht="18" customHeight="1" x14ac:dyDescent="0.25">
      <c r="A88" s="14">
        <f t="shared" si="3"/>
        <v>80</v>
      </c>
      <c r="B88" s="39"/>
      <c r="C88" s="15"/>
      <c r="D88" s="14" t="s">
        <v>19</v>
      </c>
      <c r="E88" s="16"/>
      <c r="F88" s="119"/>
      <c r="G88" s="163">
        <f t="shared" si="2"/>
        <v>189.70000000000002</v>
      </c>
      <c r="H88" s="28"/>
      <c r="I88" s="29"/>
      <c r="J88" s="7"/>
    </row>
    <row r="89" spans="1:10" ht="18" customHeight="1" x14ac:dyDescent="0.25">
      <c r="A89" s="14">
        <f t="shared" si="3"/>
        <v>81</v>
      </c>
      <c r="B89" s="39"/>
      <c r="C89" s="15"/>
      <c r="D89" s="14" t="s">
        <v>19</v>
      </c>
      <c r="E89" s="16"/>
      <c r="F89" s="119"/>
      <c r="G89" s="163">
        <f t="shared" si="2"/>
        <v>189.70000000000002</v>
      </c>
      <c r="H89" s="28"/>
      <c r="I89" s="29"/>
      <c r="J89" s="7"/>
    </row>
    <row r="90" spans="1:10" ht="18" customHeight="1" x14ac:dyDescent="0.25">
      <c r="A90" s="14">
        <f t="shared" si="3"/>
        <v>82</v>
      </c>
      <c r="B90" s="39"/>
      <c r="C90" s="15"/>
      <c r="D90" s="14" t="s">
        <v>19</v>
      </c>
      <c r="E90" s="16"/>
      <c r="F90" s="119"/>
      <c r="G90" s="163">
        <f t="shared" si="2"/>
        <v>189.70000000000002</v>
      </c>
      <c r="H90" s="28"/>
      <c r="I90" s="29"/>
      <c r="J90" s="7"/>
    </row>
    <row r="91" spans="1:10" ht="18" customHeight="1" x14ac:dyDescent="0.25">
      <c r="A91" s="14">
        <f t="shared" si="3"/>
        <v>83</v>
      </c>
      <c r="B91" s="39"/>
      <c r="C91" s="15"/>
      <c r="D91" s="14" t="s">
        <v>19</v>
      </c>
      <c r="E91" s="16"/>
      <c r="F91" s="119"/>
      <c r="G91" s="163">
        <f t="shared" si="2"/>
        <v>189.70000000000002</v>
      </c>
      <c r="H91" s="28"/>
      <c r="I91" s="29"/>
      <c r="J91" s="7"/>
    </row>
    <row r="92" spans="1:10" ht="18" customHeight="1" x14ac:dyDescent="0.25">
      <c r="A92" s="14">
        <f t="shared" si="3"/>
        <v>84</v>
      </c>
      <c r="B92" s="39"/>
      <c r="C92" s="15"/>
      <c r="D92" s="14" t="s">
        <v>19</v>
      </c>
      <c r="E92" s="16"/>
      <c r="F92" s="119"/>
      <c r="G92" s="163">
        <f t="shared" si="2"/>
        <v>189.70000000000002</v>
      </c>
      <c r="H92" s="28"/>
      <c r="I92" s="29"/>
      <c r="J92" s="7"/>
    </row>
    <row r="93" spans="1:10" ht="18" customHeight="1" x14ac:dyDescent="0.25">
      <c r="A93" s="14">
        <f t="shared" si="3"/>
        <v>85</v>
      </c>
      <c r="B93" s="39"/>
      <c r="C93" s="15"/>
      <c r="D93" s="14" t="s">
        <v>19</v>
      </c>
      <c r="E93" s="16"/>
      <c r="F93" s="119"/>
      <c r="G93" s="163">
        <f t="shared" si="2"/>
        <v>189.70000000000002</v>
      </c>
      <c r="H93" s="28"/>
      <c r="I93" s="29"/>
      <c r="J93" s="7"/>
    </row>
    <row r="94" spans="1:10" ht="18" customHeight="1" x14ac:dyDescent="0.25">
      <c r="A94" s="14">
        <f t="shared" si="3"/>
        <v>86</v>
      </c>
      <c r="B94" s="39"/>
      <c r="C94" s="15"/>
      <c r="D94" s="14" t="s">
        <v>19</v>
      </c>
      <c r="E94" s="16"/>
      <c r="F94" s="119"/>
      <c r="G94" s="163">
        <f t="shared" si="2"/>
        <v>189.70000000000002</v>
      </c>
      <c r="H94" s="28"/>
      <c r="I94" s="29"/>
      <c r="J94" s="7"/>
    </row>
    <row r="95" spans="1:10" ht="18" customHeight="1" x14ac:dyDescent="0.25">
      <c r="A95" s="14">
        <f t="shared" si="3"/>
        <v>87</v>
      </c>
      <c r="B95" s="39"/>
      <c r="C95" s="15"/>
      <c r="D95" s="14" t="s">
        <v>19</v>
      </c>
      <c r="E95" s="16"/>
      <c r="F95" s="119"/>
      <c r="G95" s="163">
        <f t="shared" si="2"/>
        <v>189.70000000000002</v>
      </c>
      <c r="H95" s="28"/>
      <c r="I95" s="29"/>
      <c r="J95" s="7"/>
    </row>
    <row r="96" spans="1:10" ht="18" customHeight="1" x14ac:dyDescent="0.25">
      <c r="A96" s="14">
        <f t="shared" si="3"/>
        <v>88</v>
      </c>
      <c r="B96" s="39"/>
      <c r="C96" s="15"/>
      <c r="D96" s="14" t="s">
        <v>19</v>
      </c>
      <c r="E96" s="16"/>
      <c r="F96" s="119"/>
      <c r="G96" s="163">
        <f t="shared" si="2"/>
        <v>189.70000000000002</v>
      </c>
      <c r="H96" s="28"/>
      <c r="I96" s="29"/>
      <c r="J96" s="7"/>
    </row>
    <row r="97" spans="1:10" ht="18" customHeight="1" x14ac:dyDescent="0.25">
      <c r="A97" s="14">
        <f t="shared" si="3"/>
        <v>89</v>
      </c>
      <c r="B97" s="39"/>
      <c r="C97" s="15"/>
      <c r="D97" s="14" t="s">
        <v>19</v>
      </c>
      <c r="E97" s="16"/>
      <c r="F97" s="119"/>
      <c r="G97" s="163">
        <f t="shared" si="2"/>
        <v>189.70000000000002</v>
      </c>
      <c r="H97" s="28"/>
      <c r="I97" s="29"/>
      <c r="J97" s="7"/>
    </row>
    <row r="98" spans="1:10" ht="18" customHeight="1" x14ac:dyDescent="0.25">
      <c r="A98" s="14">
        <f t="shared" si="3"/>
        <v>90</v>
      </c>
      <c r="B98" s="39"/>
      <c r="C98" s="15"/>
      <c r="D98" s="14" t="s">
        <v>19</v>
      </c>
      <c r="E98" s="16"/>
      <c r="F98" s="119"/>
      <c r="G98" s="163">
        <f t="shared" si="2"/>
        <v>189.70000000000002</v>
      </c>
      <c r="H98" s="28"/>
      <c r="I98" s="29"/>
      <c r="J98" s="7"/>
    </row>
    <row r="99" spans="1:10" ht="18" customHeight="1" x14ac:dyDescent="0.25">
      <c r="A99" s="14">
        <f t="shared" si="3"/>
        <v>91</v>
      </c>
      <c r="B99" s="39"/>
      <c r="C99" s="15"/>
      <c r="D99" s="14" t="s">
        <v>19</v>
      </c>
      <c r="E99" s="16"/>
      <c r="F99" s="119"/>
      <c r="G99" s="163">
        <f t="shared" si="2"/>
        <v>189.70000000000002</v>
      </c>
      <c r="H99" s="28"/>
      <c r="I99" s="29"/>
      <c r="J99" s="7"/>
    </row>
    <row r="100" spans="1:10" ht="18" customHeight="1" x14ac:dyDescent="0.25">
      <c r="A100" s="14">
        <f t="shared" si="3"/>
        <v>92</v>
      </c>
      <c r="B100" s="39"/>
      <c r="C100" s="15"/>
      <c r="D100" s="14" t="s">
        <v>19</v>
      </c>
      <c r="E100" s="16"/>
      <c r="F100" s="119"/>
      <c r="G100" s="163">
        <f t="shared" si="2"/>
        <v>189.70000000000002</v>
      </c>
      <c r="H100" s="28"/>
      <c r="I100" s="29"/>
      <c r="J100" s="7"/>
    </row>
    <row r="101" spans="1:10" ht="18" customHeight="1" x14ac:dyDescent="0.25">
      <c r="A101" s="14">
        <f t="shared" si="3"/>
        <v>93</v>
      </c>
      <c r="B101" s="39"/>
      <c r="C101" s="15"/>
      <c r="D101" s="14" t="s">
        <v>19</v>
      </c>
      <c r="E101" s="16"/>
      <c r="F101" s="119"/>
      <c r="G101" s="163">
        <f t="shared" si="2"/>
        <v>189.70000000000002</v>
      </c>
      <c r="H101" s="28"/>
      <c r="I101" s="29"/>
      <c r="J101" s="7"/>
    </row>
    <row r="102" spans="1:10" ht="18" customHeight="1" x14ac:dyDescent="0.25">
      <c r="A102" s="14">
        <f t="shared" si="3"/>
        <v>94</v>
      </c>
      <c r="B102" s="39"/>
      <c r="C102" s="15"/>
      <c r="D102" s="14" t="s">
        <v>19</v>
      </c>
      <c r="E102" s="16"/>
      <c r="F102" s="119"/>
      <c r="G102" s="163">
        <f t="shared" si="2"/>
        <v>189.70000000000002</v>
      </c>
      <c r="H102" s="28"/>
      <c r="I102" s="29"/>
      <c r="J102" s="7"/>
    </row>
    <row r="103" spans="1:10" ht="18" customHeight="1" x14ac:dyDescent="0.25">
      <c r="A103" s="14">
        <f t="shared" si="3"/>
        <v>95</v>
      </c>
      <c r="B103" s="39"/>
      <c r="C103" s="15"/>
      <c r="D103" s="14" t="s">
        <v>19</v>
      </c>
      <c r="E103" s="16"/>
      <c r="F103" s="119"/>
      <c r="G103" s="163">
        <f t="shared" si="2"/>
        <v>189.70000000000002</v>
      </c>
      <c r="H103" s="28"/>
      <c r="I103" s="29"/>
      <c r="J103" s="7"/>
    </row>
    <row r="104" spans="1:10" ht="18" customHeight="1" x14ac:dyDescent="0.25">
      <c r="A104" s="14">
        <f t="shared" si="3"/>
        <v>96</v>
      </c>
      <c r="B104" s="39"/>
      <c r="C104" s="15"/>
      <c r="D104" s="14" t="s">
        <v>19</v>
      </c>
      <c r="E104" s="16"/>
      <c r="F104" s="119"/>
      <c r="G104" s="163">
        <f t="shared" si="2"/>
        <v>189.70000000000002</v>
      </c>
      <c r="H104" s="28"/>
      <c r="I104" s="29"/>
      <c r="J104" s="7"/>
    </row>
    <row r="105" spans="1:10" ht="18" customHeight="1" x14ac:dyDescent="0.25">
      <c r="A105" s="14">
        <f t="shared" si="3"/>
        <v>97</v>
      </c>
      <c r="B105" s="39"/>
      <c r="C105" s="15"/>
      <c r="D105" s="14" t="s">
        <v>19</v>
      </c>
      <c r="E105" s="16"/>
      <c r="F105" s="119"/>
      <c r="G105" s="163">
        <f t="shared" si="2"/>
        <v>189.70000000000002</v>
      </c>
      <c r="H105" s="28"/>
      <c r="I105" s="29"/>
      <c r="J105" s="7"/>
    </row>
    <row r="106" spans="1:10" ht="18" customHeight="1" x14ac:dyDescent="0.25">
      <c r="A106" s="14">
        <f t="shared" si="3"/>
        <v>98</v>
      </c>
      <c r="B106" s="39"/>
      <c r="C106" s="15"/>
      <c r="D106" s="14" t="s">
        <v>19</v>
      </c>
      <c r="E106" s="16"/>
      <c r="F106" s="119"/>
      <c r="G106" s="163">
        <f t="shared" si="2"/>
        <v>189.70000000000002</v>
      </c>
      <c r="H106" s="28"/>
      <c r="I106" s="29"/>
      <c r="J106" s="7"/>
    </row>
    <row r="107" spans="1:10" ht="18" customHeight="1" x14ac:dyDescent="0.25">
      <c r="A107" s="14">
        <f t="shared" si="3"/>
        <v>99</v>
      </c>
      <c r="B107" s="39"/>
      <c r="C107" s="15"/>
      <c r="D107" s="14"/>
      <c r="E107" s="16"/>
      <c r="F107" s="119"/>
      <c r="G107" s="163">
        <f t="shared" si="2"/>
        <v>189.70000000000002</v>
      </c>
      <c r="H107" s="28"/>
      <c r="I107" s="29"/>
      <c r="J107" s="7"/>
    </row>
    <row r="108" spans="1:10" ht="18" customHeight="1" x14ac:dyDescent="0.25">
      <c r="A108" s="14">
        <f t="shared" si="3"/>
        <v>100</v>
      </c>
      <c r="B108" s="39"/>
      <c r="C108" s="15"/>
      <c r="D108" s="14"/>
      <c r="E108" s="16"/>
      <c r="F108" s="119"/>
      <c r="G108" s="163">
        <f t="shared" si="2"/>
        <v>189.70000000000002</v>
      </c>
      <c r="H108" s="28"/>
      <c r="I108" s="29"/>
      <c r="J108" s="7"/>
    </row>
    <row r="109" spans="1:10" ht="18" customHeight="1" x14ac:dyDescent="0.25">
      <c r="A109" s="14">
        <f t="shared" si="3"/>
        <v>101</v>
      </c>
      <c r="B109" s="39"/>
      <c r="C109" s="15"/>
      <c r="D109" s="14"/>
      <c r="E109" s="16"/>
      <c r="F109" s="119"/>
      <c r="G109" s="163">
        <f t="shared" si="2"/>
        <v>189.70000000000002</v>
      </c>
      <c r="H109" s="28"/>
      <c r="I109" s="29"/>
      <c r="J109" s="7"/>
    </row>
    <row r="110" spans="1:10" ht="18" customHeight="1" x14ac:dyDescent="0.25">
      <c r="A110" s="14">
        <f t="shared" si="3"/>
        <v>102</v>
      </c>
      <c r="B110" s="39"/>
      <c r="C110" s="15"/>
      <c r="D110" s="14"/>
      <c r="E110" s="16"/>
      <c r="F110" s="119"/>
      <c r="G110" s="163">
        <f t="shared" si="2"/>
        <v>189.70000000000002</v>
      </c>
      <c r="H110" s="28"/>
      <c r="I110" s="29"/>
      <c r="J110" s="7"/>
    </row>
    <row r="111" spans="1:10" ht="18" customHeight="1" x14ac:dyDescent="0.25">
      <c r="A111" s="14">
        <f t="shared" si="3"/>
        <v>103</v>
      </c>
      <c r="B111" s="39"/>
      <c r="C111" s="15"/>
      <c r="D111" s="14"/>
      <c r="E111" s="16"/>
      <c r="F111" s="119"/>
      <c r="G111" s="163">
        <f t="shared" si="2"/>
        <v>189.70000000000002</v>
      </c>
      <c r="H111" s="28"/>
      <c r="I111" s="29"/>
      <c r="J111" s="7"/>
    </row>
    <row r="112" spans="1:10" ht="18" customHeight="1" x14ac:dyDescent="0.25">
      <c r="A112" s="14">
        <f t="shared" si="3"/>
        <v>104</v>
      </c>
      <c r="B112" s="39"/>
      <c r="C112" s="15"/>
      <c r="D112" s="133"/>
      <c r="E112" s="16"/>
      <c r="F112" s="119"/>
      <c r="G112" s="163">
        <f t="shared" si="2"/>
        <v>189.70000000000002</v>
      </c>
      <c r="H112" s="28"/>
      <c r="I112" s="29"/>
      <c r="J112" s="7"/>
    </row>
    <row r="113" spans="1:10" x14ac:dyDescent="0.25">
      <c r="A113" s="7"/>
      <c r="B113" s="7"/>
      <c r="C113" s="34" t="s">
        <v>13</v>
      </c>
      <c r="D113" s="7"/>
      <c r="E113" s="164">
        <f>SUM(E9:E112)</f>
        <v>0</v>
      </c>
      <c r="F113" s="165">
        <f>SUM(F9:F112)</f>
        <v>33.6</v>
      </c>
      <c r="G113" s="35">
        <f>+E113-F113+G8</f>
        <v>189.70000000000002</v>
      </c>
      <c r="H113" s="35"/>
      <c r="I113" s="36"/>
      <c r="J113" s="7"/>
    </row>
  </sheetData>
  <mergeCells count="1">
    <mergeCell ref="A4:I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7"/>
  <dimension ref="A1:P183"/>
  <sheetViews>
    <sheetView topLeftCell="B1" workbookViewId="0">
      <selection activeCell="F18" sqref="F18"/>
    </sheetView>
  </sheetViews>
  <sheetFormatPr defaultRowHeight="15" x14ac:dyDescent="0.25"/>
  <cols>
    <col min="1" max="1" width="6" customWidth="1"/>
    <col min="2" max="2" width="11.5703125" customWidth="1"/>
    <col min="3" max="3" width="49.5703125" customWidth="1"/>
    <col min="4" max="4" width="8" customWidth="1"/>
    <col min="5" max="5" width="12.28515625" customWidth="1"/>
    <col min="6" max="6" width="12" customWidth="1"/>
    <col min="7" max="7" width="13.5703125" customWidth="1"/>
    <col min="8" max="8" width="20.285156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9.5703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9.5703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9.5703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9.5703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9.5703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9.5703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9.5703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9.5703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9.5703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9.5703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9.5703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9.5703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9.5703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9.5703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9.5703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9.5703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9.5703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9.5703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9.5703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9.5703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9.5703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9.5703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9.5703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9.5703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9.5703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9.5703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9.5703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9.5703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9.5703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9.5703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9.5703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9.5703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9.5703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9.5703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9.5703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9.5703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9.5703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9.5703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9.5703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9.5703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9.5703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9.5703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9.5703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9.5703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9.5703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9.5703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9.5703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9.5703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9.5703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9.5703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9.5703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9.5703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9.5703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9.5703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9.5703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9.5703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9.5703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9.5703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9.5703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9.5703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9.5703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9.5703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9.5703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>
        <v>24</v>
      </c>
      <c r="H8" s="7"/>
      <c r="I8" s="7"/>
    </row>
    <row r="9" spans="1:10" ht="18" customHeight="1" x14ac:dyDescent="0.25">
      <c r="A9" s="14">
        <v>1</v>
      </c>
      <c r="B9" s="39">
        <v>45659</v>
      </c>
      <c r="C9" s="15" t="s">
        <v>24</v>
      </c>
      <c r="D9" s="14" t="s">
        <v>33</v>
      </c>
      <c r="E9" s="51"/>
      <c r="F9" s="27">
        <v>7</v>
      </c>
      <c r="G9" s="144">
        <f t="shared" ref="G9:G73" si="0">+G8+E9-F9</f>
        <v>17</v>
      </c>
      <c r="H9" s="28" t="s">
        <v>89</v>
      </c>
      <c r="I9" s="29" t="s">
        <v>90</v>
      </c>
    </row>
    <row r="10" spans="1:10" ht="18" customHeight="1" x14ac:dyDescent="0.25">
      <c r="A10" s="14">
        <f t="shared" ref="A10:A74" si="1">+A9+1</f>
        <v>2</v>
      </c>
      <c r="B10" s="166">
        <v>45660</v>
      </c>
      <c r="C10" s="15" t="s">
        <v>24</v>
      </c>
      <c r="D10" s="14" t="s">
        <v>33</v>
      </c>
      <c r="E10" s="16"/>
      <c r="F10" s="167">
        <v>7</v>
      </c>
      <c r="G10" s="144">
        <f t="shared" si="0"/>
        <v>10</v>
      </c>
      <c r="H10" s="28" t="s">
        <v>89</v>
      </c>
      <c r="I10" s="29" t="s">
        <v>90</v>
      </c>
    </row>
    <row r="11" spans="1:10" ht="18" customHeight="1" x14ac:dyDescent="0.25">
      <c r="A11" s="14">
        <f t="shared" si="1"/>
        <v>3</v>
      </c>
      <c r="B11" s="166">
        <v>45661</v>
      </c>
      <c r="C11" s="15" t="s">
        <v>24</v>
      </c>
      <c r="D11" s="14" t="s">
        <v>33</v>
      </c>
      <c r="E11" s="16"/>
      <c r="F11" s="168">
        <v>10</v>
      </c>
      <c r="G11" s="144">
        <f t="shared" si="0"/>
        <v>0</v>
      </c>
      <c r="H11" s="28" t="s">
        <v>89</v>
      </c>
      <c r="I11" s="29" t="s">
        <v>90</v>
      </c>
    </row>
    <row r="12" spans="1:10" ht="18" customHeight="1" x14ac:dyDescent="0.25">
      <c r="A12" s="14">
        <f t="shared" si="1"/>
        <v>4</v>
      </c>
      <c r="B12" s="166">
        <v>45724</v>
      </c>
      <c r="C12" s="15" t="s">
        <v>24</v>
      </c>
      <c r="D12" s="14" t="s">
        <v>33</v>
      </c>
      <c r="E12" s="16">
        <v>1010</v>
      </c>
      <c r="F12" s="168"/>
      <c r="G12" s="144">
        <f t="shared" si="0"/>
        <v>1010</v>
      </c>
      <c r="H12" s="28" t="s">
        <v>89</v>
      </c>
      <c r="I12" s="29" t="s">
        <v>90</v>
      </c>
    </row>
    <row r="13" spans="1:10" ht="18" customHeight="1" x14ac:dyDescent="0.25">
      <c r="A13" s="14">
        <f t="shared" si="1"/>
        <v>5</v>
      </c>
      <c r="B13" s="166">
        <v>45870</v>
      </c>
      <c r="C13" s="15" t="s">
        <v>24</v>
      </c>
      <c r="D13" s="14" t="s">
        <v>33</v>
      </c>
      <c r="E13" s="16"/>
      <c r="F13" s="168">
        <v>3</v>
      </c>
      <c r="G13" s="144">
        <f t="shared" si="0"/>
        <v>1007</v>
      </c>
      <c r="H13" s="28" t="s">
        <v>89</v>
      </c>
      <c r="I13" s="29" t="s">
        <v>90</v>
      </c>
      <c r="J13">
        <f>10.1+1.25</f>
        <v>11.35</v>
      </c>
    </row>
    <row r="14" spans="1:10" ht="18" customHeight="1" x14ac:dyDescent="0.25">
      <c r="A14" s="14">
        <f t="shared" si="1"/>
        <v>6</v>
      </c>
      <c r="B14" s="41">
        <v>45871</v>
      </c>
      <c r="C14" s="15" t="s">
        <v>24</v>
      </c>
      <c r="D14" s="14" t="s">
        <v>33</v>
      </c>
      <c r="E14" s="16"/>
      <c r="F14" s="167">
        <v>47</v>
      </c>
      <c r="G14" s="144">
        <f t="shared" si="0"/>
        <v>960</v>
      </c>
      <c r="H14" s="28" t="s">
        <v>89</v>
      </c>
      <c r="I14" s="29" t="s">
        <v>90</v>
      </c>
      <c r="J14" s="26"/>
    </row>
    <row r="15" spans="1:10" ht="18" customHeight="1" x14ac:dyDescent="0.25">
      <c r="A15" s="14">
        <f t="shared" si="1"/>
        <v>7</v>
      </c>
      <c r="B15" s="41">
        <v>45887</v>
      </c>
      <c r="C15" s="15" t="s">
        <v>24</v>
      </c>
      <c r="D15" s="14" t="s">
        <v>33</v>
      </c>
      <c r="E15" s="16"/>
      <c r="F15" s="168">
        <v>47</v>
      </c>
      <c r="G15" s="144">
        <f t="shared" si="0"/>
        <v>913</v>
      </c>
      <c r="H15" s="28" t="s">
        <v>129</v>
      </c>
      <c r="I15" s="29" t="s">
        <v>427</v>
      </c>
    </row>
    <row r="16" spans="1:10" ht="18" customHeight="1" x14ac:dyDescent="0.25">
      <c r="A16" s="14">
        <f t="shared" si="1"/>
        <v>8</v>
      </c>
      <c r="B16" s="41">
        <v>45888</v>
      </c>
      <c r="C16" s="15" t="s">
        <v>24</v>
      </c>
      <c r="D16" s="14" t="s">
        <v>33</v>
      </c>
      <c r="E16" s="16"/>
      <c r="F16" s="168">
        <v>17</v>
      </c>
      <c r="G16" s="144">
        <f t="shared" si="0"/>
        <v>896</v>
      </c>
      <c r="H16" s="28" t="s">
        <v>129</v>
      </c>
      <c r="I16" s="29" t="s">
        <v>427</v>
      </c>
    </row>
    <row r="17" spans="1:10" ht="18" customHeight="1" x14ac:dyDescent="0.25">
      <c r="A17" s="14">
        <f t="shared" si="1"/>
        <v>9</v>
      </c>
      <c r="B17" s="166">
        <v>45890</v>
      </c>
      <c r="C17" s="15" t="s">
        <v>24</v>
      </c>
      <c r="D17" s="14" t="s">
        <v>33</v>
      </c>
      <c r="E17" s="16"/>
      <c r="F17" s="168">
        <v>47</v>
      </c>
      <c r="G17" s="144">
        <f t="shared" si="0"/>
        <v>849</v>
      </c>
      <c r="H17" s="28" t="s">
        <v>89</v>
      </c>
      <c r="I17" s="29" t="s">
        <v>90</v>
      </c>
    </row>
    <row r="18" spans="1:10" ht="18" customHeight="1" x14ac:dyDescent="0.25">
      <c r="A18" s="14">
        <f t="shared" si="1"/>
        <v>10</v>
      </c>
      <c r="B18" s="166"/>
      <c r="C18" s="15" t="s">
        <v>24</v>
      </c>
      <c r="D18" s="14" t="s">
        <v>33</v>
      </c>
      <c r="E18" s="16"/>
      <c r="F18" s="168"/>
      <c r="G18" s="144">
        <f t="shared" si="0"/>
        <v>849</v>
      </c>
      <c r="H18" s="28" t="s">
        <v>89</v>
      </c>
      <c r="I18" s="29" t="s">
        <v>90</v>
      </c>
    </row>
    <row r="19" spans="1:10" ht="18" customHeight="1" x14ac:dyDescent="0.25">
      <c r="A19" s="14">
        <f t="shared" si="1"/>
        <v>11</v>
      </c>
      <c r="B19" s="166"/>
      <c r="C19" s="15" t="s">
        <v>24</v>
      </c>
      <c r="D19" s="14" t="s">
        <v>33</v>
      </c>
      <c r="E19" s="16"/>
      <c r="F19" s="167"/>
      <c r="G19" s="144">
        <f t="shared" si="0"/>
        <v>849</v>
      </c>
      <c r="H19" s="28" t="s">
        <v>89</v>
      </c>
      <c r="I19" s="29" t="s">
        <v>90</v>
      </c>
    </row>
    <row r="20" spans="1:10" ht="18" customHeight="1" x14ac:dyDescent="0.25">
      <c r="A20" s="14">
        <f t="shared" si="1"/>
        <v>12</v>
      </c>
      <c r="B20" s="166"/>
      <c r="C20" s="15" t="s">
        <v>24</v>
      </c>
      <c r="D20" s="14" t="s">
        <v>33</v>
      </c>
      <c r="E20" s="16"/>
      <c r="F20" s="168"/>
      <c r="G20" s="144">
        <f t="shared" si="0"/>
        <v>849</v>
      </c>
      <c r="H20" s="28" t="s">
        <v>89</v>
      </c>
      <c r="I20" s="29" t="s">
        <v>90</v>
      </c>
    </row>
    <row r="21" spans="1:10" ht="18" customHeight="1" x14ac:dyDescent="0.25">
      <c r="A21" s="14">
        <f t="shared" si="1"/>
        <v>13</v>
      </c>
      <c r="B21" s="166"/>
      <c r="C21" s="15" t="s">
        <v>24</v>
      </c>
      <c r="D21" s="14" t="s">
        <v>33</v>
      </c>
      <c r="E21" s="16"/>
      <c r="F21" s="168"/>
      <c r="G21" s="144">
        <f t="shared" si="0"/>
        <v>849</v>
      </c>
      <c r="H21" s="28" t="s">
        <v>89</v>
      </c>
      <c r="I21" s="29" t="s">
        <v>90</v>
      </c>
    </row>
    <row r="22" spans="1:10" ht="18" customHeight="1" x14ac:dyDescent="0.25">
      <c r="A22" s="14">
        <f t="shared" si="1"/>
        <v>14</v>
      </c>
      <c r="B22" s="166"/>
      <c r="C22" s="15" t="s">
        <v>24</v>
      </c>
      <c r="D22" s="14" t="s">
        <v>33</v>
      </c>
      <c r="E22" s="169"/>
      <c r="F22" s="168"/>
      <c r="G22" s="144">
        <f t="shared" si="0"/>
        <v>849</v>
      </c>
      <c r="H22" s="28" t="s">
        <v>89</v>
      </c>
      <c r="I22" s="29" t="s">
        <v>90</v>
      </c>
    </row>
    <row r="23" spans="1:10" ht="18" customHeight="1" x14ac:dyDescent="0.25">
      <c r="A23" s="14">
        <f t="shared" si="1"/>
        <v>15</v>
      </c>
      <c r="B23" s="166"/>
      <c r="C23" s="15" t="s">
        <v>24</v>
      </c>
      <c r="D23" s="14" t="s">
        <v>33</v>
      </c>
      <c r="E23" s="170"/>
      <c r="F23" s="168"/>
      <c r="G23" s="144">
        <f t="shared" si="0"/>
        <v>849</v>
      </c>
      <c r="H23" s="28" t="s">
        <v>89</v>
      </c>
      <c r="I23" s="29" t="s">
        <v>90</v>
      </c>
    </row>
    <row r="24" spans="1:10" ht="18" customHeight="1" x14ac:dyDescent="0.25">
      <c r="A24" s="14">
        <f t="shared" si="1"/>
        <v>16</v>
      </c>
      <c r="B24" s="171"/>
      <c r="C24" s="15" t="s">
        <v>24</v>
      </c>
      <c r="D24" s="14" t="s">
        <v>33</v>
      </c>
      <c r="E24" s="170"/>
      <c r="F24" s="168"/>
      <c r="G24" s="144">
        <f t="shared" si="0"/>
        <v>849</v>
      </c>
      <c r="H24" s="28" t="s">
        <v>89</v>
      </c>
      <c r="I24" s="29" t="s">
        <v>90</v>
      </c>
    </row>
    <row r="25" spans="1:10" ht="18" customHeight="1" x14ac:dyDescent="0.25">
      <c r="A25" s="14">
        <f t="shared" si="1"/>
        <v>17</v>
      </c>
      <c r="B25" s="171"/>
      <c r="C25" s="15" t="s">
        <v>24</v>
      </c>
      <c r="D25" s="14" t="s">
        <v>33</v>
      </c>
      <c r="E25" s="170"/>
      <c r="F25" s="168"/>
      <c r="G25" s="144">
        <f t="shared" si="0"/>
        <v>849</v>
      </c>
      <c r="H25" s="28" t="s">
        <v>89</v>
      </c>
      <c r="I25" s="29" t="s">
        <v>90</v>
      </c>
    </row>
    <row r="26" spans="1:10" ht="18" customHeight="1" x14ac:dyDescent="0.25">
      <c r="A26" s="14">
        <f t="shared" si="1"/>
        <v>18</v>
      </c>
      <c r="B26" s="171"/>
      <c r="C26" s="15" t="s">
        <v>24</v>
      </c>
      <c r="D26" s="14" t="s">
        <v>33</v>
      </c>
      <c r="E26" s="170"/>
      <c r="F26" s="172"/>
      <c r="G26" s="144">
        <f t="shared" si="0"/>
        <v>849</v>
      </c>
      <c r="H26" s="28" t="s">
        <v>140</v>
      </c>
      <c r="I26" s="29" t="s">
        <v>90</v>
      </c>
    </row>
    <row r="27" spans="1:10" ht="18" customHeight="1" x14ac:dyDescent="0.25">
      <c r="A27" s="14">
        <f t="shared" si="1"/>
        <v>19</v>
      </c>
      <c r="B27" s="171"/>
      <c r="C27" s="15" t="s">
        <v>24</v>
      </c>
      <c r="D27" s="14" t="s">
        <v>33</v>
      </c>
      <c r="E27" s="170"/>
      <c r="F27" s="168"/>
      <c r="G27" s="144">
        <f t="shared" si="0"/>
        <v>849</v>
      </c>
      <c r="H27" s="28" t="s">
        <v>89</v>
      </c>
      <c r="I27" s="29" t="s">
        <v>90</v>
      </c>
    </row>
    <row r="28" spans="1:10" ht="18" customHeight="1" x14ac:dyDescent="0.25">
      <c r="A28" s="14">
        <f t="shared" si="1"/>
        <v>20</v>
      </c>
      <c r="B28" s="171"/>
      <c r="C28" s="15" t="s">
        <v>24</v>
      </c>
      <c r="D28" s="14" t="s">
        <v>33</v>
      </c>
      <c r="E28" s="170"/>
      <c r="F28" s="168"/>
      <c r="G28" s="144">
        <f t="shared" si="0"/>
        <v>849</v>
      </c>
      <c r="H28" s="28" t="s">
        <v>89</v>
      </c>
      <c r="I28" s="29" t="s">
        <v>90</v>
      </c>
    </row>
    <row r="29" spans="1:10" ht="18" customHeight="1" x14ac:dyDescent="0.25">
      <c r="A29" s="14">
        <f t="shared" si="1"/>
        <v>21</v>
      </c>
      <c r="B29" s="166"/>
      <c r="C29" s="15" t="s">
        <v>24</v>
      </c>
      <c r="D29" s="14" t="s">
        <v>33</v>
      </c>
      <c r="E29" s="170"/>
      <c r="F29" s="168"/>
      <c r="G29" s="144">
        <f t="shared" si="0"/>
        <v>849</v>
      </c>
      <c r="H29" s="28" t="s">
        <v>89</v>
      </c>
      <c r="I29" s="29" t="s">
        <v>90</v>
      </c>
    </row>
    <row r="30" spans="1:10" ht="18" customHeight="1" x14ac:dyDescent="0.25">
      <c r="A30" s="14">
        <f t="shared" si="1"/>
        <v>22</v>
      </c>
      <c r="B30" s="166"/>
      <c r="C30" s="15" t="s">
        <v>24</v>
      </c>
      <c r="D30" s="14" t="s">
        <v>33</v>
      </c>
      <c r="E30" s="170"/>
      <c r="F30" s="168"/>
      <c r="G30" s="144">
        <f t="shared" si="0"/>
        <v>849</v>
      </c>
      <c r="H30" s="28" t="s">
        <v>89</v>
      </c>
      <c r="I30" s="29" t="s">
        <v>90</v>
      </c>
    </row>
    <row r="31" spans="1:10" ht="18" customHeight="1" x14ac:dyDescent="0.25">
      <c r="A31" s="14">
        <f t="shared" si="1"/>
        <v>23</v>
      </c>
      <c r="B31" s="166"/>
      <c r="C31" s="15" t="s">
        <v>24</v>
      </c>
      <c r="D31" s="14" t="s">
        <v>33</v>
      </c>
      <c r="E31" s="170"/>
      <c r="F31" s="168"/>
      <c r="G31" s="144">
        <f t="shared" si="0"/>
        <v>849</v>
      </c>
      <c r="H31" s="28" t="s">
        <v>89</v>
      </c>
      <c r="I31" s="29" t="s">
        <v>90</v>
      </c>
      <c r="J31" t="s">
        <v>25</v>
      </c>
    </row>
    <row r="32" spans="1:10" ht="18" customHeight="1" x14ac:dyDescent="0.25">
      <c r="A32" s="14">
        <f t="shared" si="1"/>
        <v>24</v>
      </c>
      <c r="B32" s="166"/>
      <c r="C32" s="15" t="s">
        <v>24</v>
      </c>
      <c r="D32" s="14" t="s">
        <v>33</v>
      </c>
      <c r="E32" s="170"/>
      <c r="F32" s="168"/>
      <c r="G32" s="144">
        <f t="shared" si="0"/>
        <v>849</v>
      </c>
      <c r="H32" s="28" t="s">
        <v>89</v>
      </c>
      <c r="I32" s="29" t="s">
        <v>90</v>
      </c>
    </row>
    <row r="33" spans="1:9" ht="18" customHeight="1" x14ac:dyDescent="0.25">
      <c r="A33" s="14">
        <f t="shared" si="1"/>
        <v>25</v>
      </c>
      <c r="B33" s="166"/>
      <c r="C33" s="15" t="s">
        <v>24</v>
      </c>
      <c r="D33" s="14" t="s">
        <v>33</v>
      </c>
      <c r="E33" s="170"/>
      <c r="F33" s="168"/>
      <c r="G33" s="144">
        <f t="shared" si="0"/>
        <v>849</v>
      </c>
      <c r="H33" s="28" t="s">
        <v>89</v>
      </c>
      <c r="I33" s="29" t="s">
        <v>90</v>
      </c>
    </row>
    <row r="34" spans="1:9" ht="18" customHeight="1" x14ac:dyDescent="0.25">
      <c r="A34" s="14">
        <f t="shared" si="1"/>
        <v>26</v>
      </c>
      <c r="B34" s="166"/>
      <c r="C34" s="15" t="s">
        <v>24</v>
      </c>
      <c r="D34" s="14" t="s">
        <v>33</v>
      </c>
      <c r="E34" s="170"/>
      <c r="F34" s="168"/>
      <c r="G34" s="144">
        <f t="shared" si="0"/>
        <v>849</v>
      </c>
      <c r="H34" s="28" t="s">
        <v>89</v>
      </c>
      <c r="I34" s="29" t="s">
        <v>90</v>
      </c>
    </row>
    <row r="35" spans="1:9" ht="18" customHeight="1" x14ac:dyDescent="0.25">
      <c r="A35" s="14">
        <f t="shared" si="1"/>
        <v>27</v>
      </c>
      <c r="B35" s="166"/>
      <c r="C35" s="15" t="s">
        <v>24</v>
      </c>
      <c r="D35" s="14" t="s">
        <v>33</v>
      </c>
      <c r="E35" s="170"/>
      <c r="F35" s="168"/>
      <c r="G35" s="144">
        <f t="shared" si="0"/>
        <v>849</v>
      </c>
      <c r="H35" s="28" t="s">
        <v>89</v>
      </c>
      <c r="I35" s="29" t="s">
        <v>90</v>
      </c>
    </row>
    <row r="36" spans="1:9" ht="18" customHeight="1" x14ac:dyDescent="0.25">
      <c r="A36" s="14">
        <f t="shared" si="1"/>
        <v>28</v>
      </c>
      <c r="B36" s="166"/>
      <c r="C36" s="15" t="s">
        <v>24</v>
      </c>
      <c r="D36" s="14" t="s">
        <v>33</v>
      </c>
      <c r="E36" s="170"/>
      <c r="F36" s="168"/>
      <c r="G36" s="144">
        <f t="shared" si="0"/>
        <v>849</v>
      </c>
      <c r="H36" s="28" t="s">
        <v>89</v>
      </c>
      <c r="I36" s="29" t="s">
        <v>90</v>
      </c>
    </row>
    <row r="37" spans="1:9" ht="18" customHeight="1" x14ac:dyDescent="0.25">
      <c r="A37" s="14">
        <f t="shared" si="1"/>
        <v>29</v>
      </c>
      <c r="B37" s="166"/>
      <c r="C37" s="15" t="s">
        <v>24</v>
      </c>
      <c r="D37" s="14" t="s">
        <v>33</v>
      </c>
      <c r="E37" s="170"/>
      <c r="F37" s="168"/>
      <c r="G37" s="144">
        <f t="shared" si="0"/>
        <v>849</v>
      </c>
      <c r="H37" s="28" t="s">
        <v>89</v>
      </c>
      <c r="I37" s="29" t="s">
        <v>90</v>
      </c>
    </row>
    <row r="38" spans="1:9" ht="18" customHeight="1" x14ac:dyDescent="0.25">
      <c r="A38" s="14">
        <f t="shared" si="1"/>
        <v>30</v>
      </c>
      <c r="B38" s="166"/>
      <c r="C38" s="15" t="s">
        <v>24</v>
      </c>
      <c r="D38" s="14" t="s">
        <v>33</v>
      </c>
      <c r="E38" s="170"/>
      <c r="F38" s="168"/>
      <c r="G38" s="144">
        <f t="shared" si="0"/>
        <v>849</v>
      </c>
      <c r="H38" s="28" t="s">
        <v>89</v>
      </c>
      <c r="I38" s="29" t="s">
        <v>90</v>
      </c>
    </row>
    <row r="39" spans="1:9" ht="18" customHeight="1" x14ac:dyDescent="0.25">
      <c r="A39" s="14">
        <f t="shared" si="1"/>
        <v>31</v>
      </c>
      <c r="B39" s="166"/>
      <c r="C39" s="15" t="s">
        <v>24</v>
      </c>
      <c r="D39" s="14" t="s">
        <v>33</v>
      </c>
      <c r="E39" s="170"/>
      <c r="F39" s="168"/>
      <c r="G39" s="144">
        <f t="shared" si="0"/>
        <v>849</v>
      </c>
      <c r="H39" s="28" t="s">
        <v>89</v>
      </c>
      <c r="I39" s="29" t="s">
        <v>90</v>
      </c>
    </row>
    <row r="40" spans="1:9" ht="18" customHeight="1" x14ac:dyDescent="0.25">
      <c r="A40" s="14">
        <f t="shared" si="1"/>
        <v>32</v>
      </c>
      <c r="B40" s="166"/>
      <c r="C40" s="15" t="s">
        <v>24</v>
      </c>
      <c r="D40" s="14" t="s">
        <v>33</v>
      </c>
      <c r="E40" s="170"/>
      <c r="F40" s="168"/>
      <c r="G40" s="144">
        <f t="shared" si="0"/>
        <v>849</v>
      </c>
      <c r="H40" s="28" t="s">
        <v>89</v>
      </c>
      <c r="I40" s="29" t="s">
        <v>90</v>
      </c>
    </row>
    <row r="41" spans="1:9" ht="18" customHeight="1" x14ac:dyDescent="0.25">
      <c r="A41" s="14">
        <f t="shared" si="1"/>
        <v>33</v>
      </c>
      <c r="B41" s="173"/>
      <c r="C41" s="15" t="s">
        <v>24</v>
      </c>
      <c r="D41" s="14" t="s">
        <v>33</v>
      </c>
      <c r="E41" s="170"/>
      <c r="F41" s="168"/>
      <c r="G41" s="144">
        <f t="shared" si="0"/>
        <v>849</v>
      </c>
      <c r="H41" s="28" t="s">
        <v>89</v>
      </c>
      <c r="I41" s="29" t="s">
        <v>90</v>
      </c>
    </row>
    <row r="42" spans="1:9" ht="18" customHeight="1" x14ac:dyDescent="0.25">
      <c r="A42" s="14">
        <f t="shared" si="1"/>
        <v>34</v>
      </c>
      <c r="B42" s="173"/>
      <c r="C42" s="15" t="s">
        <v>24</v>
      </c>
      <c r="D42" s="14" t="s">
        <v>33</v>
      </c>
      <c r="E42" s="170"/>
      <c r="F42" s="168"/>
      <c r="G42" s="144">
        <f t="shared" si="0"/>
        <v>849</v>
      </c>
      <c r="H42" s="28" t="s">
        <v>89</v>
      </c>
      <c r="I42" s="29" t="s">
        <v>90</v>
      </c>
    </row>
    <row r="43" spans="1:9" ht="18" customHeight="1" x14ac:dyDescent="0.25">
      <c r="A43" s="14">
        <f t="shared" si="1"/>
        <v>35</v>
      </c>
      <c r="B43" s="173"/>
      <c r="C43" s="15" t="s">
        <v>24</v>
      </c>
      <c r="D43" s="14" t="s">
        <v>33</v>
      </c>
      <c r="E43" s="170"/>
      <c r="F43" s="168"/>
      <c r="G43" s="144">
        <f t="shared" si="0"/>
        <v>849</v>
      </c>
      <c r="H43" s="28" t="s">
        <v>89</v>
      </c>
      <c r="I43" s="29" t="s">
        <v>90</v>
      </c>
    </row>
    <row r="44" spans="1:9" ht="18" customHeight="1" x14ac:dyDescent="0.25">
      <c r="A44" s="14">
        <f t="shared" si="1"/>
        <v>36</v>
      </c>
      <c r="B44" s="173"/>
      <c r="C44" s="15" t="s">
        <v>24</v>
      </c>
      <c r="D44" s="14" t="s">
        <v>33</v>
      </c>
      <c r="E44" s="170"/>
      <c r="F44" s="168"/>
      <c r="G44" s="144">
        <f t="shared" si="0"/>
        <v>849</v>
      </c>
      <c r="H44" s="28" t="s">
        <v>89</v>
      </c>
      <c r="I44" s="29" t="s">
        <v>90</v>
      </c>
    </row>
    <row r="45" spans="1:9" ht="18" customHeight="1" x14ac:dyDescent="0.25">
      <c r="A45" s="14">
        <f t="shared" si="1"/>
        <v>37</v>
      </c>
      <c r="B45" s="173"/>
      <c r="C45" s="15" t="s">
        <v>24</v>
      </c>
      <c r="D45" s="14" t="s">
        <v>33</v>
      </c>
      <c r="E45" s="170"/>
      <c r="F45" s="168"/>
      <c r="G45" s="144">
        <f t="shared" si="0"/>
        <v>849</v>
      </c>
      <c r="H45" s="28" t="s">
        <v>89</v>
      </c>
      <c r="I45" s="29" t="s">
        <v>90</v>
      </c>
    </row>
    <row r="46" spans="1:9" s="162" customFormat="1" ht="18" customHeight="1" x14ac:dyDescent="0.25">
      <c r="A46" s="14">
        <f t="shared" si="1"/>
        <v>38</v>
      </c>
      <c r="B46" s="174"/>
      <c r="C46" s="15" t="s">
        <v>24</v>
      </c>
      <c r="D46" s="14" t="s">
        <v>33</v>
      </c>
      <c r="E46" s="175"/>
      <c r="F46" s="172"/>
      <c r="G46" s="144">
        <f t="shared" si="0"/>
        <v>849</v>
      </c>
      <c r="H46" s="28" t="s">
        <v>89</v>
      </c>
      <c r="I46" s="29" t="s">
        <v>90</v>
      </c>
    </row>
    <row r="47" spans="1:9" ht="18" customHeight="1" x14ac:dyDescent="0.25">
      <c r="A47" s="14">
        <f t="shared" si="1"/>
        <v>39</v>
      </c>
      <c r="B47" s="173"/>
      <c r="C47" s="15" t="s">
        <v>24</v>
      </c>
      <c r="D47" s="14" t="s">
        <v>33</v>
      </c>
      <c r="E47" s="170"/>
      <c r="F47" s="167"/>
      <c r="G47" s="144">
        <f t="shared" si="0"/>
        <v>849</v>
      </c>
      <c r="H47" s="28" t="s">
        <v>89</v>
      </c>
      <c r="I47" s="29" t="s">
        <v>90</v>
      </c>
    </row>
    <row r="48" spans="1:9" ht="18" customHeight="1" x14ac:dyDescent="0.25">
      <c r="A48" s="14">
        <f t="shared" si="1"/>
        <v>40</v>
      </c>
      <c r="B48" s="173"/>
      <c r="C48" s="15" t="s">
        <v>24</v>
      </c>
      <c r="D48" s="14" t="s">
        <v>33</v>
      </c>
      <c r="E48" s="170"/>
      <c r="F48" s="168"/>
      <c r="G48" s="144">
        <f t="shared" si="0"/>
        <v>849</v>
      </c>
      <c r="H48" s="28" t="s">
        <v>89</v>
      </c>
      <c r="I48" s="29" t="s">
        <v>90</v>
      </c>
    </row>
    <row r="49" spans="1:16" ht="18" customHeight="1" x14ac:dyDescent="0.25">
      <c r="A49" s="14">
        <f t="shared" si="1"/>
        <v>41</v>
      </c>
      <c r="B49" s="8"/>
      <c r="C49" s="15" t="s">
        <v>24</v>
      </c>
      <c r="D49" s="14" t="s">
        <v>33</v>
      </c>
      <c r="E49" s="32"/>
      <c r="F49" s="176"/>
      <c r="G49" s="144">
        <f t="shared" si="0"/>
        <v>849</v>
      </c>
      <c r="H49" s="28" t="s">
        <v>89</v>
      </c>
      <c r="I49" s="29" t="s">
        <v>90</v>
      </c>
    </row>
    <row r="50" spans="1:16" ht="18" customHeight="1" x14ac:dyDescent="0.25">
      <c r="A50" s="14">
        <f t="shared" si="1"/>
        <v>42</v>
      </c>
      <c r="B50" s="173"/>
      <c r="C50" s="15" t="s">
        <v>24</v>
      </c>
      <c r="D50" s="14" t="s">
        <v>33</v>
      </c>
      <c r="E50" s="170"/>
      <c r="F50" s="167"/>
      <c r="G50" s="144">
        <f t="shared" si="0"/>
        <v>849</v>
      </c>
      <c r="H50" s="28" t="s">
        <v>89</v>
      </c>
      <c r="I50" s="29" t="s">
        <v>90</v>
      </c>
    </row>
    <row r="51" spans="1:16" ht="18" customHeight="1" x14ac:dyDescent="0.25">
      <c r="A51" s="14">
        <f t="shared" si="1"/>
        <v>43</v>
      </c>
      <c r="B51" s="173"/>
      <c r="C51" s="15" t="s">
        <v>24</v>
      </c>
      <c r="D51" s="14" t="s">
        <v>33</v>
      </c>
      <c r="E51" s="170"/>
      <c r="F51" s="167"/>
      <c r="G51" s="144">
        <f t="shared" si="0"/>
        <v>849</v>
      </c>
      <c r="H51" s="28" t="s">
        <v>89</v>
      </c>
      <c r="I51" s="29" t="s">
        <v>90</v>
      </c>
    </row>
    <row r="52" spans="1:16" ht="18" customHeight="1" x14ac:dyDescent="0.25">
      <c r="A52" s="14">
        <f t="shared" si="1"/>
        <v>44</v>
      </c>
      <c r="B52" s="173"/>
      <c r="C52" s="15" t="s">
        <v>24</v>
      </c>
      <c r="D52" s="14" t="s">
        <v>33</v>
      </c>
      <c r="E52" s="170"/>
      <c r="F52" s="167"/>
      <c r="G52" s="144">
        <f t="shared" si="0"/>
        <v>849</v>
      </c>
      <c r="H52" s="28"/>
      <c r="I52" s="29"/>
    </row>
    <row r="53" spans="1:16" ht="18" customHeight="1" x14ac:dyDescent="0.25">
      <c r="A53" s="14">
        <f t="shared" si="1"/>
        <v>45</v>
      </c>
      <c r="B53" s="173"/>
      <c r="C53" s="15" t="s">
        <v>24</v>
      </c>
      <c r="D53" s="14" t="s">
        <v>33</v>
      </c>
      <c r="E53" s="170"/>
      <c r="F53" s="167"/>
      <c r="G53" s="144">
        <f t="shared" si="0"/>
        <v>849</v>
      </c>
      <c r="H53" s="28"/>
      <c r="I53" s="29"/>
      <c r="J53" s="177" t="s">
        <v>26</v>
      </c>
      <c r="K53" s="177"/>
    </row>
    <row r="54" spans="1:16" ht="18" customHeight="1" x14ac:dyDescent="0.25">
      <c r="A54" s="14">
        <f t="shared" si="1"/>
        <v>46</v>
      </c>
      <c r="B54" s="173"/>
      <c r="C54" s="15" t="s">
        <v>24</v>
      </c>
      <c r="D54" s="14" t="s">
        <v>33</v>
      </c>
      <c r="E54" s="170"/>
      <c r="F54" s="167"/>
      <c r="G54" s="144">
        <f t="shared" si="0"/>
        <v>849</v>
      </c>
      <c r="H54" s="28"/>
      <c r="I54" s="29"/>
    </row>
    <row r="55" spans="1:16" ht="18" customHeight="1" x14ac:dyDescent="0.25">
      <c r="A55" s="14">
        <f t="shared" si="1"/>
        <v>47</v>
      </c>
      <c r="B55" s="173"/>
      <c r="C55" s="15" t="s">
        <v>24</v>
      </c>
      <c r="D55" s="14" t="s">
        <v>33</v>
      </c>
      <c r="E55" s="170"/>
      <c r="F55" s="167"/>
      <c r="G55" s="144">
        <f t="shared" si="0"/>
        <v>849</v>
      </c>
      <c r="H55" s="28"/>
      <c r="I55" s="29"/>
    </row>
    <row r="56" spans="1:16" ht="18" customHeight="1" x14ac:dyDescent="0.25">
      <c r="A56" s="14">
        <f t="shared" si="1"/>
        <v>48</v>
      </c>
      <c r="B56" s="173"/>
      <c r="C56" s="15" t="s">
        <v>24</v>
      </c>
      <c r="D56" s="14" t="s">
        <v>33</v>
      </c>
      <c r="E56" s="170"/>
      <c r="F56" s="167"/>
      <c r="G56" s="144">
        <f t="shared" si="0"/>
        <v>849</v>
      </c>
      <c r="H56" s="28"/>
      <c r="I56" s="29"/>
    </row>
    <row r="57" spans="1:16" ht="18" customHeight="1" x14ac:dyDescent="0.25">
      <c r="A57" s="14">
        <f t="shared" si="1"/>
        <v>49</v>
      </c>
      <c r="B57" s="173"/>
      <c r="C57" s="15" t="s">
        <v>24</v>
      </c>
      <c r="D57" s="14" t="s">
        <v>33</v>
      </c>
      <c r="E57" s="170"/>
      <c r="F57" s="167"/>
      <c r="G57" s="144">
        <f t="shared" si="0"/>
        <v>849</v>
      </c>
      <c r="H57" s="28"/>
      <c r="I57" s="29"/>
    </row>
    <row r="58" spans="1:16" ht="18" customHeight="1" x14ac:dyDescent="0.25">
      <c r="A58" s="14">
        <f t="shared" si="1"/>
        <v>50</v>
      </c>
      <c r="B58" s="173"/>
      <c r="C58" s="15" t="s">
        <v>24</v>
      </c>
      <c r="D58" s="14" t="s">
        <v>33</v>
      </c>
      <c r="E58" s="170"/>
      <c r="F58" s="167"/>
      <c r="G58" s="144">
        <f t="shared" si="0"/>
        <v>849</v>
      </c>
      <c r="H58" s="28"/>
      <c r="I58" s="29"/>
    </row>
    <row r="59" spans="1:16" ht="18" customHeight="1" x14ac:dyDescent="0.25">
      <c r="A59" s="14">
        <f t="shared" si="1"/>
        <v>51</v>
      </c>
      <c r="B59" s="173"/>
      <c r="C59" s="15" t="s">
        <v>24</v>
      </c>
      <c r="D59" s="14" t="s">
        <v>33</v>
      </c>
      <c r="E59" s="170"/>
      <c r="F59" s="167"/>
      <c r="G59" s="144">
        <f t="shared" si="0"/>
        <v>849</v>
      </c>
      <c r="H59" s="28"/>
      <c r="I59" s="29"/>
    </row>
    <row r="60" spans="1:16" ht="18" customHeight="1" x14ac:dyDescent="0.25">
      <c r="A60" s="14">
        <f t="shared" si="1"/>
        <v>52</v>
      </c>
      <c r="B60" s="173"/>
      <c r="C60" s="15" t="s">
        <v>24</v>
      </c>
      <c r="D60" s="14" t="s">
        <v>33</v>
      </c>
      <c r="E60" s="170"/>
      <c r="F60" s="167"/>
      <c r="G60" s="144">
        <f t="shared" si="0"/>
        <v>849</v>
      </c>
      <c r="H60" s="28"/>
      <c r="I60" s="29"/>
    </row>
    <row r="61" spans="1:16" ht="18" customHeight="1" x14ac:dyDescent="0.25">
      <c r="A61" s="14">
        <f t="shared" si="1"/>
        <v>53</v>
      </c>
      <c r="B61" s="173"/>
      <c r="C61" s="15" t="s">
        <v>24</v>
      </c>
      <c r="D61" s="14" t="s">
        <v>33</v>
      </c>
      <c r="E61" s="170"/>
      <c r="F61" s="167"/>
      <c r="G61" s="144">
        <f t="shared" si="0"/>
        <v>849</v>
      </c>
      <c r="H61" s="28"/>
      <c r="I61" s="29"/>
    </row>
    <row r="62" spans="1:16" ht="18" customHeight="1" x14ac:dyDescent="0.25">
      <c r="A62" s="14">
        <f t="shared" si="1"/>
        <v>54</v>
      </c>
      <c r="B62" s="173"/>
      <c r="C62" s="15" t="s">
        <v>24</v>
      </c>
      <c r="D62" s="14" t="s">
        <v>33</v>
      </c>
      <c r="E62" s="170"/>
      <c r="F62" s="167"/>
      <c r="G62" s="144">
        <f t="shared" si="0"/>
        <v>849</v>
      </c>
      <c r="H62" s="28"/>
      <c r="I62" s="29"/>
      <c r="J62" s="179"/>
      <c r="K62" s="179"/>
      <c r="L62" s="179"/>
      <c r="M62" s="179"/>
      <c r="N62" s="179"/>
      <c r="O62" s="179"/>
      <c r="P62" s="179"/>
    </row>
    <row r="63" spans="1:16" ht="18" customHeight="1" x14ac:dyDescent="0.25">
      <c r="A63" s="14">
        <f t="shared" si="1"/>
        <v>55</v>
      </c>
      <c r="B63" s="173"/>
      <c r="C63" s="15" t="s">
        <v>24</v>
      </c>
      <c r="D63" s="14" t="s">
        <v>33</v>
      </c>
      <c r="E63" s="170"/>
      <c r="F63" s="167"/>
      <c r="G63" s="144">
        <f t="shared" si="0"/>
        <v>849</v>
      </c>
      <c r="H63" s="28"/>
      <c r="I63" s="29"/>
      <c r="J63" s="162"/>
    </row>
    <row r="64" spans="1:16" ht="18" customHeight="1" x14ac:dyDescent="0.25">
      <c r="A64" s="14">
        <f t="shared" si="1"/>
        <v>56</v>
      </c>
      <c r="B64" s="173"/>
      <c r="C64" s="15" t="s">
        <v>24</v>
      </c>
      <c r="D64" s="14" t="s">
        <v>33</v>
      </c>
      <c r="E64" s="170"/>
      <c r="F64" s="167"/>
      <c r="G64" s="144">
        <f t="shared" si="0"/>
        <v>849</v>
      </c>
      <c r="H64" s="28"/>
      <c r="I64" s="29"/>
    </row>
    <row r="65" spans="1:9" ht="18" customHeight="1" x14ac:dyDescent="0.25">
      <c r="A65" s="14">
        <f t="shared" si="1"/>
        <v>57</v>
      </c>
      <c r="B65" s="173"/>
      <c r="C65" s="15" t="s">
        <v>24</v>
      </c>
      <c r="D65" s="14" t="s">
        <v>33</v>
      </c>
      <c r="E65" s="170"/>
      <c r="F65" s="167"/>
      <c r="G65" s="144">
        <f t="shared" si="0"/>
        <v>849</v>
      </c>
      <c r="H65" s="28"/>
      <c r="I65" s="29"/>
    </row>
    <row r="66" spans="1:9" ht="18" customHeight="1" x14ac:dyDescent="0.25">
      <c r="A66" s="14">
        <f t="shared" si="1"/>
        <v>58</v>
      </c>
      <c r="B66" s="173"/>
      <c r="C66" s="15" t="s">
        <v>24</v>
      </c>
      <c r="D66" s="14" t="s">
        <v>33</v>
      </c>
      <c r="E66" s="170"/>
      <c r="F66" s="167"/>
      <c r="G66" s="144">
        <f t="shared" si="0"/>
        <v>849</v>
      </c>
      <c r="H66" s="28"/>
      <c r="I66" s="29"/>
    </row>
    <row r="67" spans="1:9" ht="18" customHeight="1" x14ac:dyDescent="0.25">
      <c r="A67" s="14">
        <f t="shared" si="1"/>
        <v>59</v>
      </c>
      <c r="B67" s="173"/>
      <c r="C67" s="15" t="s">
        <v>24</v>
      </c>
      <c r="D67" s="14" t="s">
        <v>33</v>
      </c>
      <c r="E67" s="170"/>
      <c r="F67" s="167"/>
      <c r="G67" s="144">
        <f t="shared" si="0"/>
        <v>849</v>
      </c>
      <c r="H67" s="28"/>
      <c r="I67" s="29"/>
    </row>
    <row r="68" spans="1:9" ht="18" customHeight="1" x14ac:dyDescent="0.25">
      <c r="A68" s="14">
        <f t="shared" si="1"/>
        <v>60</v>
      </c>
      <c r="B68" s="173"/>
      <c r="C68" s="15" t="s">
        <v>24</v>
      </c>
      <c r="D68" s="14" t="s">
        <v>33</v>
      </c>
      <c r="E68" s="170"/>
      <c r="F68" s="167"/>
      <c r="G68" s="144">
        <f t="shared" si="0"/>
        <v>849</v>
      </c>
      <c r="H68" s="28"/>
      <c r="I68" s="29"/>
    </row>
    <row r="69" spans="1:9" ht="18" customHeight="1" x14ac:dyDescent="0.25">
      <c r="A69" s="14">
        <f t="shared" si="1"/>
        <v>61</v>
      </c>
      <c r="B69" s="173"/>
      <c r="C69" s="15" t="s">
        <v>24</v>
      </c>
      <c r="D69" s="14" t="s">
        <v>33</v>
      </c>
      <c r="E69" s="170"/>
      <c r="F69" s="167"/>
      <c r="G69" s="144">
        <f t="shared" si="0"/>
        <v>849</v>
      </c>
      <c r="H69" s="28"/>
      <c r="I69" s="29"/>
    </row>
    <row r="70" spans="1:9" s="162" customFormat="1" ht="18" customHeight="1" x14ac:dyDescent="0.25">
      <c r="A70" s="14">
        <f t="shared" si="1"/>
        <v>62</v>
      </c>
      <c r="B70" s="174"/>
      <c r="C70" s="15" t="s">
        <v>24</v>
      </c>
      <c r="D70" s="14" t="s">
        <v>33</v>
      </c>
      <c r="E70" s="175"/>
      <c r="F70" s="31"/>
      <c r="G70" s="144">
        <f t="shared" si="0"/>
        <v>849</v>
      </c>
      <c r="H70" s="28"/>
      <c r="I70" s="29"/>
    </row>
    <row r="71" spans="1:9" ht="18" customHeight="1" x14ac:dyDescent="0.25">
      <c r="A71" s="14">
        <f t="shared" si="1"/>
        <v>63</v>
      </c>
      <c r="B71" s="173"/>
      <c r="C71" s="15" t="s">
        <v>24</v>
      </c>
      <c r="D71" s="14" t="s">
        <v>33</v>
      </c>
      <c r="E71" s="170"/>
      <c r="F71" s="167"/>
      <c r="G71" s="144">
        <f t="shared" si="0"/>
        <v>849</v>
      </c>
      <c r="H71" s="28"/>
      <c r="I71" s="29"/>
    </row>
    <row r="72" spans="1:9" ht="18" customHeight="1" x14ac:dyDescent="0.25">
      <c r="A72" s="14">
        <f t="shared" si="1"/>
        <v>64</v>
      </c>
      <c r="B72" s="173"/>
      <c r="C72" s="15" t="s">
        <v>24</v>
      </c>
      <c r="D72" s="14" t="s">
        <v>33</v>
      </c>
      <c r="E72" s="170"/>
      <c r="F72" s="167"/>
      <c r="G72" s="144">
        <f t="shared" si="0"/>
        <v>849</v>
      </c>
      <c r="H72" s="28"/>
      <c r="I72" s="29"/>
    </row>
    <row r="73" spans="1:9" ht="18" customHeight="1" x14ac:dyDescent="0.25">
      <c r="A73" s="14">
        <f t="shared" si="1"/>
        <v>65</v>
      </c>
      <c r="B73" s="173"/>
      <c r="C73" s="15" t="s">
        <v>24</v>
      </c>
      <c r="D73" s="14" t="s">
        <v>33</v>
      </c>
      <c r="E73" s="170"/>
      <c r="F73" s="167"/>
      <c r="G73" s="144">
        <f t="shared" si="0"/>
        <v>849</v>
      </c>
      <c r="H73" s="28"/>
      <c r="I73" s="29"/>
    </row>
    <row r="74" spans="1:9" ht="18" customHeight="1" x14ac:dyDescent="0.25">
      <c r="A74" s="14">
        <f t="shared" si="1"/>
        <v>66</v>
      </c>
      <c r="B74" s="173"/>
      <c r="C74" s="15" t="s">
        <v>24</v>
      </c>
      <c r="D74" s="14" t="s">
        <v>33</v>
      </c>
      <c r="E74" s="170"/>
      <c r="F74" s="167"/>
      <c r="G74" s="144">
        <f t="shared" ref="G74:G137" si="2">+G73+E74-F74</f>
        <v>849</v>
      </c>
      <c r="H74" s="28"/>
      <c r="I74" s="29"/>
    </row>
    <row r="75" spans="1:9" ht="18" customHeight="1" x14ac:dyDescent="0.25">
      <c r="A75" s="14">
        <f t="shared" ref="A75:A138" si="3">+A74+1</f>
        <v>67</v>
      </c>
      <c r="B75" s="173"/>
      <c r="C75" s="15" t="s">
        <v>24</v>
      </c>
      <c r="D75" s="14" t="s">
        <v>33</v>
      </c>
      <c r="E75" s="170"/>
      <c r="F75" s="167"/>
      <c r="G75" s="144">
        <f t="shared" si="2"/>
        <v>849</v>
      </c>
      <c r="H75" s="28"/>
      <c r="I75" s="29"/>
    </row>
    <row r="76" spans="1:9" ht="18" customHeight="1" x14ac:dyDescent="0.25">
      <c r="A76" s="14">
        <f t="shared" si="3"/>
        <v>68</v>
      </c>
      <c r="B76" s="173"/>
      <c r="C76" s="15" t="s">
        <v>24</v>
      </c>
      <c r="D76" s="14" t="s">
        <v>12</v>
      </c>
      <c r="E76" s="170"/>
      <c r="F76" s="167"/>
      <c r="G76" s="144">
        <f t="shared" si="2"/>
        <v>849</v>
      </c>
      <c r="H76" s="28"/>
      <c r="I76" s="29"/>
    </row>
    <row r="77" spans="1:9" ht="18" customHeight="1" x14ac:dyDescent="0.25">
      <c r="A77" s="14">
        <f t="shared" si="3"/>
        <v>69</v>
      </c>
      <c r="B77" s="173"/>
      <c r="C77" s="15" t="s">
        <v>24</v>
      </c>
      <c r="D77" s="14" t="s">
        <v>12</v>
      </c>
      <c r="E77" s="170"/>
      <c r="F77" s="167"/>
      <c r="G77" s="144">
        <f t="shared" si="2"/>
        <v>849</v>
      </c>
      <c r="H77" s="28"/>
      <c r="I77" s="29"/>
    </row>
    <row r="78" spans="1:9" ht="18" customHeight="1" x14ac:dyDescent="0.25">
      <c r="A78" s="14">
        <f t="shared" si="3"/>
        <v>70</v>
      </c>
      <c r="B78" s="173"/>
      <c r="C78" s="15" t="s">
        <v>24</v>
      </c>
      <c r="D78" s="14" t="s">
        <v>12</v>
      </c>
      <c r="E78" s="170"/>
      <c r="F78" s="167"/>
      <c r="G78" s="144">
        <f t="shared" si="2"/>
        <v>849</v>
      </c>
      <c r="H78" s="28"/>
      <c r="I78" s="29"/>
    </row>
    <row r="79" spans="1:9" ht="18" customHeight="1" x14ac:dyDescent="0.25">
      <c r="A79" s="14">
        <f t="shared" si="3"/>
        <v>71</v>
      </c>
      <c r="B79" s="173"/>
      <c r="C79" s="15" t="s">
        <v>24</v>
      </c>
      <c r="D79" s="14" t="s">
        <v>12</v>
      </c>
      <c r="E79" s="170"/>
      <c r="F79" s="167"/>
      <c r="G79" s="144">
        <f t="shared" si="2"/>
        <v>849</v>
      </c>
      <c r="H79" s="28"/>
      <c r="I79" s="29"/>
    </row>
    <row r="80" spans="1:9" ht="18" customHeight="1" x14ac:dyDescent="0.25">
      <c r="A80" s="14">
        <f t="shared" si="3"/>
        <v>72</v>
      </c>
      <c r="B80" s="173"/>
      <c r="C80" s="15" t="s">
        <v>24</v>
      </c>
      <c r="D80" s="14" t="s">
        <v>12</v>
      </c>
      <c r="E80" s="170"/>
      <c r="F80" s="167"/>
      <c r="G80" s="144">
        <f t="shared" si="2"/>
        <v>849</v>
      </c>
      <c r="H80" s="28"/>
      <c r="I80" s="29"/>
    </row>
    <row r="81" spans="1:9" ht="18" customHeight="1" x14ac:dyDescent="0.25">
      <c r="A81" s="14">
        <f t="shared" si="3"/>
        <v>73</v>
      </c>
      <c r="B81" s="173"/>
      <c r="C81" s="15" t="s">
        <v>24</v>
      </c>
      <c r="D81" s="14" t="s">
        <v>12</v>
      </c>
      <c r="E81" s="170"/>
      <c r="F81" s="167"/>
      <c r="G81" s="144">
        <f t="shared" si="2"/>
        <v>849</v>
      </c>
      <c r="H81" s="28"/>
      <c r="I81" s="29"/>
    </row>
    <row r="82" spans="1:9" ht="18" customHeight="1" x14ac:dyDescent="0.25">
      <c r="A82" s="14">
        <f t="shared" si="3"/>
        <v>74</v>
      </c>
      <c r="B82" s="173"/>
      <c r="C82" s="15" t="s">
        <v>24</v>
      </c>
      <c r="D82" s="14" t="s">
        <v>12</v>
      </c>
      <c r="E82" s="170"/>
      <c r="F82" s="167"/>
      <c r="G82" s="144">
        <f t="shared" si="2"/>
        <v>849</v>
      </c>
      <c r="H82" s="28"/>
      <c r="I82" s="29"/>
    </row>
    <row r="83" spans="1:9" ht="18" customHeight="1" x14ac:dyDescent="0.25">
      <c r="A83" s="14">
        <f t="shared" si="3"/>
        <v>75</v>
      </c>
      <c r="B83" s="173"/>
      <c r="C83" s="15" t="s">
        <v>24</v>
      </c>
      <c r="D83" s="14" t="s">
        <v>12</v>
      </c>
      <c r="E83" s="170"/>
      <c r="F83" s="167"/>
      <c r="G83" s="144">
        <f t="shared" si="2"/>
        <v>849</v>
      </c>
      <c r="H83" s="28"/>
      <c r="I83" s="29"/>
    </row>
    <row r="84" spans="1:9" ht="18" customHeight="1" x14ac:dyDescent="0.25">
      <c r="A84" s="14">
        <f t="shared" si="3"/>
        <v>76</v>
      </c>
      <c r="B84" s="173"/>
      <c r="C84" s="15" t="s">
        <v>24</v>
      </c>
      <c r="D84" s="14" t="s">
        <v>12</v>
      </c>
      <c r="E84" s="170"/>
      <c r="F84" s="167"/>
      <c r="G84" s="144">
        <f t="shared" si="2"/>
        <v>849</v>
      </c>
      <c r="H84" s="28"/>
      <c r="I84" s="29"/>
    </row>
    <row r="85" spans="1:9" ht="18" customHeight="1" x14ac:dyDescent="0.25">
      <c r="A85" s="14">
        <f t="shared" si="3"/>
        <v>77</v>
      </c>
      <c r="B85" s="173"/>
      <c r="C85" s="15" t="s">
        <v>24</v>
      </c>
      <c r="D85" s="14" t="s">
        <v>12</v>
      </c>
      <c r="E85" s="170"/>
      <c r="F85" s="167"/>
      <c r="G85" s="144">
        <f t="shared" si="2"/>
        <v>849</v>
      </c>
      <c r="H85" s="28"/>
      <c r="I85" s="29"/>
    </row>
    <row r="86" spans="1:9" ht="18" customHeight="1" x14ac:dyDescent="0.25">
      <c r="A86" s="14">
        <f t="shared" si="3"/>
        <v>78</v>
      </c>
      <c r="B86" s="173"/>
      <c r="C86" s="15" t="s">
        <v>24</v>
      </c>
      <c r="D86" s="14" t="s">
        <v>12</v>
      </c>
      <c r="E86" s="170"/>
      <c r="F86" s="167"/>
      <c r="G86" s="144">
        <f t="shared" si="2"/>
        <v>849</v>
      </c>
      <c r="H86" s="28"/>
      <c r="I86" s="29"/>
    </row>
    <row r="87" spans="1:9" ht="18" customHeight="1" x14ac:dyDescent="0.25">
      <c r="A87" s="14">
        <f t="shared" si="3"/>
        <v>79</v>
      </c>
      <c r="B87" s="173"/>
      <c r="C87" s="15" t="s">
        <v>24</v>
      </c>
      <c r="D87" s="14" t="s">
        <v>12</v>
      </c>
      <c r="E87" s="170"/>
      <c r="F87" s="167"/>
      <c r="G87" s="144">
        <f t="shared" si="2"/>
        <v>849</v>
      </c>
      <c r="H87" s="28"/>
      <c r="I87" s="29"/>
    </row>
    <row r="88" spans="1:9" ht="18" customHeight="1" x14ac:dyDescent="0.25">
      <c r="A88" s="14">
        <f t="shared" si="3"/>
        <v>80</v>
      </c>
      <c r="B88" s="173"/>
      <c r="C88" s="15" t="s">
        <v>24</v>
      </c>
      <c r="D88" s="14" t="s">
        <v>12</v>
      </c>
      <c r="E88" s="170"/>
      <c r="F88" s="167"/>
      <c r="G88" s="144">
        <f t="shared" si="2"/>
        <v>849</v>
      </c>
      <c r="H88" s="28"/>
      <c r="I88" s="29"/>
    </row>
    <row r="89" spans="1:9" ht="18" customHeight="1" x14ac:dyDescent="0.25">
      <c r="A89" s="14">
        <f t="shared" si="3"/>
        <v>81</v>
      </c>
      <c r="B89" s="173"/>
      <c r="C89" s="15" t="s">
        <v>24</v>
      </c>
      <c r="D89" s="14" t="s">
        <v>12</v>
      </c>
      <c r="E89" s="170"/>
      <c r="F89" s="167"/>
      <c r="G89" s="144">
        <f t="shared" si="2"/>
        <v>849</v>
      </c>
      <c r="H89" s="28"/>
      <c r="I89" s="29"/>
    </row>
    <row r="90" spans="1:9" ht="18" customHeight="1" x14ac:dyDescent="0.25">
      <c r="A90" s="14">
        <f t="shared" si="3"/>
        <v>82</v>
      </c>
      <c r="B90" s="173"/>
      <c r="C90" s="15" t="s">
        <v>24</v>
      </c>
      <c r="D90" s="14" t="s">
        <v>12</v>
      </c>
      <c r="E90" s="170"/>
      <c r="F90" s="167"/>
      <c r="G90" s="144">
        <f t="shared" si="2"/>
        <v>849</v>
      </c>
      <c r="H90" s="28"/>
      <c r="I90" s="29"/>
    </row>
    <row r="91" spans="1:9" ht="18" customHeight="1" x14ac:dyDescent="0.25">
      <c r="A91" s="14">
        <f t="shared" si="3"/>
        <v>83</v>
      </c>
      <c r="B91" s="173"/>
      <c r="C91" s="15" t="s">
        <v>24</v>
      </c>
      <c r="D91" s="14" t="s">
        <v>12</v>
      </c>
      <c r="E91" s="170"/>
      <c r="F91" s="167"/>
      <c r="G91" s="144">
        <f t="shared" si="2"/>
        <v>849</v>
      </c>
      <c r="H91" s="28"/>
      <c r="I91" s="29"/>
    </row>
    <row r="92" spans="1:9" ht="18" customHeight="1" x14ac:dyDescent="0.25">
      <c r="A92" s="14">
        <f t="shared" si="3"/>
        <v>84</v>
      </c>
      <c r="B92" s="173"/>
      <c r="C92" s="15" t="s">
        <v>24</v>
      </c>
      <c r="D92" s="14" t="s">
        <v>12</v>
      </c>
      <c r="E92" s="170"/>
      <c r="F92" s="167"/>
      <c r="G92" s="144">
        <f t="shared" si="2"/>
        <v>849</v>
      </c>
      <c r="H92" s="28"/>
      <c r="I92" s="29"/>
    </row>
    <row r="93" spans="1:9" ht="18" customHeight="1" x14ac:dyDescent="0.25">
      <c r="A93" s="14">
        <f t="shared" si="3"/>
        <v>85</v>
      </c>
      <c r="B93" s="173"/>
      <c r="C93" s="15" t="s">
        <v>24</v>
      </c>
      <c r="D93" s="14" t="s">
        <v>12</v>
      </c>
      <c r="E93" s="170"/>
      <c r="F93" s="167"/>
      <c r="G93" s="144">
        <f t="shared" si="2"/>
        <v>849</v>
      </c>
      <c r="H93" s="49"/>
      <c r="I93" s="29"/>
    </row>
    <row r="94" spans="1:9" ht="18" customHeight="1" x14ac:dyDescent="0.25">
      <c r="A94" s="14">
        <f t="shared" si="3"/>
        <v>86</v>
      </c>
      <c r="B94" s="173"/>
      <c r="C94" s="15" t="s">
        <v>24</v>
      </c>
      <c r="D94" s="14" t="s">
        <v>12</v>
      </c>
      <c r="E94" s="170"/>
      <c r="F94" s="167"/>
      <c r="G94" s="144">
        <f t="shared" si="2"/>
        <v>849</v>
      </c>
      <c r="H94" s="49"/>
      <c r="I94" s="29"/>
    </row>
    <row r="95" spans="1:9" ht="18" customHeight="1" x14ac:dyDescent="0.25">
      <c r="A95" s="14">
        <f t="shared" si="3"/>
        <v>87</v>
      </c>
      <c r="B95" s="173"/>
      <c r="C95" s="15" t="s">
        <v>24</v>
      </c>
      <c r="D95" s="14" t="s">
        <v>12</v>
      </c>
      <c r="E95" s="170"/>
      <c r="F95" s="167"/>
      <c r="G95" s="144">
        <f t="shared" si="2"/>
        <v>849</v>
      </c>
      <c r="H95" s="49"/>
      <c r="I95" s="29"/>
    </row>
    <row r="96" spans="1:9" ht="18" customHeight="1" x14ac:dyDescent="0.25">
      <c r="A96" s="14">
        <f t="shared" si="3"/>
        <v>88</v>
      </c>
      <c r="B96" s="173"/>
      <c r="C96" s="15" t="s">
        <v>24</v>
      </c>
      <c r="D96" s="14" t="s">
        <v>12</v>
      </c>
      <c r="E96" s="170"/>
      <c r="F96" s="167"/>
      <c r="G96" s="144">
        <f t="shared" si="2"/>
        <v>849</v>
      </c>
      <c r="H96" s="49"/>
      <c r="I96" s="29"/>
    </row>
    <row r="97" spans="1:9" ht="18" customHeight="1" x14ac:dyDescent="0.25">
      <c r="A97" s="14">
        <f t="shared" si="3"/>
        <v>89</v>
      </c>
      <c r="B97" s="173"/>
      <c r="C97" s="15" t="s">
        <v>24</v>
      </c>
      <c r="D97" s="14" t="s">
        <v>12</v>
      </c>
      <c r="E97" s="170"/>
      <c r="F97" s="167"/>
      <c r="G97" s="144">
        <f t="shared" si="2"/>
        <v>849</v>
      </c>
      <c r="H97" s="49"/>
      <c r="I97" s="29"/>
    </row>
    <row r="98" spans="1:9" ht="18" customHeight="1" x14ac:dyDescent="0.25">
      <c r="A98" s="14">
        <f t="shared" si="3"/>
        <v>90</v>
      </c>
      <c r="B98" s="173"/>
      <c r="C98" s="15" t="s">
        <v>24</v>
      </c>
      <c r="D98" s="14" t="s">
        <v>12</v>
      </c>
      <c r="E98" s="170"/>
      <c r="F98" s="167"/>
      <c r="G98" s="144">
        <f t="shared" si="2"/>
        <v>849</v>
      </c>
      <c r="H98" s="49"/>
      <c r="I98" s="29"/>
    </row>
    <row r="99" spans="1:9" ht="18" customHeight="1" x14ac:dyDescent="0.25">
      <c r="A99" s="14">
        <f t="shared" si="3"/>
        <v>91</v>
      </c>
      <c r="B99" s="173"/>
      <c r="C99" s="15" t="s">
        <v>24</v>
      </c>
      <c r="D99" s="14" t="s">
        <v>12</v>
      </c>
      <c r="E99" s="170"/>
      <c r="F99" s="167"/>
      <c r="G99" s="144">
        <f t="shared" si="2"/>
        <v>849</v>
      </c>
      <c r="H99" s="49"/>
      <c r="I99" s="29"/>
    </row>
    <row r="100" spans="1:9" ht="18" customHeight="1" x14ac:dyDescent="0.25">
      <c r="A100" s="14">
        <f t="shared" si="3"/>
        <v>92</v>
      </c>
      <c r="B100" s="173"/>
      <c r="C100" s="15" t="s">
        <v>24</v>
      </c>
      <c r="D100" s="14" t="s">
        <v>12</v>
      </c>
      <c r="E100" s="170"/>
      <c r="F100" s="167"/>
      <c r="G100" s="144">
        <f t="shared" si="2"/>
        <v>849</v>
      </c>
      <c r="H100" s="49"/>
      <c r="I100" s="29"/>
    </row>
    <row r="101" spans="1:9" ht="18" customHeight="1" x14ac:dyDescent="0.25">
      <c r="A101" s="14">
        <f t="shared" si="3"/>
        <v>93</v>
      </c>
      <c r="B101" s="173"/>
      <c r="C101" s="15" t="s">
        <v>24</v>
      </c>
      <c r="D101" s="14" t="s">
        <v>12</v>
      </c>
      <c r="E101" s="170"/>
      <c r="F101" s="167"/>
      <c r="G101" s="144">
        <f t="shared" si="2"/>
        <v>849</v>
      </c>
      <c r="H101" s="49"/>
      <c r="I101" s="29"/>
    </row>
    <row r="102" spans="1:9" ht="18" customHeight="1" x14ac:dyDescent="0.25">
      <c r="A102" s="14">
        <f t="shared" si="3"/>
        <v>94</v>
      </c>
      <c r="B102" s="173"/>
      <c r="C102" s="15" t="s">
        <v>24</v>
      </c>
      <c r="D102" s="14" t="s">
        <v>12</v>
      </c>
      <c r="E102" s="170"/>
      <c r="F102" s="167"/>
      <c r="G102" s="144">
        <f t="shared" si="2"/>
        <v>849</v>
      </c>
      <c r="H102" s="49"/>
      <c r="I102" s="29"/>
    </row>
    <row r="103" spans="1:9" ht="18" customHeight="1" x14ac:dyDescent="0.25">
      <c r="A103" s="14">
        <f t="shared" si="3"/>
        <v>95</v>
      </c>
      <c r="B103" s="173"/>
      <c r="C103" s="15" t="s">
        <v>24</v>
      </c>
      <c r="D103" s="14" t="s">
        <v>12</v>
      </c>
      <c r="E103" s="170"/>
      <c r="F103" s="167"/>
      <c r="G103" s="144">
        <f t="shared" si="2"/>
        <v>849</v>
      </c>
      <c r="H103" s="49"/>
      <c r="I103" s="29"/>
    </row>
    <row r="104" spans="1:9" ht="18" customHeight="1" x14ac:dyDescent="0.25">
      <c r="A104" s="14">
        <f t="shared" si="3"/>
        <v>96</v>
      </c>
      <c r="B104" s="173"/>
      <c r="C104" s="15" t="s">
        <v>24</v>
      </c>
      <c r="D104" s="14" t="s">
        <v>12</v>
      </c>
      <c r="E104" s="170"/>
      <c r="F104" s="167"/>
      <c r="G104" s="144">
        <f t="shared" si="2"/>
        <v>849</v>
      </c>
      <c r="H104" s="49"/>
      <c r="I104" s="29"/>
    </row>
    <row r="105" spans="1:9" ht="18" customHeight="1" x14ac:dyDescent="0.25">
      <c r="A105" s="14">
        <f t="shared" si="3"/>
        <v>97</v>
      </c>
      <c r="B105" s="173"/>
      <c r="C105" s="15" t="s">
        <v>24</v>
      </c>
      <c r="D105" s="14" t="s">
        <v>12</v>
      </c>
      <c r="E105" s="170"/>
      <c r="F105" s="167"/>
      <c r="G105" s="144">
        <f t="shared" si="2"/>
        <v>849</v>
      </c>
      <c r="H105" s="49"/>
      <c r="I105" s="29"/>
    </row>
    <row r="106" spans="1:9" ht="18" customHeight="1" x14ac:dyDescent="0.25">
      <c r="A106" s="14">
        <f t="shared" si="3"/>
        <v>98</v>
      </c>
      <c r="B106" s="180"/>
      <c r="C106" s="181" t="s">
        <v>24</v>
      </c>
      <c r="D106" s="182" t="s">
        <v>12</v>
      </c>
      <c r="E106" s="183"/>
      <c r="F106" s="168"/>
      <c r="G106" s="144">
        <f t="shared" si="2"/>
        <v>849</v>
      </c>
      <c r="H106" s="49"/>
      <c r="I106" s="29"/>
    </row>
    <row r="107" spans="1:9" ht="18" customHeight="1" x14ac:dyDescent="0.25">
      <c r="A107" s="14">
        <f t="shared" si="3"/>
        <v>99</v>
      </c>
      <c r="B107" s="173"/>
      <c r="C107" s="15" t="s">
        <v>24</v>
      </c>
      <c r="D107" s="14" t="s">
        <v>12</v>
      </c>
      <c r="E107" s="170"/>
      <c r="F107" s="167"/>
      <c r="G107" s="144">
        <f t="shared" si="2"/>
        <v>849</v>
      </c>
      <c r="H107" s="49"/>
      <c r="I107" s="29"/>
    </row>
    <row r="108" spans="1:9" ht="18" customHeight="1" x14ac:dyDescent="0.25">
      <c r="A108" s="14">
        <f t="shared" si="3"/>
        <v>100</v>
      </c>
      <c r="B108" s="173"/>
      <c r="C108" s="15" t="s">
        <v>24</v>
      </c>
      <c r="D108" s="14" t="s">
        <v>12</v>
      </c>
      <c r="E108" s="170"/>
      <c r="F108" s="167"/>
      <c r="G108" s="144">
        <f t="shared" si="2"/>
        <v>849</v>
      </c>
      <c r="H108" s="49"/>
      <c r="I108" s="29"/>
    </row>
    <row r="109" spans="1:9" ht="18" customHeight="1" x14ac:dyDescent="0.25">
      <c r="A109" s="14">
        <f t="shared" si="3"/>
        <v>101</v>
      </c>
      <c r="B109" s="173"/>
      <c r="C109" s="15" t="s">
        <v>24</v>
      </c>
      <c r="D109" s="14" t="s">
        <v>12</v>
      </c>
      <c r="E109" s="170"/>
      <c r="F109" s="167"/>
      <c r="G109" s="144">
        <f t="shared" si="2"/>
        <v>849</v>
      </c>
      <c r="H109" s="49"/>
      <c r="I109" s="29"/>
    </row>
    <row r="110" spans="1:9" ht="18" customHeight="1" x14ac:dyDescent="0.25">
      <c r="A110" s="14">
        <f t="shared" si="3"/>
        <v>102</v>
      </c>
      <c r="B110" s="173"/>
      <c r="C110" s="15" t="s">
        <v>24</v>
      </c>
      <c r="D110" s="14" t="s">
        <v>12</v>
      </c>
      <c r="E110" s="170"/>
      <c r="F110" s="167"/>
      <c r="G110" s="144">
        <f t="shared" si="2"/>
        <v>849</v>
      </c>
      <c r="H110" s="49"/>
      <c r="I110" s="29"/>
    </row>
    <row r="111" spans="1:9" ht="18" customHeight="1" x14ac:dyDescent="0.25">
      <c r="A111" s="14">
        <f t="shared" si="3"/>
        <v>103</v>
      </c>
      <c r="B111" s="173"/>
      <c r="C111" s="15" t="s">
        <v>24</v>
      </c>
      <c r="D111" s="14" t="s">
        <v>12</v>
      </c>
      <c r="E111" s="170"/>
      <c r="F111" s="167"/>
      <c r="G111" s="144">
        <f t="shared" si="2"/>
        <v>849</v>
      </c>
      <c r="H111" s="49"/>
      <c r="I111" s="29"/>
    </row>
    <row r="112" spans="1:9" ht="18" customHeight="1" x14ac:dyDescent="0.25">
      <c r="A112" s="14">
        <f t="shared" si="3"/>
        <v>104</v>
      </c>
      <c r="B112" s="173"/>
      <c r="C112" s="15" t="s">
        <v>24</v>
      </c>
      <c r="D112" s="14" t="s">
        <v>12</v>
      </c>
      <c r="E112" s="170"/>
      <c r="F112" s="167"/>
      <c r="G112" s="144">
        <f t="shared" si="2"/>
        <v>849</v>
      </c>
      <c r="H112" s="49"/>
      <c r="I112" s="29"/>
    </row>
    <row r="113" spans="1:9" ht="18" customHeight="1" x14ac:dyDescent="0.25">
      <c r="A113" s="14">
        <f t="shared" si="3"/>
        <v>105</v>
      </c>
      <c r="B113" s="173"/>
      <c r="C113" s="15" t="s">
        <v>24</v>
      </c>
      <c r="D113" s="14" t="s">
        <v>12</v>
      </c>
      <c r="E113" s="170"/>
      <c r="F113" s="167"/>
      <c r="G113" s="144">
        <f t="shared" si="2"/>
        <v>849</v>
      </c>
      <c r="H113" s="49"/>
      <c r="I113" s="29"/>
    </row>
    <row r="114" spans="1:9" ht="18" customHeight="1" x14ac:dyDescent="0.25">
      <c r="A114" s="14">
        <f t="shared" si="3"/>
        <v>106</v>
      </c>
      <c r="B114" s="173"/>
      <c r="C114" s="15" t="s">
        <v>24</v>
      </c>
      <c r="D114" s="14" t="s">
        <v>12</v>
      </c>
      <c r="E114" s="170"/>
      <c r="F114" s="167"/>
      <c r="G114" s="144">
        <f t="shared" si="2"/>
        <v>849</v>
      </c>
      <c r="H114" s="49"/>
      <c r="I114" s="29"/>
    </row>
    <row r="115" spans="1:9" ht="18" customHeight="1" x14ac:dyDescent="0.25">
      <c r="A115" s="14">
        <f t="shared" si="3"/>
        <v>107</v>
      </c>
      <c r="B115" s="173"/>
      <c r="C115" s="15" t="s">
        <v>24</v>
      </c>
      <c r="D115" s="14" t="s">
        <v>12</v>
      </c>
      <c r="E115" s="170"/>
      <c r="F115" s="167"/>
      <c r="G115" s="144">
        <f t="shared" si="2"/>
        <v>849</v>
      </c>
      <c r="H115" s="49"/>
      <c r="I115" s="29"/>
    </row>
    <row r="116" spans="1:9" ht="18" customHeight="1" x14ac:dyDescent="0.25">
      <c r="A116" s="14">
        <f t="shared" si="3"/>
        <v>108</v>
      </c>
      <c r="B116" s="173"/>
      <c r="C116" s="15" t="s">
        <v>24</v>
      </c>
      <c r="D116" s="14" t="s">
        <v>12</v>
      </c>
      <c r="E116" s="170"/>
      <c r="F116" s="167"/>
      <c r="G116" s="144">
        <f t="shared" si="2"/>
        <v>849</v>
      </c>
      <c r="H116" s="49"/>
      <c r="I116" s="29"/>
    </row>
    <row r="117" spans="1:9" ht="18" customHeight="1" x14ac:dyDescent="0.25">
      <c r="A117" s="14">
        <f t="shared" si="3"/>
        <v>109</v>
      </c>
      <c r="B117" s="173"/>
      <c r="C117" s="15" t="s">
        <v>24</v>
      </c>
      <c r="D117" s="14" t="s">
        <v>12</v>
      </c>
      <c r="E117" s="170"/>
      <c r="F117" s="167"/>
      <c r="G117" s="144">
        <f t="shared" si="2"/>
        <v>849</v>
      </c>
      <c r="H117" s="49"/>
      <c r="I117" s="29"/>
    </row>
    <row r="118" spans="1:9" ht="18" customHeight="1" x14ac:dyDescent="0.25">
      <c r="A118" s="14">
        <f t="shared" si="3"/>
        <v>110</v>
      </c>
      <c r="B118" s="173"/>
      <c r="C118" s="15" t="s">
        <v>24</v>
      </c>
      <c r="D118" s="14" t="s">
        <v>12</v>
      </c>
      <c r="E118" s="170"/>
      <c r="F118" s="167"/>
      <c r="G118" s="144">
        <f t="shared" si="2"/>
        <v>849</v>
      </c>
      <c r="H118" s="49"/>
      <c r="I118" s="29"/>
    </row>
    <row r="119" spans="1:9" ht="18" customHeight="1" x14ac:dyDescent="0.25">
      <c r="A119" s="14">
        <f t="shared" si="3"/>
        <v>111</v>
      </c>
      <c r="B119" s="173"/>
      <c r="C119" s="15" t="s">
        <v>24</v>
      </c>
      <c r="D119" s="14" t="s">
        <v>12</v>
      </c>
      <c r="E119" s="170"/>
      <c r="F119" s="167"/>
      <c r="G119" s="144">
        <f t="shared" si="2"/>
        <v>849</v>
      </c>
      <c r="H119" s="49"/>
      <c r="I119" s="29"/>
    </row>
    <row r="120" spans="1:9" ht="18" customHeight="1" x14ac:dyDescent="0.25">
      <c r="A120" s="14">
        <f t="shared" si="3"/>
        <v>112</v>
      </c>
      <c r="B120" s="173"/>
      <c r="C120" s="15" t="s">
        <v>24</v>
      </c>
      <c r="D120" s="14" t="s">
        <v>12</v>
      </c>
      <c r="E120" s="170"/>
      <c r="F120" s="167"/>
      <c r="G120" s="144">
        <f t="shared" si="2"/>
        <v>849</v>
      </c>
      <c r="H120" s="49"/>
      <c r="I120" s="29"/>
    </row>
    <row r="121" spans="1:9" ht="18" customHeight="1" x14ac:dyDescent="0.25">
      <c r="A121" s="14">
        <f t="shared" si="3"/>
        <v>113</v>
      </c>
      <c r="B121" s="173"/>
      <c r="C121" s="15" t="s">
        <v>24</v>
      </c>
      <c r="D121" s="14" t="s">
        <v>12</v>
      </c>
      <c r="E121" s="170"/>
      <c r="F121" s="167"/>
      <c r="G121" s="144">
        <f t="shared" si="2"/>
        <v>849</v>
      </c>
      <c r="H121" s="49"/>
      <c r="I121" s="29"/>
    </row>
    <row r="122" spans="1:9" ht="18" customHeight="1" x14ac:dyDescent="0.25">
      <c r="A122" s="14">
        <f t="shared" si="3"/>
        <v>114</v>
      </c>
      <c r="B122" s="173"/>
      <c r="C122" s="15" t="s">
        <v>24</v>
      </c>
      <c r="D122" s="14" t="s">
        <v>12</v>
      </c>
      <c r="E122" s="170"/>
      <c r="F122" s="167"/>
      <c r="G122" s="144">
        <f t="shared" si="2"/>
        <v>849</v>
      </c>
      <c r="H122" s="49"/>
      <c r="I122" s="29"/>
    </row>
    <row r="123" spans="1:9" ht="18" customHeight="1" x14ac:dyDescent="0.25">
      <c r="A123" s="14">
        <f t="shared" si="3"/>
        <v>115</v>
      </c>
      <c r="B123" s="173"/>
      <c r="C123" s="15" t="s">
        <v>24</v>
      </c>
      <c r="D123" s="14" t="s">
        <v>12</v>
      </c>
      <c r="E123" s="170"/>
      <c r="F123" s="167"/>
      <c r="G123" s="144">
        <f t="shared" si="2"/>
        <v>849</v>
      </c>
      <c r="H123" s="49"/>
      <c r="I123" s="29"/>
    </row>
    <row r="124" spans="1:9" ht="18" customHeight="1" x14ac:dyDescent="0.25">
      <c r="A124" s="14">
        <f t="shared" si="3"/>
        <v>116</v>
      </c>
      <c r="B124" s="173"/>
      <c r="C124" s="15" t="s">
        <v>24</v>
      </c>
      <c r="D124" s="14" t="s">
        <v>12</v>
      </c>
      <c r="E124" s="170"/>
      <c r="F124" s="167"/>
      <c r="G124" s="144">
        <f t="shared" si="2"/>
        <v>849</v>
      </c>
      <c r="H124" s="49"/>
      <c r="I124" s="29"/>
    </row>
    <row r="125" spans="1:9" ht="18" customHeight="1" x14ac:dyDescent="0.25">
      <c r="A125" s="14">
        <f t="shared" si="3"/>
        <v>117</v>
      </c>
      <c r="B125" s="173"/>
      <c r="C125" s="15" t="s">
        <v>24</v>
      </c>
      <c r="D125" s="14" t="s">
        <v>12</v>
      </c>
      <c r="E125" s="170"/>
      <c r="F125" s="167"/>
      <c r="G125" s="144">
        <f t="shared" si="2"/>
        <v>849</v>
      </c>
      <c r="H125" s="49"/>
      <c r="I125" s="29"/>
    </row>
    <row r="126" spans="1:9" ht="18" customHeight="1" x14ac:dyDescent="0.25">
      <c r="A126" s="14">
        <f t="shared" si="3"/>
        <v>118</v>
      </c>
      <c r="B126" s="173"/>
      <c r="C126" s="15" t="s">
        <v>24</v>
      </c>
      <c r="D126" s="14" t="s">
        <v>12</v>
      </c>
      <c r="E126" s="170"/>
      <c r="F126" s="167"/>
      <c r="G126" s="144">
        <f t="shared" si="2"/>
        <v>849</v>
      </c>
      <c r="H126" s="49"/>
      <c r="I126" s="29"/>
    </row>
    <row r="127" spans="1:9" ht="18" customHeight="1" x14ac:dyDescent="0.25">
      <c r="A127" s="14">
        <f t="shared" si="3"/>
        <v>119</v>
      </c>
      <c r="B127" s="173"/>
      <c r="C127" s="15" t="s">
        <v>24</v>
      </c>
      <c r="D127" s="14" t="s">
        <v>12</v>
      </c>
      <c r="E127" s="170"/>
      <c r="F127" s="167"/>
      <c r="G127" s="144">
        <f t="shared" si="2"/>
        <v>849</v>
      </c>
      <c r="H127" s="49"/>
      <c r="I127" s="29"/>
    </row>
    <row r="128" spans="1:9" ht="18" customHeight="1" x14ac:dyDescent="0.25">
      <c r="A128" s="14">
        <f t="shared" si="3"/>
        <v>120</v>
      </c>
      <c r="B128" s="173"/>
      <c r="C128" s="15" t="s">
        <v>24</v>
      </c>
      <c r="D128" s="14" t="s">
        <v>12</v>
      </c>
      <c r="E128" s="170"/>
      <c r="F128" s="167"/>
      <c r="G128" s="144">
        <f t="shared" si="2"/>
        <v>849</v>
      </c>
      <c r="H128" s="49"/>
      <c r="I128" s="29"/>
    </row>
    <row r="129" spans="1:9" ht="18" customHeight="1" x14ac:dyDescent="0.25">
      <c r="A129" s="14">
        <f t="shared" si="3"/>
        <v>121</v>
      </c>
      <c r="B129" s="173"/>
      <c r="C129" s="15" t="s">
        <v>24</v>
      </c>
      <c r="D129" s="14" t="s">
        <v>12</v>
      </c>
      <c r="E129" s="170"/>
      <c r="F129" s="167"/>
      <c r="G129" s="144">
        <f t="shared" si="2"/>
        <v>849</v>
      </c>
      <c r="H129" s="49"/>
      <c r="I129" s="29"/>
    </row>
    <row r="130" spans="1:9" ht="18" customHeight="1" x14ac:dyDescent="0.25">
      <c r="A130" s="14">
        <f t="shared" si="3"/>
        <v>122</v>
      </c>
      <c r="B130" s="173"/>
      <c r="C130" s="15" t="s">
        <v>24</v>
      </c>
      <c r="D130" s="14" t="s">
        <v>12</v>
      </c>
      <c r="E130" s="170"/>
      <c r="F130" s="167"/>
      <c r="G130" s="144">
        <f t="shared" si="2"/>
        <v>849</v>
      </c>
      <c r="H130" s="49"/>
      <c r="I130" s="29"/>
    </row>
    <row r="131" spans="1:9" ht="18" customHeight="1" x14ac:dyDescent="0.25">
      <c r="A131" s="14">
        <f t="shared" si="3"/>
        <v>123</v>
      </c>
      <c r="B131" s="173"/>
      <c r="C131" s="15" t="s">
        <v>24</v>
      </c>
      <c r="D131" s="14" t="s">
        <v>12</v>
      </c>
      <c r="E131" s="170"/>
      <c r="F131" s="167"/>
      <c r="G131" s="144">
        <f t="shared" si="2"/>
        <v>849</v>
      </c>
      <c r="H131" s="49"/>
      <c r="I131" s="29" t="s">
        <v>14</v>
      </c>
    </row>
    <row r="132" spans="1:9" ht="18" customHeight="1" x14ac:dyDescent="0.25">
      <c r="A132" s="14">
        <f t="shared" si="3"/>
        <v>124</v>
      </c>
      <c r="B132" s="173"/>
      <c r="C132" s="15" t="s">
        <v>24</v>
      </c>
      <c r="D132" s="14" t="s">
        <v>12</v>
      </c>
      <c r="E132" s="170"/>
      <c r="F132" s="167"/>
      <c r="G132" s="144">
        <f t="shared" si="2"/>
        <v>849</v>
      </c>
      <c r="H132" s="49"/>
      <c r="I132" s="29" t="s">
        <v>14</v>
      </c>
    </row>
    <row r="133" spans="1:9" ht="18" customHeight="1" x14ac:dyDescent="0.25">
      <c r="A133" s="14">
        <f t="shared" si="3"/>
        <v>125</v>
      </c>
      <c r="B133" s="173"/>
      <c r="C133" s="15" t="s">
        <v>24</v>
      </c>
      <c r="D133" s="14" t="s">
        <v>12</v>
      </c>
      <c r="E133" s="170"/>
      <c r="F133" s="167"/>
      <c r="G133" s="144">
        <f t="shared" si="2"/>
        <v>849</v>
      </c>
      <c r="H133" s="49"/>
      <c r="I133" s="29" t="s">
        <v>14</v>
      </c>
    </row>
    <row r="134" spans="1:9" ht="18" customHeight="1" x14ac:dyDescent="0.25">
      <c r="A134" s="14">
        <f t="shared" si="3"/>
        <v>126</v>
      </c>
      <c r="B134" s="173"/>
      <c r="C134" s="15" t="s">
        <v>24</v>
      </c>
      <c r="D134" s="14" t="s">
        <v>12</v>
      </c>
      <c r="E134" s="170"/>
      <c r="F134" s="167"/>
      <c r="G134" s="144">
        <f t="shared" si="2"/>
        <v>849</v>
      </c>
      <c r="H134" s="49"/>
      <c r="I134" s="29" t="s">
        <v>14</v>
      </c>
    </row>
    <row r="135" spans="1:9" ht="18" customHeight="1" x14ac:dyDescent="0.25">
      <c r="A135" s="14">
        <f t="shared" si="3"/>
        <v>127</v>
      </c>
      <c r="B135" s="173"/>
      <c r="C135" s="15" t="s">
        <v>24</v>
      </c>
      <c r="D135" s="14" t="s">
        <v>12</v>
      </c>
      <c r="E135" s="170"/>
      <c r="F135" s="167"/>
      <c r="G135" s="144">
        <f t="shared" si="2"/>
        <v>849</v>
      </c>
      <c r="H135" s="49"/>
      <c r="I135" s="29" t="s">
        <v>14</v>
      </c>
    </row>
    <row r="136" spans="1:9" ht="18" customHeight="1" x14ac:dyDescent="0.25">
      <c r="A136" s="14">
        <f t="shared" si="3"/>
        <v>128</v>
      </c>
      <c r="B136" s="173"/>
      <c r="C136" s="15" t="s">
        <v>24</v>
      </c>
      <c r="D136" s="14" t="s">
        <v>12</v>
      </c>
      <c r="E136" s="170"/>
      <c r="F136" s="167"/>
      <c r="G136" s="144">
        <f t="shared" si="2"/>
        <v>849</v>
      </c>
      <c r="H136" s="49"/>
      <c r="I136" s="29" t="s">
        <v>14</v>
      </c>
    </row>
    <row r="137" spans="1:9" ht="18" customHeight="1" x14ac:dyDescent="0.25">
      <c r="A137" s="14">
        <f t="shared" si="3"/>
        <v>129</v>
      </c>
      <c r="B137" s="173"/>
      <c r="C137" s="15" t="s">
        <v>24</v>
      </c>
      <c r="D137" s="14" t="s">
        <v>12</v>
      </c>
      <c r="E137" s="170"/>
      <c r="F137" s="167"/>
      <c r="G137" s="144">
        <f t="shared" si="2"/>
        <v>849</v>
      </c>
      <c r="H137" s="49"/>
      <c r="I137" s="29" t="s">
        <v>14</v>
      </c>
    </row>
    <row r="138" spans="1:9" ht="18" customHeight="1" x14ac:dyDescent="0.25">
      <c r="A138" s="14">
        <f t="shared" si="3"/>
        <v>130</v>
      </c>
      <c r="B138" s="173"/>
      <c r="C138" s="15" t="s">
        <v>24</v>
      </c>
      <c r="D138" s="14" t="s">
        <v>12</v>
      </c>
      <c r="E138" s="170"/>
      <c r="F138" s="167"/>
      <c r="G138" s="144">
        <f t="shared" ref="G138:G182" si="4">+G137+E138-F138</f>
        <v>849</v>
      </c>
      <c r="H138" s="49"/>
      <c r="I138" s="29"/>
    </row>
    <row r="139" spans="1:9" ht="18" customHeight="1" x14ac:dyDescent="0.25">
      <c r="A139" s="14">
        <f t="shared" ref="A139:A182" si="5">+A138+1</f>
        <v>131</v>
      </c>
      <c r="B139" s="173"/>
      <c r="C139" s="15" t="s">
        <v>24</v>
      </c>
      <c r="D139" s="14" t="s">
        <v>12</v>
      </c>
      <c r="E139" s="170"/>
      <c r="F139" s="167"/>
      <c r="G139" s="144">
        <f t="shared" si="4"/>
        <v>849</v>
      </c>
      <c r="H139" s="49"/>
      <c r="I139" s="29" t="s">
        <v>14</v>
      </c>
    </row>
    <row r="140" spans="1:9" ht="18" customHeight="1" x14ac:dyDescent="0.25">
      <c r="A140" s="14">
        <f t="shared" si="5"/>
        <v>132</v>
      </c>
      <c r="B140" s="173"/>
      <c r="C140" s="15" t="s">
        <v>24</v>
      </c>
      <c r="D140" s="14" t="s">
        <v>12</v>
      </c>
      <c r="E140" s="170"/>
      <c r="F140" s="167"/>
      <c r="G140" s="144">
        <f t="shared" si="4"/>
        <v>849</v>
      </c>
      <c r="H140" s="49"/>
      <c r="I140" s="29" t="s">
        <v>14</v>
      </c>
    </row>
    <row r="141" spans="1:9" ht="18" customHeight="1" x14ac:dyDescent="0.25">
      <c r="A141" s="14">
        <f t="shared" si="5"/>
        <v>133</v>
      </c>
      <c r="B141" s="173"/>
      <c r="C141" s="15" t="s">
        <v>24</v>
      </c>
      <c r="D141" s="14" t="s">
        <v>12</v>
      </c>
      <c r="E141" s="170"/>
      <c r="F141" s="167"/>
      <c r="G141" s="144">
        <f t="shared" si="4"/>
        <v>849</v>
      </c>
      <c r="H141" s="49"/>
      <c r="I141" s="29" t="s">
        <v>14</v>
      </c>
    </row>
    <row r="142" spans="1:9" ht="18" customHeight="1" x14ac:dyDescent="0.25">
      <c r="A142" s="14">
        <f t="shared" si="5"/>
        <v>134</v>
      </c>
      <c r="B142" s="173"/>
      <c r="C142" s="15" t="s">
        <v>24</v>
      </c>
      <c r="D142" s="14" t="s">
        <v>12</v>
      </c>
      <c r="E142" s="170"/>
      <c r="F142" s="167"/>
      <c r="G142" s="144">
        <f t="shared" si="4"/>
        <v>849</v>
      </c>
      <c r="H142" s="49"/>
      <c r="I142" s="29" t="s">
        <v>14</v>
      </c>
    </row>
    <row r="143" spans="1:9" ht="18" customHeight="1" x14ac:dyDescent="0.25">
      <c r="A143" s="14">
        <f t="shared" si="5"/>
        <v>135</v>
      </c>
      <c r="B143" s="173"/>
      <c r="C143" s="15" t="s">
        <v>24</v>
      </c>
      <c r="D143" s="14" t="s">
        <v>12</v>
      </c>
      <c r="E143" s="170"/>
      <c r="F143" s="167"/>
      <c r="G143" s="144">
        <f t="shared" si="4"/>
        <v>849</v>
      </c>
      <c r="H143" s="49"/>
      <c r="I143" s="29" t="s">
        <v>14</v>
      </c>
    </row>
    <row r="144" spans="1:9" ht="18" customHeight="1" x14ac:dyDescent="0.25">
      <c r="A144" s="14">
        <f t="shared" si="5"/>
        <v>136</v>
      </c>
      <c r="B144" s="173"/>
      <c r="C144" s="15" t="s">
        <v>24</v>
      </c>
      <c r="D144" s="14" t="s">
        <v>12</v>
      </c>
      <c r="E144" s="170"/>
      <c r="F144" s="167"/>
      <c r="G144" s="144">
        <f t="shared" si="4"/>
        <v>849</v>
      </c>
      <c r="H144" s="49"/>
      <c r="I144" s="29" t="s">
        <v>14</v>
      </c>
    </row>
    <row r="145" spans="1:9" ht="18" customHeight="1" x14ac:dyDescent="0.25">
      <c r="A145" s="14">
        <f t="shared" si="5"/>
        <v>137</v>
      </c>
      <c r="B145" s="173"/>
      <c r="C145" s="15" t="s">
        <v>24</v>
      </c>
      <c r="D145" s="14" t="s">
        <v>12</v>
      </c>
      <c r="E145" s="170"/>
      <c r="F145" s="167"/>
      <c r="G145" s="144">
        <f t="shared" si="4"/>
        <v>849</v>
      </c>
      <c r="H145" s="49"/>
      <c r="I145" s="29" t="s">
        <v>14</v>
      </c>
    </row>
    <row r="146" spans="1:9" ht="18" customHeight="1" x14ac:dyDescent="0.25">
      <c r="A146" s="14">
        <f t="shared" si="5"/>
        <v>138</v>
      </c>
      <c r="B146" s="173"/>
      <c r="C146" s="15" t="s">
        <v>24</v>
      </c>
      <c r="D146" s="14" t="s">
        <v>12</v>
      </c>
      <c r="E146" s="170"/>
      <c r="F146" s="167"/>
      <c r="G146" s="144">
        <f t="shared" si="4"/>
        <v>849</v>
      </c>
      <c r="H146" s="49"/>
      <c r="I146" s="29" t="s">
        <v>14</v>
      </c>
    </row>
    <row r="147" spans="1:9" ht="18" customHeight="1" x14ac:dyDescent="0.25">
      <c r="A147" s="14">
        <f t="shared" si="5"/>
        <v>139</v>
      </c>
      <c r="B147" s="173"/>
      <c r="C147" s="15" t="s">
        <v>24</v>
      </c>
      <c r="D147" s="14" t="s">
        <v>12</v>
      </c>
      <c r="E147" s="170"/>
      <c r="F147" s="167"/>
      <c r="G147" s="144">
        <f t="shared" si="4"/>
        <v>849</v>
      </c>
      <c r="H147" s="49"/>
      <c r="I147" s="29" t="s">
        <v>14</v>
      </c>
    </row>
    <row r="148" spans="1:9" ht="18" customHeight="1" x14ac:dyDescent="0.25">
      <c r="A148" s="14">
        <f t="shared" si="5"/>
        <v>140</v>
      </c>
      <c r="B148" s="173"/>
      <c r="C148" s="15" t="s">
        <v>24</v>
      </c>
      <c r="D148" s="14" t="s">
        <v>12</v>
      </c>
      <c r="E148" s="170"/>
      <c r="F148" s="167"/>
      <c r="G148" s="144">
        <f t="shared" si="4"/>
        <v>849</v>
      </c>
      <c r="H148" s="49"/>
      <c r="I148" s="29" t="s">
        <v>14</v>
      </c>
    </row>
    <row r="149" spans="1:9" ht="18" customHeight="1" x14ac:dyDescent="0.25">
      <c r="A149" s="14">
        <f t="shared" si="5"/>
        <v>141</v>
      </c>
      <c r="B149" s="173"/>
      <c r="C149" s="15" t="s">
        <v>24</v>
      </c>
      <c r="D149" s="14" t="s">
        <v>12</v>
      </c>
      <c r="E149" s="170"/>
      <c r="F149" s="167"/>
      <c r="G149" s="144">
        <f t="shared" si="4"/>
        <v>849</v>
      </c>
      <c r="H149" s="49"/>
      <c r="I149" s="29" t="s">
        <v>14</v>
      </c>
    </row>
    <row r="150" spans="1:9" ht="18" customHeight="1" x14ac:dyDescent="0.25">
      <c r="A150" s="14">
        <f t="shared" si="5"/>
        <v>142</v>
      </c>
      <c r="B150" s="173"/>
      <c r="C150" s="15" t="s">
        <v>24</v>
      </c>
      <c r="D150" s="14" t="s">
        <v>12</v>
      </c>
      <c r="E150" s="170"/>
      <c r="F150" s="167"/>
      <c r="G150" s="144">
        <f t="shared" si="4"/>
        <v>849</v>
      </c>
      <c r="H150" s="49"/>
      <c r="I150" s="29" t="s">
        <v>14</v>
      </c>
    </row>
    <row r="151" spans="1:9" ht="18" customHeight="1" x14ac:dyDescent="0.25">
      <c r="A151" s="14">
        <f t="shared" si="5"/>
        <v>143</v>
      </c>
      <c r="B151" s="173"/>
      <c r="C151" s="15" t="s">
        <v>24</v>
      </c>
      <c r="D151" s="14" t="s">
        <v>12</v>
      </c>
      <c r="E151" s="170"/>
      <c r="F151" s="167"/>
      <c r="G151" s="144">
        <f t="shared" si="4"/>
        <v>849</v>
      </c>
      <c r="H151" s="49"/>
      <c r="I151" s="29" t="s">
        <v>14</v>
      </c>
    </row>
    <row r="152" spans="1:9" ht="18" customHeight="1" x14ac:dyDescent="0.25">
      <c r="A152" s="14">
        <f t="shared" si="5"/>
        <v>144</v>
      </c>
      <c r="B152" s="173"/>
      <c r="C152" s="15" t="s">
        <v>24</v>
      </c>
      <c r="D152" s="14" t="s">
        <v>12</v>
      </c>
      <c r="E152" s="170"/>
      <c r="F152" s="167"/>
      <c r="G152" s="144">
        <f t="shared" si="4"/>
        <v>849</v>
      </c>
      <c r="H152" s="49"/>
      <c r="I152" s="29" t="s">
        <v>14</v>
      </c>
    </row>
    <row r="153" spans="1:9" ht="18" customHeight="1" x14ac:dyDescent="0.25">
      <c r="A153" s="14">
        <f t="shared" si="5"/>
        <v>145</v>
      </c>
      <c r="B153" s="173"/>
      <c r="C153" s="15" t="s">
        <v>24</v>
      </c>
      <c r="D153" s="14" t="s">
        <v>12</v>
      </c>
      <c r="E153" s="170"/>
      <c r="F153" s="167"/>
      <c r="G153" s="144">
        <f t="shared" si="4"/>
        <v>849</v>
      </c>
      <c r="H153" s="49"/>
      <c r="I153" s="29" t="s">
        <v>14</v>
      </c>
    </row>
    <row r="154" spans="1:9" ht="18" customHeight="1" x14ac:dyDescent="0.25">
      <c r="A154" s="14">
        <f t="shared" si="5"/>
        <v>146</v>
      </c>
      <c r="B154" s="173"/>
      <c r="C154" s="15" t="s">
        <v>24</v>
      </c>
      <c r="D154" s="14" t="s">
        <v>12</v>
      </c>
      <c r="E154" s="170"/>
      <c r="F154" s="167"/>
      <c r="G154" s="144">
        <f t="shared" si="4"/>
        <v>849</v>
      </c>
      <c r="H154" s="49"/>
      <c r="I154" s="29" t="s">
        <v>14</v>
      </c>
    </row>
    <row r="155" spans="1:9" ht="18" customHeight="1" x14ac:dyDescent="0.25">
      <c r="A155" s="14">
        <f t="shared" si="5"/>
        <v>147</v>
      </c>
      <c r="B155" s="173"/>
      <c r="C155" s="15" t="s">
        <v>24</v>
      </c>
      <c r="D155" s="14" t="s">
        <v>12</v>
      </c>
      <c r="E155" s="170"/>
      <c r="F155" s="167"/>
      <c r="G155" s="144">
        <f t="shared" si="4"/>
        <v>849</v>
      </c>
      <c r="H155" s="49"/>
      <c r="I155" s="29" t="s">
        <v>27</v>
      </c>
    </row>
    <row r="156" spans="1:9" ht="18" customHeight="1" x14ac:dyDescent="0.25">
      <c r="A156" s="14">
        <f t="shared" si="5"/>
        <v>148</v>
      </c>
      <c r="B156" s="173"/>
      <c r="C156" s="15" t="s">
        <v>24</v>
      </c>
      <c r="D156" s="14" t="s">
        <v>12</v>
      </c>
      <c r="E156" s="170"/>
      <c r="F156" s="167"/>
      <c r="G156" s="144">
        <f t="shared" si="4"/>
        <v>849</v>
      </c>
      <c r="H156" s="49"/>
      <c r="I156" s="29" t="s">
        <v>14</v>
      </c>
    </row>
    <row r="157" spans="1:9" ht="18" customHeight="1" x14ac:dyDescent="0.25">
      <c r="A157" s="14">
        <f t="shared" si="5"/>
        <v>149</v>
      </c>
      <c r="B157" s="173"/>
      <c r="C157" s="15" t="s">
        <v>24</v>
      </c>
      <c r="D157" s="14" t="s">
        <v>12</v>
      </c>
      <c r="E157" s="170"/>
      <c r="F157" s="167"/>
      <c r="G157" s="144">
        <f t="shared" si="4"/>
        <v>849</v>
      </c>
      <c r="H157" s="49"/>
      <c r="I157" s="29" t="s">
        <v>14</v>
      </c>
    </row>
    <row r="158" spans="1:9" ht="18" customHeight="1" x14ac:dyDescent="0.25">
      <c r="A158" s="14">
        <f t="shared" si="5"/>
        <v>150</v>
      </c>
      <c r="B158" s="173"/>
      <c r="C158" s="15" t="s">
        <v>24</v>
      </c>
      <c r="D158" s="14" t="s">
        <v>12</v>
      </c>
      <c r="E158" s="170"/>
      <c r="F158" s="167"/>
      <c r="G158" s="144">
        <f t="shared" si="4"/>
        <v>849</v>
      </c>
      <c r="H158" s="49"/>
      <c r="I158" s="29" t="s">
        <v>14</v>
      </c>
    </row>
    <row r="159" spans="1:9" ht="18" customHeight="1" x14ac:dyDescent="0.25">
      <c r="A159" s="14">
        <f t="shared" si="5"/>
        <v>151</v>
      </c>
      <c r="B159" s="173"/>
      <c r="C159" s="15" t="s">
        <v>24</v>
      </c>
      <c r="D159" s="14" t="s">
        <v>12</v>
      </c>
      <c r="E159" s="170"/>
      <c r="F159" s="167"/>
      <c r="G159" s="144">
        <f t="shared" si="4"/>
        <v>849</v>
      </c>
      <c r="H159" s="49"/>
      <c r="I159" s="29" t="s">
        <v>14</v>
      </c>
    </row>
    <row r="160" spans="1:9" ht="18" customHeight="1" x14ac:dyDescent="0.25">
      <c r="A160" s="14">
        <f t="shared" si="5"/>
        <v>152</v>
      </c>
      <c r="B160" s="173"/>
      <c r="C160" s="15" t="s">
        <v>24</v>
      </c>
      <c r="D160" s="14" t="s">
        <v>12</v>
      </c>
      <c r="E160" s="170"/>
      <c r="F160" s="167"/>
      <c r="G160" s="144">
        <f t="shared" si="4"/>
        <v>849</v>
      </c>
      <c r="H160" s="49"/>
      <c r="I160" s="29" t="s">
        <v>14</v>
      </c>
    </row>
    <row r="161" spans="1:10" ht="18" customHeight="1" x14ac:dyDescent="0.25">
      <c r="A161" s="14">
        <f t="shared" si="5"/>
        <v>153</v>
      </c>
      <c r="B161" s="173"/>
      <c r="C161" s="15" t="s">
        <v>24</v>
      </c>
      <c r="D161" s="14" t="s">
        <v>12</v>
      </c>
      <c r="E161" s="170"/>
      <c r="F161" s="167"/>
      <c r="G161" s="144">
        <f t="shared" si="4"/>
        <v>849</v>
      </c>
      <c r="H161" s="49"/>
      <c r="I161" s="29" t="s">
        <v>14</v>
      </c>
    </row>
    <row r="162" spans="1:10" ht="18" customHeight="1" x14ac:dyDescent="0.25">
      <c r="A162" s="14">
        <f t="shared" si="5"/>
        <v>154</v>
      </c>
      <c r="B162" s="173"/>
      <c r="C162" s="15" t="s">
        <v>24</v>
      </c>
      <c r="D162" s="14" t="s">
        <v>12</v>
      </c>
      <c r="E162" s="170"/>
      <c r="F162" s="167"/>
      <c r="G162" s="144">
        <f t="shared" si="4"/>
        <v>849</v>
      </c>
      <c r="H162" s="49"/>
      <c r="I162" s="29" t="s">
        <v>14</v>
      </c>
      <c r="J162" t="s">
        <v>28</v>
      </c>
    </row>
    <row r="163" spans="1:10" ht="18" customHeight="1" x14ac:dyDescent="0.25">
      <c r="A163" s="14">
        <f t="shared" si="5"/>
        <v>155</v>
      </c>
      <c r="B163" s="173"/>
      <c r="C163" s="15" t="s">
        <v>24</v>
      </c>
      <c r="D163" s="14" t="s">
        <v>12</v>
      </c>
      <c r="E163" s="170"/>
      <c r="F163" s="167"/>
      <c r="G163" s="144">
        <f t="shared" si="4"/>
        <v>849</v>
      </c>
      <c r="H163" s="49"/>
      <c r="I163" s="29" t="s">
        <v>14</v>
      </c>
    </row>
    <row r="164" spans="1:10" ht="18" customHeight="1" x14ac:dyDescent="0.25">
      <c r="A164" s="14">
        <f t="shared" si="5"/>
        <v>156</v>
      </c>
      <c r="B164" s="173"/>
      <c r="C164" s="15" t="s">
        <v>24</v>
      </c>
      <c r="D164" s="14" t="s">
        <v>12</v>
      </c>
      <c r="E164" s="170"/>
      <c r="F164" s="167"/>
      <c r="G164" s="144">
        <f t="shared" si="4"/>
        <v>849</v>
      </c>
      <c r="H164" s="49"/>
      <c r="I164" s="29" t="s">
        <v>14</v>
      </c>
    </row>
    <row r="165" spans="1:10" ht="18" customHeight="1" x14ac:dyDescent="0.25">
      <c r="A165" s="14">
        <f t="shared" si="5"/>
        <v>157</v>
      </c>
      <c r="B165" s="173"/>
      <c r="C165" s="15" t="s">
        <v>24</v>
      </c>
      <c r="D165" s="14" t="s">
        <v>12</v>
      </c>
      <c r="E165" s="170"/>
      <c r="F165" s="167"/>
      <c r="G165" s="144">
        <f t="shared" si="4"/>
        <v>849</v>
      </c>
      <c r="H165" s="49"/>
      <c r="I165" s="29" t="s">
        <v>14</v>
      </c>
    </row>
    <row r="166" spans="1:10" ht="18" customHeight="1" x14ac:dyDescent="0.25">
      <c r="A166" s="14">
        <f t="shared" si="5"/>
        <v>158</v>
      </c>
      <c r="B166" s="173"/>
      <c r="C166" s="15" t="s">
        <v>24</v>
      </c>
      <c r="D166" s="14" t="s">
        <v>12</v>
      </c>
      <c r="E166" s="170"/>
      <c r="F166" s="167"/>
      <c r="G166" s="144">
        <f t="shared" si="4"/>
        <v>849</v>
      </c>
      <c r="H166" s="49"/>
      <c r="I166" s="29" t="s">
        <v>14</v>
      </c>
    </row>
    <row r="167" spans="1:10" ht="18" customHeight="1" x14ac:dyDescent="0.25">
      <c r="A167" s="14">
        <f t="shared" si="5"/>
        <v>159</v>
      </c>
      <c r="B167" s="173"/>
      <c r="C167" s="15" t="s">
        <v>24</v>
      </c>
      <c r="D167" s="14" t="s">
        <v>12</v>
      </c>
      <c r="E167" s="170"/>
      <c r="F167" s="167"/>
      <c r="G167" s="144">
        <f t="shared" si="4"/>
        <v>849</v>
      </c>
      <c r="H167" s="49"/>
      <c r="I167" s="29" t="s">
        <v>14</v>
      </c>
    </row>
    <row r="168" spans="1:10" ht="20.25" customHeight="1" x14ac:dyDescent="0.25">
      <c r="A168" s="14">
        <f t="shared" si="5"/>
        <v>160</v>
      </c>
      <c r="B168" s="173"/>
      <c r="C168" s="15" t="s">
        <v>24</v>
      </c>
      <c r="D168" s="14" t="s">
        <v>12</v>
      </c>
      <c r="E168" s="170"/>
      <c r="F168" s="167"/>
      <c r="G168" s="144">
        <f t="shared" si="4"/>
        <v>849</v>
      </c>
      <c r="H168" s="49"/>
      <c r="I168" s="29" t="s">
        <v>14</v>
      </c>
    </row>
    <row r="169" spans="1:10" ht="18" customHeight="1" x14ac:dyDescent="0.25">
      <c r="A169" s="14">
        <f t="shared" si="5"/>
        <v>161</v>
      </c>
      <c r="B169" s="173"/>
      <c r="C169" s="15" t="s">
        <v>24</v>
      </c>
      <c r="D169" s="14" t="s">
        <v>12</v>
      </c>
      <c r="E169" s="170"/>
      <c r="F169" s="167"/>
      <c r="G169" s="144">
        <f t="shared" si="4"/>
        <v>849</v>
      </c>
      <c r="H169" s="49"/>
      <c r="I169" s="29"/>
    </row>
    <row r="170" spans="1:10" ht="18" customHeight="1" x14ac:dyDescent="0.25">
      <c r="A170" s="14">
        <f t="shared" si="5"/>
        <v>162</v>
      </c>
      <c r="B170" s="173"/>
      <c r="C170" s="15" t="s">
        <v>24</v>
      </c>
      <c r="D170" s="14" t="s">
        <v>12</v>
      </c>
      <c r="E170" s="170"/>
      <c r="F170" s="167"/>
      <c r="G170" s="144">
        <f t="shared" si="4"/>
        <v>849</v>
      </c>
      <c r="H170" s="49"/>
      <c r="I170" s="29" t="s">
        <v>29</v>
      </c>
    </row>
    <row r="171" spans="1:10" ht="18" customHeight="1" x14ac:dyDescent="0.25">
      <c r="A171" s="14">
        <f t="shared" si="5"/>
        <v>163</v>
      </c>
      <c r="B171" s="173"/>
      <c r="C171" s="15" t="s">
        <v>24</v>
      </c>
      <c r="D171" s="14" t="s">
        <v>12</v>
      </c>
      <c r="E171" s="170"/>
      <c r="F171" s="167"/>
      <c r="G171" s="144">
        <f t="shared" si="4"/>
        <v>849</v>
      </c>
      <c r="H171" s="49"/>
      <c r="I171" s="29" t="s">
        <v>14</v>
      </c>
    </row>
    <row r="172" spans="1:10" ht="18" customHeight="1" x14ac:dyDescent="0.25">
      <c r="A172" s="14">
        <f t="shared" si="5"/>
        <v>164</v>
      </c>
      <c r="B172" s="173"/>
      <c r="C172" s="15" t="s">
        <v>24</v>
      </c>
      <c r="D172" s="14" t="s">
        <v>12</v>
      </c>
      <c r="E172" s="170"/>
      <c r="F172" s="167"/>
      <c r="G172" s="144">
        <f t="shared" si="4"/>
        <v>849</v>
      </c>
      <c r="H172" s="49"/>
      <c r="I172" s="29" t="s">
        <v>14</v>
      </c>
    </row>
    <row r="173" spans="1:10" ht="18" customHeight="1" x14ac:dyDescent="0.25">
      <c r="A173" s="14">
        <f t="shared" si="5"/>
        <v>165</v>
      </c>
      <c r="B173" s="173"/>
      <c r="C173" s="15" t="s">
        <v>24</v>
      </c>
      <c r="D173" s="14" t="s">
        <v>12</v>
      </c>
      <c r="E173" s="170"/>
      <c r="F173" s="167"/>
      <c r="G173" s="144">
        <f t="shared" si="4"/>
        <v>849</v>
      </c>
      <c r="H173" s="49"/>
      <c r="I173" s="29" t="s">
        <v>14</v>
      </c>
    </row>
    <row r="174" spans="1:10" ht="18" customHeight="1" x14ac:dyDescent="0.25">
      <c r="A174" s="14">
        <f t="shared" si="5"/>
        <v>166</v>
      </c>
      <c r="B174" s="173"/>
      <c r="C174" s="15"/>
      <c r="D174" s="14"/>
      <c r="E174" s="170"/>
      <c r="F174" s="167"/>
      <c r="G174" s="144">
        <f t="shared" si="4"/>
        <v>849</v>
      </c>
      <c r="H174" s="49"/>
      <c r="I174" s="29"/>
    </row>
    <row r="175" spans="1:10" ht="18" customHeight="1" x14ac:dyDescent="0.25">
      <c r="A175" s="14">
        <f t="shared" si="5"/>
        <v>167</v>
      </c>
      <c r="B175" s="173"/>
      <c r="C175" s="15"/>
      <c r="D175" s="14"/>
      <c r="E175" s="170"/>
      <c r="F175" s="167"/>
      <c r="G175" s="144">
        <f t="shared" si="4"/>
        <v>849</v>
      </c>
      <c r="H175" s="49"/>
      <c r="I175" s="29"/>
    </row>
    <row r="176" spans="1:10" ht="18" customHeight="1" x14ac:dyDescent="0.25">
      <c r="A176" s="14">
        <f t="shared" si="5"/>
        <v>168</v>
      </c>
      <c r="B176" s="173"/>
      <c r="C176" s="15"/>
      <c r="D176" s="14"/>
      <c r="E176" s="170"/>
      <c r="F176" s="167"/>
      <c r="G176" s="144">
        <f t="shared" si="4"/>
        <v>849</v>
      </c>
      <c r="H176" s="49"/>
      <c r="I176" s="29"/>
    </row>
    <row r="177" spans="1:9" ht="18" customHeight="1" x14ac:dyDescent="0.25">
      <c r="A177" s="14">
        <f t="shared" si="5"/>
        <v>169</v>
      </c>
      <c r="B177" s="173"/>
      <c r="C177" s="15"/>
      <c r="D177" s="14"/>
      <c r="E177" s="170"/>
      <c r="F177" s="167"/>
      <c r="G177" s="144">
        <f t="shared" si="4"/>
        <v>849</v>
      </c>
      <c r="H177" s="49"/>
      <c r="I177" s="29"/>
    </row>
    <row r="178" spans="1:9" ht="18" customHeight="1" x14ac:dyDescent="0.25">
      <c r="A178" s="14">
        <f t="shared" si="5"/>
        <v>170</v>
      </c>
      <c r="B178" s="173"/>
      <c r="C178" s="15"/>
      <c r="D178" s="14"/>
      <c r="E178" s="170"/>
      <c r="F178" s="167"/>
      <c r="G178" s="144">
        <f t="shared" si="4"/>
        <v>849</v>
      </c>
      <c r="H178" s="49"/>
      <c r="I178" s="29"/>
    </row>
    <row r="179" spans="1:9" ht="18" customHeight="1" x14ac:dyDescent="0.25">
      <c r="A179" s="14">
        <f t="shared" si="5"/>
        <v>171</v>
      </c>
      <c r="B179" s="173"/>
      <c r="C179" s="15"/>
      <c r="D179" s="14"/>
      <c r="E179" s="170"/>
      <c r="F179" s="167"/>
      <c r="G179" s="144">
        <f t="shared" si="4"/>
        <v>849</v>
      </c>
      <c r="H179" s="49"/>
      <c r="I179" s="29"/>
    </row>
    <row r="180" spans="1:9" ht="18" customHeight="1" x14ac:dyDescent="0.25">
      <c r="A180" s="14">
        <f t="shared" si="5"/>
        <v>172</v>
      </c>
      <c r="B180" s="173"/>
      <c r="C180" s="15"/>
      <c r="D180" s="14"/>
      <c r="E180" s="170"/>
      <c r="F180" s="167"/>
      <c r="G180" s="144">
        <f t="shared" si="4"/>
        <v>849</v>
      </c>
      <c r="H180" s="49"/>
      <c r="I180" s="29"/>
    </row>
    <row r="181" spans="1:9" ht="18" customHeight="1" x14ac:dyDescent="0.25">
      <c r="A181" s="14">
        <f t="shared" si="5"/>
        <v>173</v>
      </c>
      <c r="B181" s="173"/>
      <c r="C181" s="15"/>
      <c r="D181" s="14"/>
      <c r="E181" s="170"/>
      <c r="F181" s="167"/>
      <c r="G181" s="144">
        <f t="shared" si="4"/>
        <v>849</v>
      </c>
      <c r="H181" s="49"/>
      <c r="I181" s="29"/>
    </row>
    <row r="182" spans="1:9" ht="18.75" customHeight="1" x14ac:dyDescent="0.25">
      <c r="A182" s="14">
        <f t="shared" si="5"/>
        <v>174</v>
      </c>
      <c r="B182" s="1"/>
      <c r="C182" s="184"/>
      <c r="D182" s="185"/>
      <c r="E182" s="186"/>
      <c r="F182" s="187"/>
      <c r="G182" s="144">
        <f t="shared" si="4"/>
        <v>849</v>
      </c>
      <c r="H182" s="47"/>
      <c r="I182" s="184"/>
    </row>
    <row r="183" spans="1:9" ht="27" customHeight="1" x14ac:dyDescent="0.25">
      <c r="A183" s="7"/>
      <c r="B183" s="184"/>
      <c r="C183" s="188" t="s">
        <v>13</v>
      </c>
      <c r="D183" s="184"/>
      <c r="E183" s="189">
        <f>SUM(E9:E182)</f>
        <v>1010</v>
      </c>
      <c r="F183" s="189">
        <f>SUM(F9:F182)</f>
        <v>185</v>
      </c>
      <c r="G183" s="189">
        <f>+E183-F183+G8</f>
        <v>849</v>
      </c>
      <c r="H183" s="189"/>
      <c r="I183" s="137"/>
    </row>
  </sheetData>
  <mergeCells count="1">
    <mergeCell ref="A4:I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8"/>
  <dimension ref="A1:N93"/>
  <sheetViews>
    <sheetView topLeftCell="A21" workbookViewId="0">
      <selection activeCell="F36" sqref="F36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4.28515625" customWidth="1"/>
    <col min="8" max="8" width="20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>
        <v>466</v>
      </c>
      <c r="H8" s="29"/>
      <c r="I8" s="29"/>
    </row>
    <row r="9" spans="1:10" ht="18" customHeight="1" x14ac:dyDescent="0.25">
      <c r="A9" s="14">
        <v>1</v>
      </c>
      <c r="B9" s="39">
        <v>45664</v>
      </c>
      <c r="C9" s="15" t="s">
        <v>30</v>
      </c>
      <c r="D9" s="14" t="s">
        <v>33</v>
      </c>
      <c r="E9" s="51"/>
      <c r="F9" s="27">
        <v>18</v>
      </c>
      <c r="G9" s="144">
        <f t="shared" ref="G9:G77" si="0">+G8+E9-F9</f>
        <v>448</v>
      </c>
      <c r="H9" s="29" t="s">
        <v>91</v>
      </c>
      <c r="I9" s="29" t="s">
        <v>90</v>
      </c>
    </row>
    <row r="10" spans="1:10" ht="18" customHeight="1" x14ac:dyDescent="0.25">
      <c r="A10" s="14"/>
      <c r="B10" s="39">
        <v>45665</v>
      </c>
      <c r="C10" s="15" t="s">
        <v>30</v>
      </c>
      <c r="D10" s="14" t="s">
        <v>33</v>
      </c>
      <c r="E10" s="51"/>
      <c r="F10" s="27">
        <v>23</v>
      </c>
      <c r="G10" s="144">
        <f t="shared" si="0"/>
        <v>425</v>
      </c>
      <c r="H10" s="29" t="s">
        <v>91</v>
      </c>
      <c r="I10" s="29" t="s">
        <v>90</v>
      </c>
    </row>
    <row r="11" spans="1:10" ht="18" customHeight="1" x14ac:dyDescent="0.25">
      <c r="A11" s="14">
        <f>+A9+1</f>
        <v>2</v>
      </c>
      <c r="B11" s="166">
        <v>45666</v>
      </c>
      <c r="C11" s="15" t="s">
        <v>30</v>
      </c>
      <c r="D11" s="14" t="s">
        <v>33</v>
      </c>
      <c r="E11" s="16"/>
      <c r="F11" s="168">
        <v>21</v>
      </c>
      <c r="G11" s="144">
        <f t="shared" si="0"/>
        <v>404</v>
      </c>
      <c r="H11" s="29" t="s">
        <v>91</v>
      </c>
      <c r="I11" s="29" t="s">
        <v>90</v>
      </c>
    </row>
    <row r="12" spans="1:10" ht="18" customHeight="1" x14ac:dyDescent="0.25">
      <c r="A12" s="14">
        <f t="shared" ref="A12:A80" si="1">+A11+1</f>
        <v>3</v>
      </c>
      <c r="B12" s="166">
        <v>45667</v>
      </c>
      <c r="C12" s="15" t="s">
        <v>30</v>
      </c>
      <c r="D12" s="14" t="s">
        <v>33</v>
      </c>
      <c r="E12" s="16"/>
      <c r="F12" s="168">
        <v>21</v>
      </c>
      <c r="G12" s="144">
        <f t="shared" si="0"/>
        <v>383</v>
      </c>
      <c r="H12" s="29" t="s">
        <v>91</v>
      </c>
      <c r="I12" s="29" t="s">
        <v>90</v>
      </c>
    </row>
    <row r="13" spans="1:10" ht="18" customHeight="1" x14ac:dyDescent="0.25">
      <c r="A13" s="14">
        <f t="shared" si="1"/>
        <v>4</v>
      </c>
      <c r="B13" s="41">
        <v>45668</v>
      </c>
      <c r="C13" s="15" t="s">
        <v>30</v>
      </c>
      <c r="D13" s="14" t="s">
        <v>33</v>
      </c>
      <c r="E13" s="16"/>
      <c r="F13" s="168">
        <v>27</v>
      </c>
      <c r="G13" s="144">
        <f t="shared" si="0"/>
        <v>356</v>
      </c>
      <c r="H13" s="29" t="s">
        <v>91</v>
      </c>
      <c r="I13" s="29" t="s">
        <v>90</v>
      </c>
    </row>
    <row r="14" spans="1:10" ht="18" customHeight="1" x14ac:dyDescent="0.25">
      <c r="A14" s="14">
        <f t="shared" si="1"/>
        <v>5</v>
      </c>
      <c r="B14" s="41">
        <v>45695</v>
      </c>
      <c r="C14" s="15" t="s">
        <v>30</v>
      </c>
      <c r="D14" s="14" t="s">
        <v>33</v>
      </c>
      <c r="E14" s="16"/>
      <c r="F14" s="168">
        <v>12</v>
      </c>
      <c r="G14" s="144">
        <f t="shared" si="0"/>
        <v>344</v>
      </c>
      <c r="H14" s="29" t="s">
        <v>91</v>
      </c>
      <c r="I14" s="29" t="s">
        <v>90</v>
      </c>
      <c r="J14" s="26"/>
    </row>
    <row r="15" spans="1:10" ht="18" customHeight="1" x14ac:dyDescent="0.25">
      <c r="A15" s="14">
        <f t="shared" si="1"/>
        <v>6</v>
      </c>
      <c r="B15" s="41">
        <v>45696</v>
      </c>
      <c r="C15" s="15" t="s">
        <v>30</v>
      </c>
      <c r="D15" s="14" t="s">
        <v>33</v>
      </c>
      <c r="E15" s="16"/>
      <c r="F15" s="168">
        <v>20</v>
      </c>
      <c r="G15" s="144">
        <f t="shared" si="0"/>
        <v>324</v>
      </c>
      <c r="H15" s="29" t="s">
        <v>91</v>
      </c>
      <c r="I15" s="29" t="s">
        <v>90</v>
      </c>
    </row>
    <row r="16" spans="1:10" ht="18" customHeight="1" x14ac:dyDescent="0.25">
      <c r="A16" s="14">
        <f t="shared" si="1"/>
        <v>7</v>
      </c>
      <c r="B16" s="190">
        <v>45698</v>
      </c>
      <c r="C16" s="15" t="s">
        <v>30</v>
      </c>
      <c r="D16" s="14" t="s">
        <v>33</v>
      </c>
      <c r="E16" s="16"/>
      <c r="F16" s="168">
        <v>28</v>
      </c>
      <c r="G16" s="144">
        <f t="shared" si="0"/>
        <v>296</v>
      </c>
      <c r="H16" s="29" t="s">
        <v>91</v>
      </c>
      <c r="I16" s="29" t="s">
        <v>90</v>
      </c>
    </row>
    <row r="17" spans="1:12" ht="18" customHeight="1" x14ac:dyDescent="0.25">
      <c r="A17" s="14">
        <f t="shared" si="1"/>
        <v>8</v>
      </c>
      <c r="B17" s="166">
        <v>45699</v>
      </c>
      <c r="C17" s="15" t="s">
        <v>30</v>
      </c>
      <c r="D17" s="14" t="s">
        <v>33</v>
      </c>
      <c r="E17" s="16"/>
      <c r="F17" s="168">
        <v>25</v>
      </c>
      <c r="G17" s="144">
        <f t="shared" si="0"/>
        <v>271</v>
      </c>
      <c r="H17" s="29" t="s">
        <v>91</v>
      </c>
      <c r="I17" s="29" t="s">
        <v>90</v>
      </c>
    </row>
    <row r="18" spans="1:12" ht="18" customHeight="1" x14ac:dyDescent="0.25">
      <c r="A18" s="14">
        <f t="shared" si="1"/>
        <v>9</v>
      </c>
      <c r="B18" s="166">
        <v>45700</v>
      </c>
      <c r="C18" s="15" t="s">
        <v>30</v>
      </c>
      <c r="D18" s="14" t="s">
        <v>33</v>
      </c>
      <c r="E18" s="16"/>
      <c r="F18" s="168">
        <v>26</v>
      </c>
      <c r="G18" s="144">
        <f t="shared" si="0"/>
        <v>245</v>
      </c>
      <c r="H18" s="29" t="s">
        <v>91</v>
      </c>
      <c r="I18" s="29" t="s">
        <v>90</v>
      </c>
    </row>
    <row r="19" spans="1:12" ht="18" customHeight="1" x14ac:dyDescent="0.25">
      <c r="A19" s="14">
        <f t="shared" si="1"/>
        <v>10</v>
      </c>
      <c r="B19" s="166">
        <v>45757</v>
      </c>
      <c r="C19" s="15" t="s">
        <v>30</v>
      </c>
      <c r="D19" s="14" t="s">
        <v>33</v>
      </c>
      <c r="E19" s="16"/>
      <c r="F19" s="168">
        <v>24</v>
      </c>
      <c r="G19" s="144">
        <f t="shared" si="0"/>
        <v>221</v>
      </c>
      <c r="H19" s="29" t="s">
        <v>91</v>
      </c>
      <c r="I19" s="29" t="s">
        <v>90</v>
      </c>
    </row>
    <row r="20" spans="1:12" ht="18" customHeight="1" x14ac:dyDescent="0.25">
      <c r="A20" s="14">
        <f t="shared" si="1"/>
        <v>11</v>
      </c>
      <c r="B20" s="166">
        <v>45758</v>
      </c>
      <c r="C20" s="15" t="s">
        <v>30</v>
      </c>
      <c r="D20" s="14" t="s">
        <v>33</v>
      </c>
      <c r="E20" s="16"/>
      <c r="F20" s="168">
        <v>26</v>
      </c>
      <c r="G20" s="144">
        <f t="shared" si="0"/>
        <v>195</v>
      </c>
      <c r="H20" s="29" t="s">
        <v>91</v>
      </c>
      <c r="I20" s="29" t="s">
        <v>90</v>
      </c>
    </row>
    <row r="21" spans="1:12" ht="18" customHeight="1" x14ac:dyDescent="0.25">
      <c r="A21" s="14">
        <f t="shared" si="1"/>
        <v>12</v>
      </c>
      <c r="B21" s="166">
        <v>45759</v>
      </c>
      <c r="C21" s="15" t="s">
        <v>30</v>
      </c>
      <c r="D21" s="14" t="s">
        <v>33</v>
      </c>
      <c r="E21" s="16"/>
      <c r="F21" s="167">
        <v>27</v>
      </c>
      <c r="G21" s="144">
        <f t="shared" si="0"/>
        <v>168</v>
      </c>
      <c r="H21" s="29" t="s">
        <v>91</v>
      </c>
      <c r="I21" s="29" t="s">
        <v>90</v>
      </c>
    </row>
    <row r="22" spans="1:12" ht="18" customHeight="1" x14ac:dyDescent="0.25">
      <c r="A22" s="14">
        <f t="shared" si="1"/>
        <v>13</v>
      </c>
      <c r="B22" s="166">
        <v>45762</v>
      </c>
      <c r="C22" s="15" t="s">
        <v>30</v>
      </c>
      <c r="D22" s="14" t="s">
        <v>33</v>
      </c>
      <c r="E22" s="16"/>
      <c r="F22" s="168">
        <v>12</v>
      </c>
      <c r="G22" s="144">
        <f t="shared" si="0"/>
        <v>156</v>
      </c>
      <c r="H22" s="29" t="s">
        <v>91</v>
      </c>
      <c r="I22" s="29" t="s">
        <v>90</v>
      </c>
    </row>
    <row r="23" spans="1:12" ht="18" customHeight="1" x14ac:dyDescent="0.25">
      <c r="A23" s="14">
        <f t="shared" si="1"/>
        <v>14</v>
      </c>
      <c r="B23" s="166">
        <v>45763</v>
      </c>
      <c r="C23" s="15" t="s">
        <v>30</v>
      </c>
      <c r="D23" s="14" t="s">
        <v>33</v>
      </c>
      <c r="E23" s="16"/>
      <c r="F23" s="172">
        <v>6</v>
      </c>
      <c r="G23" s="144">
        <f t="shared" si="0"/>
        <v>150</v>
      </c>
      <c r="H23" s="29" t="s">
        <v>91</v>
      </c>
      <c r="I23" s="29" t="s">
        <v>90</v>
      </c>
    </row>
    <row r="24" spans="1:12" ht="18" customHeight="1" x14ac:dyDescent="0.25">
      <c r="A24" s="14">
        <f t="shared" si="1"/>
        <v>15</v>
      </c>
      <c r="B24" s="166">
        <v>45764</v>
      </c>
      <c r="C24" s="15" t="s">
        <v>30</v>
      </c>
      <c r="D24" s="14" t="s">
        <v>33</v>
      </c>
      <c r="E24" s="16"/>
      <c r="F24" s="168">
        <v>18</v>
      </c>
      <c r="G24" s="144">
        <f t="shared" si="0"/>
        <v>132</v>
      </c>
      <c r="H24" s="29" t="s">
        <v>91</v>
      </c>
      <c r="I24" s="29" t="s">
        <v>90</v>
      </c>
      <c r="L24">
        <f>60*5+59*5+60*5+1</f>
        <v>896</v>
      </c>
    </row>
    <row r="25" spans="1:12" ht="18" customHeight="1" x14ac:dyDescent="0.25">
      <c r="A25" s="14">
        <f t="shared" si="1"/>
        <v>16</v>
      </c>
      <c r="B25" s="166">
        <v>45765</v>
      </c>
      <c r="C25" s="15" t="s">
        <v>30</v>
      </c>
      <c r="D25" s="14" t="s">
        <v>33</v>
      </c>
      <c r="E25" s="170"/>
      <c r="F25" s="167">
        <f>2+2</f>
        <v>4</v>
      </c>
      <c r="G25" s="144">
        <f t="shared" si="0"/>
        <v>128</v>
      </c>
      <c r="H25" s="29" t="s">
        <v>91</v>
      </c>
      <c r="I25" s="29" t="s">
        <v>90</v>
      </c>
    </row>
    <row r="26" spans="1:12" ht="18" customHeight="1" x14ac:dyDescent="0.25">
      <c r="A26" s="14">
        <f t="shared" si="1"/>
        <v>17</v>
      </c>
      <c r="B26" s="166">
        <v>45766</v>
      </c>
      <c r="C26" s="15" t="s">
        <v>30</v>
      </c>
      <c r="D26" s="14" t="s">
        <v>33</v>
      </c>
      <c r="E26" s="170"/>
      <c r="F26" s="167">
        <v>4</v>
      </c>
      <c r="G26" s="144">
        <f t="shared" si="0"/>
        <v>124</v>
      </c>
      <c r="H26" s="29" t="s">
        <v>91</v>
      </c>
      <c r="I26" s="29" t="s">
        <v>90</v>
      </c>
    </row>
    <row r="27" spans="1:12" ht="18" customHeight="1" x14ac:dyDescent="0.25">
      <c r="A27" s="14"/>
      <c r="B27" s="166">
        <v>45772</v>
      </c>
      <c r="C27" s="15" t="s">
        <v>30</v>
      </c>
      <c r="D27" s="14" t="s">
        <v>33</v>
      </c>
      <c r="E27" s="170"/>
      <c r="F27" s="167">
        <v>9</v>
      </c>
      <c r="G27" s="144">
        <f t="shared" si="0"/>
        <v>115</v>
      </c>
      <c r="H27" s="29" t="s">
        <v>91</v>
      </c>
      <c r="I27" s="29" t="s">
        <v>90</v>
      </c>
    </row>
    <row r="28" spans="1:12" ht="18" customHeight="1" x14ac:dyDescent="0.25">
      <c r="A28" s="14">
        <f>+A26+1</f>
        <v>18</v>
      </c>
      <c r="B28" s="166">
        <v>45775</v>
      </c>
      <c r="C28" s="15" t="s">
        <v>30</v>
      </c>
      <c r="D28" s="14" t="s">
        <v>33</v>
      </c>
      <c r="E28" s="170"/>
      <c r="F28" s="167">
        <v>15</v>
      </c>
      <c r="G28" s="144">
        <f t="shared" si="0"/>
        <v>100</v>
      </c>
      <c r="H28" s="29" t="s">
        <v>91</v>
      </c>
      <c r="I28" s="29" t="s">
        <v>90</v>
      </c>
      <c r="J28" t="s">
        <v>36</v>
      </c>
    </row>
    <row r="29" spans="1:12" ht="18" customHeight="1" x14ac:dyDescent="0.25">
      <c r="A29" s="14">
        <f t="shared" si="1"/>
        <v>19</v>
      </c>
      <c r="B29" s="166">
        <v>45776</v>
      </c>
      <c r="C29" s="15" t="s">
        <v>30</v>
      </c>
      <c r="D29" s="14" t="s">
        <v>33</v>
      </c>
      <c r="E29" s="170"/>
      <c r="F29" s="167">
        <v>11</v>
      </c>
      <c r="G29" s="144">
        <f t="shared" si="0"/>
        <v>89</v>
      </c>
      <c r="H29" s="29" t="s">
        <v>91</v>
      </c>
      <c r="I29" s="29" t="s">
        <v>90</v>
      </c>
    </row>
    <row r="30" spans="1:12" ht="18" customHeight="1" x14ac:dyDescent="0.25">
      <c r="A30" s="14">
        <f t="shared" si="1"/>
        <v>20</v>
      </c>
      <c r="B30" s="173">
        <v>45805</v>
      </c>
      <c r="C30" s="15" t="s">
        <v>30</v>
      </c>
      <c r="D30" s="14" t="s">
        <v>33</v>
      </c>
      <c r="E30" s="170"/>
      <c r="F30" s="167">
        <v>29</v>
      </c>
      <c r="G30" s="144">
        <f t="shared" si="0"/>
        <v>60</v>
      </c>
      <c r="H30" s="29" t="s">
        <v>91</v>
      </c>
      <c r="I30" s="29" t="s">
        <v>90</v>
      </c>
    </row>
    <row r="31" spans="1:12" ht="18" customHeight="1" x14ac:dyDescent="0.25">
      <c r="A31" s="14">
        <f t="shared" si="1"/>
        <v>21</v>
      </c>
      <c r="B31" s="173">
        <v>45806</v>
      </c>
      <c r="C31" s="15" t="s">
        <v>30</v>
      </c>
      <c r="D31" s="14" t="s">
        <v>33</v>
      </c>
      <c r="E31" s="170"/>
      <c r="F31" s="167">
        <v>19</v>
      </c>
      <c r="G31" s="144">
        <f t="shared" si="0"/>
        <v>41</v>
      </c>
      <c r="H31" s="29" t="s">
        <v>91</v>
      </c>
      <c r="I31" s="29" t="s">
        <v>90</v>
      </c>
    </row>
    <row r="32" spans="1:12" ht="18" customHeight="1" x14ac:dyDescent="0.25">
      <c r="A32" s="14">
        <f t="shared" si="1"/>
        <v>22</v>
      </c>
      <c r="B32" s="173">
        <v>45807</v>
      </c>
      <c r="C32" s="15" t="s">
        <v>30</v>
      </c>
      <c r="D32" s="14" t="s">
        <v>33</v>
      </c>
      <c r="E32" s="170"/>
      <c r="F32" s="167">
        <v>26</v>
      </c>
      <c r="G32" s="144">
        <f t="shared" si="0"/>
        <v>15</v>
      </c>
      <c r="H32" s="29" t="s">
        <v>91</v>
      </c>
      <c r="I32" s="29" t="s">
        <v>90</v>
      </c>
    </row>
    <row r="33" spans="1:14" ht="18" customHeight="1" x14ac:dyDescent="0.25">
      <c r="A33" s="158">
        <f t="shared" si="1"/>
        <v>23</v>
      </c>
      <c r="B33" s="174">
        <v>45809</v>
      </c>
      <c r="C33" s="401" t="s">
        <v>395</v>
      </c>
      <c r="D33" s="158" t="s">
        <v>33</v>
      </c>
      <c r="E33" s="175">
        <v>27</v>
      </c>
      <c r="F33" s="31">
        <v>42</v>
      </c>
      <c r="G33" s="414">
        <f t="shared" si="0"/>
        <v>0</v>
      </c>
      <c r="H33" s="401" t="s">
        <v>91</v>
      </c>
      <c r="I33" s="401" t="s">
        <v>90</v>
      </c>
    </row>
    <row r="34" spans="1:14" ht="18" customHeight="1" x14ac:dyDescent="0.25">
      <c r="A34" s="14">
        <f t="shared" si="1"/>
        <v>24</v>
      </c>
      <c r="B34" s="173">
        <v>45836</v>
      </c>
      <c r="C34" s="15" t="s">
        <v>30</v>
      </c>
      <c r="D34" s="14" t="s">
        <v>33</v>
      </c>
      <c r="E34" s="170">
        <v>967</v>
      </c>
      <c r="F34" s="31"/>
      <c r="G34" s="144">
        <f t="shared" si="0"/>
        <v>967</v>
      </c>
      <c r="H34" s="29" t="s">
        <v>129</v>
      </c>
      <c r="I34" s="29" t="s">
        <v>90</v>
      </c>
    </row>
    <row r="35" spans="1:14" ht="18" customHeight="1" x14ac:dyDescent="0.25">
      <c r="A35" s="14">
        <f t="shared" si="1"/>
        <v>25</v>
      </c>
      <c r="B35" s="173">
        <v>45939</v>
      </c>
      <c r="C35" s="15" t="s">
        <v>30</v>
      </c>
      <c r="D35" s="14" t="s">
        <v>33</v>
      </c>
      <c r="E35" s="170"/>
      <c r="F35" s="31">
        <v>24</v>
      </c>
      <c r="G35" s="144">
        <f t="shared" si="0"/>
        <v>943</v>
      </c>
      <c r="H35" s="29" t="s">
        <v>129</v>
      </c>
      <c r="I35" s="29" t="s">
        <v>90</v>
      </c>
      <c r="L35" s="191"/>
      <c r="M35" s="191"/>
    </row>
    <row r="36" spans="1:14" ht="18" customHeight="1" x14ac:dyDescent="0.25">
      <c r="A36" s="14"/>
      <c r="B36" s="173">
        <v>45940</v>
      </c>
      <c r="C36" s="15" t="s">
        <v>30</v>
      </c>
      <c r="D36" s="14" t="s">
        <v>33</v>
      </c>
      <c r="E36" s="170"/>
      <c r="F36" s="31">
        <v>45</v>
      </c>
      <c r="G36" s="144">
        <f t="shared" si="0"/>
        <v>898</v>
      </c>
      <c r="H36" s="29" t="s">
        <v>129</v>
      </c>
      <c r="I36" s="29" t="s">
        <v>90</v>
      </c>
      <c r="L36" s="191"/>
      <c r="M36" s="191"/>
    </row>
    <row r="37" spans="1:14" ht="18" customHeight="1" x14ac:dyDescent="0.25">
      <c r="A37" s="14">
        <f>+A35+1</f>
        <v>26</v>
      </c>
      <c r="B37" s="173"/>
      <c r="C37" s="15" t="s">
        <v>30</v>
      </c>
      <c r="D37" s="14" t="s">
        <v>33</v>
      </c>
      <c r="E37" s="170"/>
      <c r="F37" s="167"/>
      <c r="G37" s="144">
        <f t="shared" si="0"/>
        <v>898</v>
      </c>
      <c r="H37" s="29" t="s">
        <v>91</v>
      </c>
      <c r="I37" s="29" t="s">
        <v>90</v>
      </c>
      <c r="L37" s="26"/>
      <c r="M37" s="191"/>
      <c r="N37" s="192"/>
    </row>
    <row r="38" spans="1:14" ht="18" customHeight="1" x14ac:dyDescent="0.25">
      <c r="A38" s="14">
        <f t="shared" si="1"/>
        <v>27</v>
      </c>
      <c r="B38" s="173"/>
      <c r="C38" s="15" t="s">
        <v>30</v>
      </c>
      <c r="D38" s="14" t="s">
        <v>33</v>
      </c>
      <c r="E38" s="170"/>
      <c r="F38" s="167"/>
      <c r="G38" s="144">
        <f t="shared" si="0"/>
        <v>898</v>
      </c>
      <c r="H38" s="29" t="s">
        <v>91</v>
      </c>
      <c r="I38" s="29" t="s">
        <v>90</v>
      </c>
      <c r="K38">
        <f>40-13</f>
        <v>27</v>
      </c>
      <c r="M38" s="191"/>
      <c r="N38" s="191"/>
    </row>
    <row r="39" spans="1:14" ht="18" customHeight="1" x14ac:dyDescent="0.25">
      <c r="A39" s="14">
        <f t="shared" si="1"/>
        <v>28</v>
      </c>
      <c r="B39" s="173"/>
      <c r="C39" s="15" t="s">
        <v>30</v>
      </c>
      <c r="D39" s="14" t="s">
        <v>33</v>
      </c>
      <c r="E39" s="170"/>
      <c r="F39" s="167"/>
      <c r="G39" s="144">
        <f t="shared" si="0"/>
        <v>898</v>
      </c>
      <c r="H39" s="29" t="s">
        <v>129</v>
      </c>
      <c r="I39" s="29" t="s">
        <v>90</v>
      </c>
      <c r="M39" s="191"/>
      <c r="N39" s="191"/>
    </row>
    <row r="40" spans="1:14" ht="18" customHeight="1" x14ac:dyDescent="0.25">
      <c r="A40" s="14">
        <f t="shared" si="1"/>
        <v>29</v>
      </c>
      <c r="B40" s="173"/>
      <c r="C40" s="15" t="s">
        <v>30</v>
      </c>
      <c r="D40" s="14" t="s">
        <v>33</v>
      </c>
      <c r="E40" s="170"/>
      <c r="F40" s="167"/>
      <c r="G40" s="144">
        <f t="shared" si="0"/>
        <v>898</v>
      </c>
      <c r="H40" s="29" t="s">
        <v>129</v>
      </c>
      <c r="I40" s="29" t="s">
        <v>90</v>
      </c>
      <c r="M40" s="191"/>
      <c r="N40" s="191"/>
    </row>
    <row r="41" spans="1:14" ht="18" customHeight="1" x14ac:dyDescent="0.25">
      <c r="A41" s="14">
        <f t="shared" si="1"/>
        <v>30</v>
      </c>
      <c r="B41" s="173"/>
      <c r="C41" s="15" t="s">
        <v>30</v>
      </c>
      <c r="D41" s="14" t="s">
        <v>33</v>
      </c>
      <c r="E41" s="170"/>
      <c r="F41" s="167"/>
      <c r="G41" s="144">
        <f t="shared" si="0"/>
        <v>898</v>
      </c>
      <c r="H41" s="29" t="s">
        <v>129</v>
      </c>
      <c r="I41" s="29" t="s">
        <v>90</v>
      </c>
      <c r="M41" s="191"/>
      <c r="N41" s="191"/>
    </row>
    <row r="42" spans="1:14" ht="18" customHeight="1" x14ac:dyDescent="0.25">
      <c r="A42" s="14">
        <f t="shared" si="1"/>
        <v>31</v>
      </c>
      <c r="B42" s="173"/>
      <c r="C42" s="15" t="s">
        <v>30</v>
      </c>
      <c r="D42" s="14" t="s">
        <v>33</v>
      </c>
      <c r="E42" s="170"/>
      <c r="F42" s="167"/>
      <c r="G42" s="144">
        <f t="shared" si="0"/>
        <v>898</v>
      </c>
      <c r="H42" s="29" t="s">
        <v>129</v>
      </c>
      <c r="I42" s="29" t="s">
        <v>90</v>
      </c>
      <c r="M42" s="191"/>
      <c r="N42" s="191"/>
    </row>
    <row r="43" spans="1:14" s="191" customFormat="1" ht="18" customHeight="1" x14ac:dyDescent="0.25">
      <c r="A43" s="14">
        <f t="shared" si="1"/>
        <v>32</v>
      </c>
      <c r="B43" s="205"/>
      <c r="C43" s="15" t="s">
        <v>30</v>
      </c>
      <c r="D43" s="14" t="s">
        <v>33</v>
      </c>
      <c r="E43" s="170"/>
      <c r="F43" s="167"/>
      <c r="G43" s="144">
        <f t="shared" si="0"/>
        <v>898</v>
      </c>
      <c r="H43" s="29" t="s">
        <v>91</v>
      </c>
      <c r="I43" s="29" t="s">
        <v>90</v>
      </c>
      <c r="L43"/>
    </row>
    <row r="44" spans="1:14" s="191" customFormat="1" ht="18" customHeight="1" x14ac:dyDescent="0.25">
      <c r="A44" s="14">
        <f t="shared" si="1"/>
        <v>33</v>
      </c>
      <c r="B44" s="205"/>
      <c r="C44" s="15" t="s">
        <v>30</v>
      </c>
      <c r="D44" s="14" t="s">
        <v>33</v>
      </c>
      <c r="E44" s="170"/>
      <c r="F44" s="167"/>
      <c r="G44" s="144">
        <f t="shared" si="0"/>
        <v>898</v>
      </c>
      <c r="H44" s="29" t="s">
        <v>91</v>
      </c>
      <c r="I44" s="29" t="s">
        <v>90</v>
      </c>
      <c r="L44"/>
    </row>
    <row r="45" spans="1:14" s="191" customFormat="1" ht="18" customHeight="1" x14ac:dyDescent="0.25">
      <c r="A45" s="14">
        <f t="shared" si="1"/>
        <v>34</v>
      </c>
      <c r="B45" s="193"/>
      <c r="C45" s="15" t="s">
        <v>30</v>
      </c>
      <c r="D45" s="14" t="s">
        <v>33</v>
      </c>
      <c r="E45" s="194"/>
      <c r="F45" s="195"/>
      <c r="G45" s="144">
        <f t="shared" si="0"/>
        <v>898</v>
      </c>
      <c r="H45" s="29" t="s">
        <v>91</v>
      </c>
      <c r="I45" s="29" t="s">
        <v>90</v>
      </c>
      <c r="L45"/>
    </row>
    <row r="46" spans="1:14" s="191" customFormat="1" ht="18" customHeight="1" x14ac:dyDescent="0.25">
      <c r="A46" s="14">
        <f t="shared" si="1"/>
        <v>35</v>
      </c>
      <c r="B46" s="193"/>
      <c r="C46" s="15" t="s">
        <v>30</v>
      </c>
      <c r="D46" s="14" t="s">
        <v>33</v>
      </c>
      <c r="E46" s="194"/>
      <c r="F46" s="195"/>
      <c r="G46" s="144">
        <f t="shared" si="0"/>
        <v>898</v>
      </c>
      <c r="H46" s="29" t="s">
        <v>91</v>
      </c>
      <c r="I46" s="29" t="s">
        <v>90</v>
      </c>
      <c r="L46"/>
    </row>
    <row r="47" spans="1:14" s="191" customFormat="1" ht="18" customHeight="1" x14ac:dyDescent="0.25">
      <c r="A47" s="14">
        <f t="shared" si="1"/>
        <v>36</v>
      </c>
      <c r="B47" s="193"/>
      <c r="C47" s="15" t="s">
        <v>30</v>
      </c>
      <c r="D47" s="14" t="s">
        <v>33</v>
      </c>
      <c r="E47" s="194"/>
      <c r="F47" s="195"/>
      <c r="G47" s="144">
        <f t="shared" si="0"/>
        <v>898</v>
      </c>
      <c r="H47" s="29" t="s">
        <v>91</v>
      </c>
      <c r="I47" s="29" t="s">
        <v>90</v>
      </c>
      <c r="L47"/>
    </row>
    <row r="48" spans="1:14" s="191" customFormat="1" ht="18" customHeight="1" x14ac:dyDescent="0.25">
      <c r="A48" s="14">
        <f t="shared" si="1"/>
        <v>37</v>
      </c>
      <c r="B48" s="193"/>
      <c r="C48" s="15" t="s">
        <v>30</v>
      </c>
      <c r="D48" s="14" t="s">
        <v>33</v>
      </c>
      <c r="E48" s="194"/>
      <c r="F48" s="195"/>
      <c r="G48" s="144">
        <f t="shared" si="0"/>
        <v>898</v>
      </c>
      <c r="H48" s="29" t="s">
        <v>91</v>
      </c>
      <c r="I48" s="29" t="s">
        <v>90</v>
      </c>
      <c r="L48"/>
      <c r="M48"/>
      <c r="N48"/>
    </row>
    <row r="49" spans="1:14" s="191" customFormat="1" ht="18" customHeight="1" x14ac:dyDescent="0.25">
      <c r="A49" s="14">
        <f t="shared" si="1"/>
        <v>38</v>
      </c>
      <c r="B49" s="193"/>
      <c r="C49" s="15" t="s">
        <v>30</v>
      </c>
      <c r="D49" s="14" t="s">
        <v>33</v>
      </c>
      <c r="E49" s="194"/>
      <c r="F49" s="195"/>
      <c r="G49" s="144">
        <f t="shared" si="0"/>
        <v>898</v>
      </c>
      <c r="H49" s="29" t="s">
        <v>91</v>
      </c>
      <c r="I49" s="29" t="s">
        <v>90</v>
      </c>
      <c r="L49"/>
      <c r="M49"/>
      <c r="N49"/>
    </row>
    <row r="50" spans="1:14" s="191" customFormat="1" ht="18" customHeight="1" x14ac:dyDescent="0.25">
      <c r="A50" s="14">
        <f t="shared" si="1"/>
        <v>39</v>
      </c>
      <c r="B50" s="193"/>
      <c r="C50" s="15" t="s">
        <v>30</v>
      </c>
      <c r="D50" s="34" t="s">
        <v>12</v>
      </c>
      <c r="E50" s="194"/>
      <c r="F50" s="195"/>
      <c r="G50" s="144">
        <f t="shared" si="0"/>
        <v>898</v>
      </c>
      <c r="H50" s="29" t="s">
        <v>91</v>
      </c>
      <c r="I50" s="29" t="s">
        <v>90</v>
      </c>
      <c r="L50"/>
      <c r="M50"/>
      <c r="N50"/>
    </row>
    <row r="51" spans="1:14" s="191" customFormat="1" ht="18" customHeight="1" x14ac:dyDescent="0.25">
      <c r="A51" s="14">
        <f t="shared" si="1"/>
        <v>40</v>
      </c>
      <c r="B51" s="193"/>
      <c r="C51" s="15" t="s">
        <v>30</v>
      </c>
      <c r="D51" s="34" t="s">
        <v>12</v>
      </c>
      <c r="E51" s="194"/>
      <c r="F51" s="195"/>
      <c r="G51" s="144">
        <f t="shared" si="0"/>
        <v>898</v>
      </c>
      <c r="H51" s="29" t="s">
        <v>91</v>
      </c>
      <c r="I51" s="29" t="s">
        <v>90</v>
      </c>
      <c r="L51"/>
      <c r="M51"/>
      <c r="N51"/>
    </row>
    <row r="52" spans="1:14" s="191" customFormat="1" ht="18" customHeight="1" x14ac:dyDescent="0.25">
      <c r="A52" s="14">
        <f t="shared" si="1"/>
        <v>41</v>
      </c>
      <c r="B52" s="193"/>
      <c r="C52" s="15" t="s">
        <v>30</v>
      </c>
      <c r="D52" s="34" t="s">
        <v>12</v>
      </c>
      <c r="E52" s="194"/>
      <c r="F52" s="195"/>
      <c r="G52" s="144">
        <f t="shared" si="0"/>
        <v>898</v>
      </c>
      <c r="H52" s="29" t="s">
        <v>91</v>
      </c>
      <c r="I52" s="29" t="s">
        <v>90</v>
      </c>
      <c r="L52"/>
      <c r="M52"/>
      <c r="N52"/>
    </row>
    <row r="53" spans="1:14" s="191" customFormat="1" ht="18" customHeight="1" x14ac:dyDescent="0.25">
      <c r="A53" s="14">
        <f t="shared" si="1"/>
        <v>42</v>
      </c>
      <c r="B53" s="193"/>
      <c r="C53" s="15" t="s">
        <v>30</v>
      </c>
      <c r="D53" s="34" t="s">
        <v>12</v>
      </c>
      <c r="E53" s="194"/>
      <c r="F53" s="195"/>
      <c r="G53" s="144">
        <f t="shared" si="0"/>
        <v>898</v>
      </c>
      <c r="H53" s="29" t="s">
        <v>91</v>
      </c>
      <c r="I53" s="29" t="s">
        <v>90</v>
      </c>
      <c r="L53"/>
      <c r="M53"/>
      <c r="N53"/>
    </row>
    <row r="54" spans="1:14" s="191" customFormat="1" ht="18" customHeight="1" x14ac:dyDescent="0.25">
      <c r="A54" s="14">
        <f t="shared" si="1"/>
        <v>43</v>
      </c>
      <c r="B54" s="193"/>
      <c r="C54" s="15" t="s">
        <v>30</v>
      </c>
      <c r="D54" s="34" t="s">
        <v>12</v>
      </c>
      <c r="E54" s="194"/>
      <c r="F54" s="195"/>
      <c r="G54" s="144">
        <f t="shared" si="0"/>
        <v>898</v>
      </c>
      <c r="H54" s="29" t="s">
        <v>91</v>
      </c>
      <c r="I54" s="29" t="s">
        <v>90</v>
      </c>
      <c r="L54"/>
      <c r="M54"/>
      <c r="N54"/>
    </row>
    <row r="55" spans="1:14" s="191" customFormat="1" ht="18" customHeight="1" x14ac:dyDescent="0.25">
      <c r="A55" s="14">
        <f t="shared" si="1"/>
        <v>44</v>
      </c>
      <c r="B55" s="193"/>
      <c r="C55" s="15" t="s">
        <v>30</v>
      </c>
      <c r="D55" s="34" t="s">
        <v>12</v>
      </c>
      <c r="E55" s="194"/>
      <c r="F55" s="195"/>
      <c r="G55" s="144">
        <f t="shared" si="0"/>
        <v>898</v>
      </c>
      <c r="H55" s="29" t="s">
        <v>91</v>
      </c>
      <c r="I55" s="29" t="s">
        <v>90</v>
      </c>
      <c r="L55"/>
      <c r="M55"/>
      <c r="N55"/>
    </row>
    <row r="56" spans="1:14" s="191" customFormat="1" ht="18" customHeight="1" x14ac:dyDescent="0.25">
      <c r="A56" s="14">
        <f t="shared" si="1"/>
        <v>45</v>
      </c>
      <c r="B56" s="193"/>
      <c r="C56" s="15" t="s">
        <v>30</v>
      </c>
      <c r="D56" s="34" t="s">
        <v>12</v>
      </c>
      <c r="E56" s="194"/>
      <c r="F56" s="195"/>
      <c r="G56" s="144">
        <f t="shared" si="0"/>
        <v>898</v>
      </c>
      <c r="H56" s="29" t="s">
        <v>91</v>
      </c>
      <c r="I56" s="29" t="s">
        <v>90</v>
      </c>
      <c r="L56"/>
      <c r="M56"/>
      <c r="N56"/>
    </row>
    <row r="57" spans="1:14" s="191" customFormat="1" ht="18" customHeight="1" x14ac:dyDescent="0.25">
      <c r="A57" s="14">
        <f t="shared" si="1"/>
        <v>46</v>
      </c>
      <c r="B57" s="193"/>
      <c r="C57" s="15" t="s">
        <v>30</v>
      </c>
      <c r="D57" s="34" t="s">
        <v>12</v>
      </c>
      <c r="E57" s="194"/>
      <c r="F57" s="195"/>
      <c r="G57" s="144">
        <f t="shared" si="0"/>
        <v>898</v>
      </c>
      <c r="H57" s="29" t="s">
        <v>91</v>
      </c>
      <c r="I57" s="29" t="s">
        <v>90</v>
      </c>
      <c r="L57"/>
      <c r="M57"/>
      <c r="N57"/>
    </row>
    <row r="58" spans="1:14" s="191" customFormat="1" ht="18" customHeight="1" x14ac:dyDescent="0.25">
      <c r="A58" s="14">
        <f t="shared" si="1"/>
        <v>47</v>
      </c>
      <c r="B58" s="193"/>
      <c r="C58" s="15" t="s">
        <v>30</v>
      </c>
      <c r="D58" s="34"/>
      <c r="E58" s="194"/>
      <c r="F58" s="195"/>
      <c r="G58" s="144">
        <f t="shared" si="0"/>
        <v>898</v>
      </c>
      <c r="H58" s="29" t="s">
        <v>91</v>
      </c>
      <c r="I58" s="29" t="s">
        <v>90</v>
      </c>
      <c r="L58"/>
      <c r="M58"/>
      <c r="N58"/>
    </row>
    <row r="59" spans="1:14" s="191" customFormat="1" ht="18" customHeight="1" x14ac:dyDescent="0.25">
      <c r="A59" s="14">
        <f t="shared" si="1"/>
        <v>48</v>
      </c>
      <c r="B59" s="193"/>
      <c r="C59" s="15" t="s">
        <v>30</v>
      </c>
      <c r="D59" s="34" t="s">
        <v>12</v>
      </c>
      <c r="E59" s="194"/>
      <c r="F59" s="195"/>
      <c r="G59" s="144">
        <f t="shared" si="0"/>
        <v>898</v>
      </c>
      <c r="H59" s="29" t="s">
        <v>91</v>
      </c>
      <c r="I59" s="29" t="s">
        <v>90</v>
      </c>
      <c r="L59"/>
      <c r="M59"/>
      <c r="N59"/>
    </row>
    <row r="60" spans="1:14" s="191" customFormat="1" ht="18" customHeight="1" x14ac:dyDescent="0.25">
      <c r="A60" s="14">
        <f t="shared" si="1"/>
        <v>49</v>
      </c>
      <c r="B60" s="193"/>
      <c r="C60" s="15" t="s">
        <v>30</v>
      </c>
      <c r="D60" s="34" t="s">
        <v>12</v>
      </c>
      <c r="E60" s="194"/>
      <c r="F60" s="195"/>
      <c r="G60" s="144">
        <f t="shared" si="0"/>
        <v>898</v>
      </c>
      <c r="H60" s="29" t="s">
        <v>91</v>
      </c>
      <c r="I60" s="29" t="s">
        <v>90</v>
      </c>
      <c r="L60"/>
      <c r="M60"/>
      <c r="N60"/>
    </row>
    <row r="61" spans="1:14" ht="18" customHeight="1" x14ac:dyDescent="0.25">
      <c r="A61" s="14">
        <f t="shared" si="1"/>
        <v>50</v>
      </c>
      <c r="B61" s="373"/>
      <c r="C61" s="15" t="s">
        <v>30</v>
      </c>
      <c r="D61" s="34" t="s">
        <v>12</v>
      </c>
      <c r="E61" s="170"/>
      <c r="F61" s="167"/>
      <c r="G61" s="144">
        <f t="shared" si="0"/>
        <v>898</v>
      </c>
      <c r="H61" s="29" t="s">
        <v>91</v>
      </c>
      <c r="I61" s="29" t="s">
        <v>90</v>
      </c>
    </row>
    <row r="62" spans="1:14" ht="18" customHeight="1" x14ac:dyDescent="0.25">
      <c r="A62" s="14">
        <f t="shared" si="1"/>
        <v>51</v>
      </c>
      <c r="B62" s="373"/>
      <c r="C62" s="15" t="s">
        <v>30</v>
      </c>
      <c r="D62" s="34" t="s">
        <v>12</v>
      </c>
      <c r="E62" s="170"/>
      <c r="F62" s="167"/>
      <c r="G62" s="144">
        <f t="shared" si="0"/>
        <v>898</v>
      </c>
      <c r="H62" s="29" t="s">
        <v>91</v>
      </c>
      <c r="I62" s="29" t="s">
        <v>90</v>
      </c>
    </row>
    <row r="63" spans="1:14" ht="18" customHeight="1" x14ac:dyDescent="0.25">
      <c r="A63" s="14">
        <f t="shared" si="1"/>
        <v>52</v>
      </c>
      <c r="B63" s="173"/>
      <c r="C63" s="15" t="s">
        <v>30</v>
      </c>
      <c r="D63" s="34" t="s">
        <v>12</v>
      </c>
      <c r="E63" s="170"/>
      <c r="F63" s="167"/>
      <c r="G63" s="144">
        <f t="shared" si="0"/>
        <v>898</v>
      </c>
      <c r="H63" s="29" t="s">
        <v>91</v>
      </c>
      <c r="I63" s="29" t="s">
        <v>90</v>
      </c>
    </row>
    <row r="64" spans="1:14" ht="18" customHeight="1" x14ac:dyDescent="0.25">
      <c r="A64" s="14">
        <f t="shared" si="1"/>
        <v>53</v>
      </c>
      <c r="B64" s="173"/>
      <c r="C64" s="15" t="s">
        <v>30</v>
      </c>
      <c r="D64" s="34" t="s">
        <v>12</v>
      </c>
      <c r="E64" s="170"/>
      <c r="F64" s="167"/>
      <c r="G64" s="144">
        <f t="shared" si="0"/>
        <v>898</v>
      </c>
      <c r="H64" s="29" t="s">
        <v>91</v>
      </c>
      <c r="I64" s="29" t="s">
        <v>90</v>
      </c>
    </row>
    <row r="65" spans="1:9" ht="18" customHeight="1" x14ac:dyDescent="0.25">
      <c r="A65" s="14">
        <f t="shared" si="1"/>
        <v>54</v>
      </c>
      <c r="B65" s="173"/>
      <c r="C65" s="15" t="s">
        <v>30</v>
      </c>
      <c r="D65" s="34" t="s">
        <v>12</v>
      </c>
      <c r="E65" s="170"/>
      <c r="F65" s="167"/>
      <c r="G65" s="144">
        <f t="shared" si="0"/>
        <v>898</v>
      </c>
      <c r="H65" s="29"/>
      <c r="I65" s="29"/>
    </row>
    <row r="66" spans="1:9" ht="18" customHeight="1" x14ac:dyDescent="0.25">
      <c r="A66" s="14">
        <f t="shared" si="1"/>
        <v>55</v>
      </c>
      <c r="B66" s="173"/>
      <c r="C66" s="15" t="s">
        <v>30</v>
      </c>
      <c r="D66" s="34" t="s">
        <v>12</v>
      </c>
      <c r="E66" s="170"/>
      <c r="F66" s="167"/>
      <c r="G66" s="144">
        <f t="shared" si="0"/>
        <v>898</v>
      </c>
      <c r="H66" s="29"/>
      <c r="I66" s="29"/>
    </row>
    <row r="67" spans="1:9" ht="18" customHeight="1" x14ac:dyDescent="0.25">
      <c r="A67" s="14">
        <f t="shared" si="1"/>
        <v>56</v>
      </c>
      <c r="B67" s="173"/>
      <c r="C67" s="15" t="s">
        <v>30</v>
      </c>
      <c r="D67" s="34" t="s">
        <v>12</v>
      </c>
      <c r="E67" s="170"/>
      <c r="F67" s="167"/>
      <c r="G67" s="144">
        <f t="shared" si="0"/>
        <v>898</v>
      </c>
      <c r="H67" s="29"/>
      <c r="I67" s="29"/>
    </row>
    <row r="68" spans="1:9" ht="18" customHeight="1" x14ac:dyDescent="0.25">
      <c r="A68" s="14">
        <f t="shared" si="1"/>
        <v>57</v>
      </c>
      <c r="B68" s="173"/>
      <c r="C68" s="15" t="s">
        <v>30</v>
      </c>
      <c r="D68" s="34" t="s">
        <v>12</v>
      </c>
      <c r="E68" s="170"/>
      <c r="F68" s="167"/>
      <c r="G68" s="144">
        <f t="shared" si="0"/>
        <v>898</v>
      </c>
      <c r="H68" s="29"/>
      <c r="I68" s="29"/>
    </row>
    <row r="69" spans="1:9" ht="18" customHeight="1" x14ac:dyDescent="0.25">
      <c r="A69" s="14">
        <f t="shared" si="1"/>
        <v>58</v>
      </c>
      <c r="B69" s="173"/>
      <c r="C69" s="15" t="s">
        <v>30</v>
      </c>
      <c r="D69" s="34" t="s">
        <v>12</v>
      </c>
      <c r="E69" s="170"/>
      <c r="F69" s="167"/>
      <c r="G69" s="144">
        <f t="shared" si="0"/>
        <v>898</v>
      </c>
      <c r="H69" s="29"/>
      <c r="I69" s="29"/>
    </row>
    <row r="70" spans="1:9" ht="18" customHeight="1" x14ac:dyDescent="0.25">
      <c r="A70" s="14">
        <f t="shared" si="1"/>
        <v>59</v>
      </c>
      <c r="B70" s="173"/>
      <c r="C70" s="15" t="s">
        <v>30</v>
      </c>
      <c r="D70" s="34" t="s">
        <v>12</v>
      </c>
      <c r="E70" s="170"/>
      <c r="F70" s="167"/>
      <c r="G70" s="144">
        <f t="shared" si="0"/>
        <v>898</v>
      </c>
      <c r="H70" s="29"/>
      <c r="I70" s="29"/>
    </row>
    <row r="71" spans="1:9" ht="18" customHeight="1" x14ac:dyDescent="0.25">
      <c r="A71" s="14">
        <f t="shared" si="1"/>
        <v>60</v>
      </c>
      <c r="B71" s="173"/>
      <c r="C71" s="15" t="s">
        <v>30</v>
      </c>
      <c r="D71" s="34" t="s">
        <v>12</v>
      </c>
      <c r="E71" s="170"/>
      <c r="F71" s="167"/>
      <c r="G71" s="144">
        <f t="shared" si="0"/>
        <v>898</v>
      </c>
      <c r="H71" s="29"/>
      <c r="I71" s="29"/>
    </row>
    <row r="72" spans="1:9" ht="18" customHeight="1" x14ac:dyDescent="0.25">
      <c r="A72" s="14">
        <f t="shared" si="1"/>
        <v>61</v>
      </c>
      <c r="B72" s="173"/>
      <c r="C72" s="15" t="s">
        <v>30</v>
      </c>
      <c r="D72" s="34" t="s">
        <v>12</v>
      </c>
      <c r="E72" s="170"/>
      <c r="F72" s="167"/>
      <c r="G72" s="144">
        <f t="shared" si="0"/>
        <v>898</v>
      </c>
      <c r="H72" s="29"/>
      <c r="I72" s="29"/>
    </row>
    <row r="73" spans="1:9" ht="18" customHeight="1" x14ac:dyDescent="0.25">
      <c r="A73" s="14">
        <f t="shared" si="1"/>
        <v>62</v>
      </c>
      <c r="B73" s="173"/>
      <c r="C73" s="15" t="s">
        <v>30</v>
      </c>
      <c r="D73" s="34" t="s">
        <v>12</v>
      </c>
      <c r="E73" s="170"/>
      <c r="F73" s="167"/>
      <c r="G73" s="144">
        <f t="shared" si="0"/>
        <v>898</v>
      </c>
      <c r="H73" s="29"/>
      <c r="I73" s="29"/>
    </row>
    <row r="74" spans="1:9" ht="18" customHeight="1" x14ac:dyDescent="0.25">
      <c r="A74" s="14">
        <f t="shared" si="1"/>
        <v>63</v>
      </c>
      <c r="B74" s="173"/>
      <c r="C74" s="15" t="s">
        <v>30</v>
      </c>
      <c r="D74" s="34" t="s">
        <v>12</v>
      </c>
      <c r="E74" s="170"/>
      <c r="F74" s="167"/>
      <c r="G74" s="144">
        <f t="shared" si="0"/>
        <v>898</v>
      </c>
      <c r="H74" s="29"/>
      <c r="I74" s="29"/>
    </row>
    <row r="75" spans="1:9" ht="18" customHeight="1" x14ac:dyDescent="0.25">
      <c r="A75" s="14">
        <f t="shared" si="1"/>
        <v>64</v>
      </c>
      <c r="B75" s="173"/>
      <c r="C75" s="15" t="s">
        <v>30</v>
      </c>
      <c r="D75" s="34" t="s">
        <v>12</v>
      </c>
      <c r="E75" s="170"/>
      <c r="F75" s="167"/>
      <c r="G75" s="144">
        <f t="shared" si="0"/>
        <v>898</v>
      </c>
      <c r="H75" s="29"/>
      <c r="I75" s="29"/>
    </row>
    <row r="76" spans="1:9" ht="18" customHeight="1" x14ac:dyDescent="0.25">
      <c r="A76" s="14">
        <f t="shared" si="1"/>
        <v>65</v>
      </c>
      <c r="B76" s="173"/>
      <c r="C76" s="15" t="s">
        <v>30</v>
      </c>
      <c r="D76" s="34" t="s">
        <v>12</v>
      </c>
      <c r="E76" s="170"/>
      <c r="F76" s="167"/>
      <c r="G76" s="144">
        <f t="shared" si="0"/>
        <v>898</v>
      </c>
      <c r="H76" s="29"/>
      <c r="I76" s="29"/>
    </row>
    <row r="77" spans="1:9" ht="18" customHeight="1" x14ac:dyDescent="0.25">
      <c r="A77" s="14">
        <f t="shared" si="1"/>
        <v>66</v>
      </c>
      <c r="B77" s="173"/>
      <c r="C77" s="15" t="s">
        <v>30</v>
      </c>
      <c r="D77" s="34" t="s">
        <v>12</v>
      </c>
      <c r="E77" s="170"/>
      <c r="F77" s="167"/>
      <c r="G77" s="144">
        <f t="shared" si="0"/>
        <v>898</v>
      </c>
      <c r="H77" s="29"/>
      <c r="I77" s="29"/>
    </row>
    <row r="78" spans="1:9" ht="18" customHeight="1" x14ac:dyDescent="0.25">
      <c r="A78" s="14">
        <f t="shared" si="1"/>
        <v>67</v>
      </c>
      <c r="B78" s="173"/>
      <c r="C78" s="15" t="s">
        <v>30</v>
      </c>
      <c r="D78" s="34" t="s">
        <v>12</v>
      </c>
      <c r="E78" s="170"/>
      <c r="F78" s="167"/>
      <c r="G78" s="144">
        <f t="shared" ref="G78:G92" si="2">+G77+E78-F78</f>
        <v>898</v>
      </c>
      <c r="H78" s="29"/>
      <c r="I78" s="29"/>
    </row>
    <row r="79" spans="1:9" ht="18" customHeight="1" x14ac:dyDescent="0.25">
      <c r="A79" s="14">
        <f t="shared" si="1"/>
        <v>68</v>
      </c>
      <c r="B79" s="173"/>
      <c r="C79" s="15" t="s">
        <v>30</v>
      </c>
      <c r="D79" s="34" t="s">
        <v>12</v>
      </c>
      <c r="E79" s="170"/>
      <c r="F79" s="167"/>
      <c r="G79" s="144">
        <f t="shared" si="2"/>
        <v>898</v>
      </c>
      <c r="H79" s="29"/>
      <c r="I79" s="29"/>
    </row>
    <row r="80" spans="1:9" ht="18" customHeight="1" x14ac:dyDescent="0.25">
      <c r="A80" s="14">
        <f t="shared" si="1"/>
        <v>69</v>
      </c>
      <c r="B80" s="173"/>
      <c r="C80" s="15" t="s">
        <v>30</v>
      </c>
      <c r="D80" s="34" t="s">
        <v>12</v>
      </c>
      <c r="E80" s="170"/>
      <c r="F80" s="167"/>
      <c r="G80" s="144">
        <f t="shared" si="2"/>
        <v>898</v>
      </c>
      <c r="H80" s="29"/>
      <c r="I80" s="29"/>
    </row>
    <row r="81" spans="1:9" ht="18" customHeight="1" x14ac:dyDescent="0.25">
      <c r="A81" s="14">
        <f t="shared" ref="A81:A92" si="3">+A80+1</f>
        <v>70</v>
      </c>
      <c r="B81" s="173"/>
      <c r="C81" s="15" t="s">
        <v>30</v>
      </c>
      <c r="D81" s="34" t="s">
        <v>12</v>
      </c>
      <c r="E81" s="170"/>
      <c r="F81" s="167"/>
      <c r="G81" s="144">
        <f t="shared" si="2"/>
        <v>898</v>
      </c>
      <c r="H81" s="29"/>
      <c r="I81" s="29"/>
    </row>
    <row r="82" spans="1:9" ht="18" customHeight="1" x14ac:dyDescent="0.25">
      <c r="A82" s="14">
        <f t="shared" si="3"/>
        <v>71</v>
      </c>
      <c r="B82" s="173"/>
      <c r="C82" s="15" t="s">
        <v>30</v>
      </c>
      <c r="D82" s="34" t="s">
        <v>12</v>
      </c>
      <c r="E82" s="170"/>
      <c r="F82" s="167"/>
      <c r="G82" s="144">
        <f t="shared" si="2"/>
        <v>898</v>
      </c>
      <c r="H82" s="29"/>
      <c r="I82" s="29"/>
    </row>
    <row r="83" spans="1:9" ht="18" customHeight="1" x14ac:dyDescent="0.25">
      <c r="A83" s="14">
        <f t="shared" si="3"/>
        <v>72</v>
      </c>
      <c r="B83" s="173"/>
      <c r="C83" s="15" t="s">
        <v>30</v>
      </c>
      <c r="D83" s="34" t="s">
        <v>12</v>
      </c>
      <c r="E83" s="170"/>
      <c r="F83" s="167"/>
      <c r="G83" s="144">
        <f t="shared" si="2"/>
        <v>898</v>
      </c>
      <c r="H83" s="29"/>
      <c r="I83" s="29"/>
    </row>
    <row r="84" spans="1:9" ht="18" customHeight="1" x14ac:dyDescent="0.25">
      <c r="A84" s="14">
        <f t="shared" si="3"/>
        <v>73</v>
      </c>
      <c r="B84" s="173"/>
      <c r="C84" s="15" t="s">
        <v>30</v>
      </c>
      <c r="D84" s="34" t="s">
        <v>12</v>
      </c>
      <c r="E84" s="170"/>
      <c r="F84" s="167"/>
      <c r="G84" s="144">
        <f t="shared" si="2"/>
        <v>898</v>
      </c>
      <c r="H84" s="29"/>
      <c r="I84" s="29"/>
    </row>
    <row r="85" spans="1:9" ht="18" customHeight="1" x14ac:dyDescent="0.25">
      <c r="A85" s="14">
        <f t="shared" si="3"/>
        <v>74</v>
      </c>
      <c r="B85" s="173"/>
      <c r="C85" s="15" t="s">
        <v>30</v>
      </c>
      <c r="D85" s="34" t="s">
        <v>12</v>
      </c>
      <c r="E85" s="170"/>
      <c r="F85" s="167"/>
      <c r="G85" s="144">
        <f t="shared" si="2"/>
        <v>898</v>
      </c>
      <c r="H85" s="29"/>
      <c r="I85" s="29"/>
    </row>
    <row r="86" spans="1:9" ht="18" customHeight="1" x14ac:dyDescent="0.25">
      <c r="A86" s="14">
        <f t="shared" si="3"/>
        <v>75</v>
      </c>
      <c r="B86" s="173"/>
      <c r="C86" s="15" t="s">
        <v>30</v>
      </c>
      <c r="D86" s="34" t="s">
        <v>12</v>
      </c>
      <c r="E86" s="170"/>
      <c r="F86" s="167"/>
      <c r="G86" s="144">
        <f t="shared" si="2"/>
        <v>898</v>
      </c>
      <c r="H86" s="29"/>
      <c r="I86" s="29"/>
    </row>
    <row r="87" spans="1:9" ht="18" customHeight="1" x14ac:dyDescent="0.25">
      <c r="A87" s="14">
        <f t="shared" si="3"/>
        <v>76</v>
      </c>
      <c r="B87" s="173"/>
      <c r="C87" s="15" t="s">
        <v>30</v>
      </c>
      <c r="D87" s="34" t="s">
        <v>12</v>
      </c>
      <c r="E87" s="170"/>
      <c r="F87" s="167"/>
      <c r="G87" s="144">
        <f t="shared" si="2"/>
        <v>898</v>
      </c>
      <c r="H87" s="29"/>
      <c r="I87" s="29"/>
    </row>
    <row r="88" spans="1:9" ht="18" customHeight="1" x14ac:dyDescent="0.25">
      <c r="A88" s="14">
        <f t="shared" si="3"/>
        <v>77</v>
      </c>
      <c r="B88" s="173"/>
      <c r="C88" s="15" t="s">
        <v>30</v>
      </c>
      <c r="D88" s="34" t="s">
        <v>12</v>
      </c>
      <c r="E88" s="170"/>
      <c r="F88" s="167"/>
      <c r="G88" s="144">
        <f t="shared" si="2"/>
        <v>898</v>
      </c>
      <c r="H88" s="29"/>
      <c r="I88" s="29"/>
    </row>
    <row r="89" spans="1:9" ht="18" customHeight="1" x14ac:dyDescent="0.25">
      <c r="A89" s="14">
        <f t="shared" si="3"/>
        <v>78</v>
      </c>
      <c r="B89" s="173"/>
      <c r="C89" s="15" t="s">
        <v>30</v>
      </c>
      <c r="D89" s="34" t="s">
        <v>12</v>
      </c>
      <c r="E89" s="170"/>
      <c r="F89" s="167"/>
      <c r="G89" s="144">
        <f t="shared" si="2"/>
        <v>898</v>
      </c>
      <c r="H89" s="29"/>
      <c r="I89" s="29"/>
    </row>
    <row r="90" spans="1:9" x14ac:dyDescent="0.25">
      <c r="A90" s="14">
        <f t="shared" si="3"/>
        <v>79</v>
      </c>
      <c r="B90" s="173"/>
      <c r="C90" s="15"/>
      <c r="D90" s="14"/>
      <c r="E90" s="170"/>
      <c r="F90" s="167"/>
      <c r="G90" s="144">
        <f t="shared" si="2"/>
        <v>898</v>
      </c>
      <c r="H90" s="49"/>
      <c r="I90" s="15"/>
    </row>
    <row r="91" spans="1:9" ht="18" customHeight="1" x14ac:dyDescent="0.25">
      <c r="A91" s="14">
        <f t="shared" si="3"/>
        <v>80</v>
      </c>
      <c r="B91" s="173"/>
      <c r="C91" s="15"/>
      <c r="D91" s="185"/>
      <c r="E91" s="170"/>
      <c r="F91" s="167"/>
      <c r="G91" s="144">
        <f t="shared" si="2"/>
        <v>898</v>
      </c>
      <c r="H91" s="49"/>
      <c r="I91" s="15"/>
    </row>
    <row r="92" spans="1:9" x14ac:dyDescent="0.25">
      <c r="A92" s="14">
        <f t="shared" si="3"/>
        <v>81</v>
      </c>
      <c r="B92" s="196"/>
      <c r="C92" s="184"/>
      <c r="D92" s="185"/>
      <c r="E92" s="186"/>
      <c r="F92" s="187"/>
      <c r="G92" s="144">
        <f t="shared" si="2"/>
        <v>898</v>
      </c>
      <c r="H92" s="47"/>
      <c r="I92" s="184"/>
    </row>
    <row r="93" spans="1:9" ht="27" customHeight="1" x14ac:dyDescent="0.25">
      <c r="A93" s="7"/>
      <c r="B93" s="184"/>
      <c r="C93" s="188" t="s">
        <v>13</v>
      </c>
      <c r="D93" s="184"/>
      <c r="E93" s="189">
        <f>SUM(E9:E92)</f>
        <v>994</v>
      </c>
      <c r="F93" s="189">
        <f>+SUM(F9:F92)</f>
        <v>562</v>
      </c>
      <c r="G93" s="189">
        <f>+E93-F93+G8</f>
        <v>898</v>
      </c>
      <c r="H93" s="189"/>
      <c r="I93" s="137"/>
    </row>
  </sheetData>
  <mergeCells count="1">
    <mergeCell ref="A4:I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9"/>
  <dimension ref="A1:Q111"/>
  <sheetViews>
    <sheetView topLeftCell="A88" workbookViewId="0">
      <selection activeCell="G101" sqref="E101:G10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6.1406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x14ac:dyDescent="0.25">
      <c r="A8" s="7"/>
      <c r="B8" s="8">
        <v>45658</v>
      </c>
      <c r="C8" s="9" t="s">
        <v>31</v>
      </c>
      <c r="D8" s="10"/>
      <c r="E8" s="11"/>
      <c r="F8" s="12"/>
      <c r="G8" s="345">
        <v>797</v>
      </c>
      <c r="H8" s="7"/>
      <c r="I8" s="7"/>
    </row>
    <row r="9" spans="1:10" x14ac:dyDescent="0.25">
      <c r="A9" s="14">
        <v>1</v>
      </c>
      <c r="B9" s="8"/>
      <c r="C9" s="15" t="s">
        <v>96</v>
      </c>
      <c r="D9" s="14" t="s">
        <v>12</v>
      </c>
      <c r="E9" s="51"/>
      <c r="F9" s="27"/>
      <c r="G9" s="18">
        <f t="shared" ref="G9:G72" si="0">+G8+E9-F9</f>
        <v>797</v>
      </c>
      <c r="H9" s="28" t="s">
        <v>91</v>
      </c>
      <c r="I9" s="7" t="s">
        <v>229</v>
      </c>
    </row>
    <row r="10" spans="1:10" x14ac:dyDescent="0.25">
      <c r="A10" s="14">
        <f t="shared" ref="A10:A73" si="1">+A9+1</f>
        <v>2</v>
      </c>
      <c r="B10" s="8"/>
      <c r="C10" s="15" t="s">
        <v>96</v>
      </c>
      <c r="D10" s="14" t="s">
        <v>12</v>
      </c>
      <c r="E10" s="16"/>
      <c r="F10" s="27"/>
      <c r="G10" s="18">
        <f t="shared" si="0"/>
        <v>797</v>
      </c>
      <c r="H10" s="28" t="s">
        <v>91</v>
      </c>
      <c r="I10" s="7" t="s">
        <v>90</v>
      </c>
    </row>
    <row r="11" spans="1:10" x14ac:dyDescent="0.25">
      <c r="A11" s="14">
        <f t="shared" si="1"/>
        <v>3</v>
      </c>
      <c r="B11" s="8"/>
      <c r="C11" s="15" t="s">
        <v>96</v>
      </c>
      <c r="D11" s="14" t="s">
        <v>12</v>
      </c>
      <c r="E11" s="16"/>
      <c r="F11" s="27"/>
      <c r="G11" s="18">
        <f>+G10+E11-F11</f>
        <v>797</v>
      </c>
      <c r="H11" s="28" t="s">
        <v>91</v>
      </c>
      <c r="I11" s="7" t="s">
        <v>90</v>
      </c>
    </row>
    <row r="12" spans="1:10" x14ac:dyDescent="0.25">
      <c r="A12" s="14">
        <f t="shared" si="1"/>
        <v>4</v>
      </c>
      <c r="B12" s="8"/>
      <c r="C12" s="15" t="s">
        <v>96</v>
      </c>
      <c r="D12" s="14" t="s">
        <v>12</v>
      </c>
      <c r="E12" s="16"/>
      <c r="F12" s="17"/>
      <c r="G12" s="18">
        <f>+G11+E12-F12</f>
        <v>797</v>
      </c>
      <c r="H12" s="28"/>
      <c r="I12" s="7"/>
    </row>
    <row r="13" spans="1:10" x14ac:dyDescent="0.25">
      <c r="A13" s="14">
        <f t="shared" si="1"/>
        <v>5</v>
      </c>
      <c r="B13" s="8"/>
      <c r="C13" s="15" t="s">
        <v>96</v>
      </c>
      <c r="D13" s="14" t="s">
        <v>12</v>
      </c>
      <c r="E13" s="16"/>
      <c r="F13" s="27"/>
      <c r="G13" s="18">
        <f>+G12+E13-F13</f>
        <v>797</v>
      </c>
      <c r="H13" s="28"/>
      <c r="I13" s="7" t="s">
        <v>334</v>
      </c>
    </row>
    <row r="14" spans="1:10" x14ac:dyDescent="0.25">
      <c r="A14" s="14">
        <f t="shared" si="1"/>
        <v>6</v>
      </c>
      <c r="B14" s="8"/>
      <c r="C14" s="15" t="s">
        <v>96</v>
      </c>
      <c r="D14" s="14" t="s">
        <v>12</v>
      </c>
      <c r="E14" s="16"/>
      <c r="F14" s="17"/>
      <c r="G14" s="18">
        <f>+G13+E14-F14</f>
        <v>797</v>
      </c>
      <c r="H14" s="28"/>
      <c r="I14" s="7"/>
      <c r="J14" s="26"/>
    </row>
    <row r="15" spans="1:10" x14ac:dyDescent="0.25">
      <c r="A15" s="14">
        <f t="shared" si="1"/>
        <v>7</v>
      </c>
      <c r="B15" s="8"/>
      <c r="C15" s="15" t="s">
        <v>96</v>
      </c>
      <c r="D15" s="14" t="s">
        <v>12</v>
      </c>
      <c r="E15" s="16"/>
      <c r="F15" s="17"/>
      <c r="G15" s="18">
        <f t="shared" si="0"/>
        <v>797</v>
      </c>
      <c r="H15" s="28"/>
      <c r="I15" s="7"/>
    </row>
    <row r="16" spans="1:10" x14ac:dyDescent="0.25">
      <c r="A16" s="14">
        <f t="shared" si="1"/>
        <v>8</v>
      </c>
      <c r="B16" s="8"/>
      <c r="C16" s="15" t="s">
        <v>96</v>
      </c>
      <c r="D16" s="14" t="s">
        <v>12</v>
      </c>
      <c r="E16" s="16"/>
      <c r="F16" s="17"/>
      <c r="G16" s="18">
        <f t="shared" si="0"/>
        <v>797</v>
      </c>
      <c r="H16" s="28"/>
      <c r="I16" s="7"/>
    </row>
    <row r="17" spans="1:11" x14ac:dyDescent="0.25">
      <c r="A17" s="14">
        <f t="shared" si="1"/>
        <v>9</v>
      </c>
      <c r="B17" s="8"/>
      <c r="C17" s="15" t="s">
        <v>96</v>
      </c>
      <c r="D17" s="14" t="s">
        <v>12</v>
      </c>
      <c r="E17" s="16"/>
      <c r="F17" s="17"/>
      <c r="G17" s="18">
        <f t="shared" si="0"/>
        <v>797</v>
      </c>
      <c r="H17" s="28"/>
      <c r="I17" s="7"/>
      <c r="J17">
        <f>60*5+60*5+48*5+3</f>
        <v>843</v>
      </c>
    </row>
    <row r="18" spans="1:11" x14ac:dyDescent="0.25">
      <c r="A18" s="14">
        <f t="shared" si="1"/>
        <v>10</v>
      </c>
      <c r="B18" s="8"/>
      <c r="C18" s="15" t="s">
        <v>96</v>
      </c>
      <c r="D18" s="14" t="s">
        <v>12</v>
      </c>
      <c r="E18" s="16"/>
      <c r="F18" s="17"/>
      <c r="G18" s="18">
        <f t="shared" si="0"/>
        <v>797</v>
      </c>
      <c r="H18" s="28"/>
      <c r="I18" s="7"/>
    </row>
    <row r="19" spans="1:11" x14ac:dyDescent="0.25">
      <c r="A19" s="14">
        <f t="shared" si="1"/>
        <v>11</v>
      </c>
      <c r="B19" s="8"/>
      <c r="C19" s="15" t="s">
        <v>96</v>
      </c>
      <c r="D19" s="14" t="s">
        <v>12</v>
      </c>
      <c r="E19" s="16"/>
      <c r="F19" s="17"/>
      <c r="G19" s="18">
        <f t="shared" si="0"/>
        <v>797</v>
      </c>
      <c r="H19" s="28"/>
      <c r="I19" s="7"/>
    </row>
    <row r="20" spans="1:11" x14ac:dyDescent="0.25">
      <c r="A20" s="14">
        <f t="shared" si="1"/>
        <v>12</v>
      </c>
      <c r="B20" s="8"/>
      <c r="C20" s="15" t="s">
        <v>96</v>
      </c>
      <c r="D20" s="14" t="s">
        <v>12</v>
      </c>
      <c r="E20" s="16"/>
      <c r="F20" s="17"/>
      <c r="G20" s="18">
        <f t="shared" si="0"/>
        <v>797</v>
      </c>
      <c r="H20" s="28"/>
      <c r="I20" s="7"/>
    </row>
    <row r="21" spans="1:11" x14ac:dyDescent="0.25">
      <c r="A21" s="14">
        <f t="shared" si="1"/>
        <v>13</v>
      </c>
      <c r="B21" s="8"/>
      <c r="C21" s="15" t="s">
        <v>96</v>
      </c>
      <c r="D21" s="14" t="s">
        <v>12</v>
      </c>
      <c r="E21" s="16"/>
      <c r="F21" s="17"/>
      <c r="G21" s="18">
        <f>+G20+E21-F21</f>
        <v>797</v>
      </c>
      <c r="H21" s="28"/>
      <c r="I21" s="7"/>
    </row>
    <row r="22" spans="1:11" x14ac:dyDescent="0.25">
      <c r="A22" s="14">
        <f t="shared" si="1"/>
        <v>14</v>
      </c>
      <c r="B22" s="8"/>
      <c r="C22" s="15" t="s">
        <v>96</v>
      </c>
      <c r="D22" s="14" t="s">
        <v>12</v>
      </c>
      <c r="E22" s="16"/>
      <c r="F22" s="17"/>
      <c r="G22" s="18">
        <f>+G21+E22-F22</f>
        <v>797</v>
      </c>
      <c r="H22" s="28"/>
      <c r="I22" s="7"/>
    </row>
    <row r="23" spans="1:11" x14ac:dyDescent="0.25">
      <c r="A23" s="14">
        <f t="shared" si="1"/>
        <v>15</v>
      </c>
      <c r="B23" s="8"/>
      <c r="C23" s="15" t="s">
        <v>96</v>
      </c>
      <c r="D23" s="14" t="s">
        <v>12</v>
      </c>
      <c r="E23" s="32"/>
      <c r="F23" s="17"/>
      <c r="G23" s="18">
        <f>+G22+E23-F23</f>
        <v>797</v>
      </c>
      <c r="H23" s="28"/>
      <c r="I23" s="7"/>
    </row>
    <row r="24" spans="1:11" x14ac:dyDescent="0.25">
      <c r="A24" s="14">
        <f t="shared" si="1"/>
        <v>16</v>
      </c>
      <c r="B24" s="8"/>
      <c r="C24" s="15" t="s">
        <v>96</v>
      </c>
      <c r="D24" s="14" t="s">
        <v>12</v>
      </c>
      <c r="E24" s="32"/>
      <c r="F24" s="17"/>
      <c r="G24" s="18">
        <f>+G23+E24-F24</f>
        <v>797</v>
      </c>
      <c r="H24" s="28"/>
      <c r="I24" s="7"/>
    </row>
    <row r="25" spans="1:11" x14ac:dyDescent="0.25">
      <c r="A25" s="14">
        <f t="shared" si="1"/>
        <v>17</v>
      </c>
      <c r="B25" s="8"/>
      <c r="C25" s="15" t="s">
        <v>96</v>
      </c>
      <c r="D25" s="14" t="s">
        <v>12</v>
      </c>
      <c r="E25" s="32"/>
      <c r="F25" s="17"/>
      <c r="G25" s="18">
        <f>+G24+E25-F25</f>
        <v>797</v>
      </c>
      <c r="H25" s="28"/>
      <c r="I25" s="7"/>
    </row>
    <row r="26" spans="1:11" x14ac:dyDescent="0.25">
      <c r="A26" s="14">
        <f t="shared" si="1"/>
        <v>18</v>
      </c>
      <c r="B26" s="197"/>
      <c r="C26" s="15" t="s">
        <v>96</v>
      </c>
      <c r="D26" s="14"/>
      <c r="E26" s="32"/>
      <c r="F26" s="27"/>
      <c r="G26" s="18">
        <f t="shared" si="0"/>
        <v>797</v>
      </c>
      <c r="H26" s="28"/>
      <c r="I26" s="7"/>
      <c r="K26">
        <f>800-797</f>
        <v>3</v>
      </c>
    </row>
    <row r="27" spans="1:11" x14ac:dyDescent="0.25">
      <c r="A27" s="14">
        <f t="shared" si="1"/>
        <v>19</v>
      </c>
      <c r="B27" s="8"/>
      <c r="C27" s="15" t="s">
        <v>96</v>
      </c>
      <c r="D27" s="14"/>
      <c r="E27" s="32"/>
      <c r="F27" s="27"/>
      <c r="G27" s="18">
        <f t="shared" si="0"/>
        <v>797</v>
      </c>
      <c r="H27" s="28"/>
      <c r="I27" s="7"/>
    </row>
    <row r="28" spans="1:11" x14ac:dyDescent="0.25">
      <c r="A28" s="14">
        <f t="shared" si="1"/>
        <v>20</v>
      </c>
      <c r="B28" s="8"/>
      <c r="C28" s="15" t="s">
        <v>96</v>
      </c>
      <c r="D28" s="14"/>
      <c r="E28" s="32"/>
      <c r="F28" s="27"/>
      <c r="G28" s="18">
        <f t="shared" si="0"/>
        <v>797</v>
      </c>
      <c r="H28" s="28"/>
      <c r="I28" s="7"/>
    </row>
    <row r="29" spans="1:11" x14ac:dyDescent="0.25">
      <c r="A29" s="14">
        <f t="shared" si="1"/>
        <v>21</v>
      </c>
      <c r="B29" s="8"/>
      <c r="C29" s="15" t="s">
        <v>96</v>
      </c>
      <c r="D29" s="14"/>
      <c r="E29" s="32"/>
      <c r="F29" s="27"/>
      <c r="G29" s="18">
        <f t="shared" si="0"/>
        <v>797</v>
      </c>
      <c r="H29" s="28"/>
      <c r="I29" s="7"/>
    </row>
    <row r="30" spans="1:11" x14ac:dyDescent="0.25">
      <c r="A30" s="14">
        <f t="shared" si="1"/>
        <v>22</v>
      </c>
      <c r="B30" s="8"/>
      <c r="C30" s="15" t="s">
        <v>96</v>
      </c>
      <c r="D30" s="14"/>
      <c r="E30" s="32"/>
      <c r="F30" s="27"/>
      <c r="G30" s="18">
        <f t="shared" si="0"/>
        <v>797</v>
      </c>
      <c r="H30" s="28"/>
      <c r="I30" s="29"/>
    </row>
    <row r="31" spans="1:11" x14ac:dyDescent="0.25">
      <c r="A31" s="14">
        <f t="shared" si="1"/>
        <v>23</v>
      </c>
      <c r="B31" s="8"/>
      <c r="C31" s="15" t="s">
        <v>96</v>
      </c>
      <c r="D31" s="14"/>
      <c r="E31" s="32"/>
      <c r="F31" s="27"/>
      <c r="G31" s="18">
        <f t="shared" si="0"/>
        <v>797</v>
      </c>
      <c r="H31" s="28"/>
      <c r="I31" s="7"/>
    </row>
    <row r="32" spans="1:11" x14ac:dyDescent="0.25">
      <c r="A32" s="14">
        <f t="shared" si="1"/>
        <v>24</v>
      </c>
      <c r="B32" s="8"/>
      <c r="C32" s="15"/>
      <c r="D32" s="14"/>
      <c r="E32" s="32"/>
      <c r="F32" s="27"/>
      <c r="G32" s="18">
        <f t="shared" si="0"/>
        <v>797</v>
      </c>
      <c r="H32" s="198"/>
      <c r="I32" s="7"/>
    </row>
    <row r="33" spans="1:17" ht="18" customHeight="1" x14ac:dyDescent="0.25">
      <c r="A33" s="14">
        <f t="shared" si="1"/>
        <v>25</v>
      </c>
      <c r="B33" s="8"/>
      <c r="C33" s="15"/>
      <c r="D33" s="14"/>
      <c r="E33" s="32"/>
      <c r="F33" s="27"/>
      <c r="G33" s="18">
        <f t="shared" si="0"/>
        <v>797</v>
      </c>
      <c r="H33" s="198"/>
      <c r="I33" s="7"/>
    </row>
    <row r="34" spans="1:17" ht="18" customHeight="1" x14ac:dyDescent="0.25">
      <c r="A34" s="14">
        <f t="shared" si="1"/>
        <v>26</v>
      </c>
      <c r="B34" s="8"/>
      <c r="C34" s="15"/>
      <c r="D34" s="10"/>
      <c r="E34" s="32"/>
      <c r="F34" s="27"/>
      <c r="G34" s="18">
        <f t="shared" si="0"/>
        <v>797</v>
      </c>
      <c r="H34" s="18"/>
      <c r="I34" s="7"/>
    </row>
    <row r="35" spans="1:17" ht="18" customHeight="1" x14ac:dyDescent="0.25">
      <c r="A35" s="14">
        <f t="shared" si="1"/>
        <v>27</v>
      </c>
      <c r="B35" s="8"/>
      <c r="C35" s="46"/>
      <c r="D35" s="10"/>
      <c r="E35" s="32"/>
      <c r="F35" s="27"/>
      <c r="G35" s="18">
        <f t="shared" si="0"/>
        <v>797</v>
      </c>
      <c r="H35" s="18"/>
      <c r="I35" s="7"/>
    </row>
    <row r="36" spans="1:17" ht="18" customHeight="1" x14ac:dyDescent="0.25">
      <c r="A36" s="14">
        <f t="shared" si="1"/>
        <v>28</v>
      </c>
      <c r="B36" s="8"/>
      <c r="C36" s="46"/>
      <c r="D36" s="10"/>
      <c r="E36" s="32"/>
      <c r="F36" s="27"/>
      <c r="G36" s="18">
        <f t="shared" si="0"/>
        <v>797</v>
      </c>
      <c r="H36" s="18"/>
      <c r="I36" s="7"/>
    </row>
    <row r="37" spans="1:17" ht="18" customHeight="1" x14ac:dyDescent="0.25">
      <c r="A37" s="14">
        <f t="shared" si="1"/>
        <v>29</v>
      </c>
      <c r="B37" s="8"/>
      <c r="C37" s="46"/>
      <c r="D37" s="10"/>
      <c r="E37" s="32"/>
      <c r="F37" s="27"/>
      <c r="G37" s="18">
        <f t="shared" si="0"/>
        <v>797</v>
      </c>
      <c r="H37" s="18"/>
      <c r="I37" s="7"/>
    </row>
    <row r="38" spans="1:17" ht="18" customHeight="1" x14ac:dyDescent="0.25">
      <c r="A38" s="14">
        <f t="shared" si="1"/>
        <v>30</v>
      </c>
      <c r="B38" s="8"/>
      <c r="C38" s="46"/>
      <c r="D38" s="10"/>
      <c r="E38" s="32"/>
      <c r="F38" s="27"/>
      <c r="G38" s="18">
        <f t="shared" si="0"/>
        <v>797</v>
      </c>
      <c r="H38" s="18"/>
      <c r="I38" s="7"/>
    </row>
    <row r="39" spans="1:17" ht="18" customHeight="1" x14ac:dyDescent="0.25">
      <c r="A39" s="14">
        <f t="shared" si="1"/>
        <v>31</v>
      </c>
      <c r="B39" s="8"/>
      <c r="C39" s="46"/>
      <c r="D39" s="10"/>
      <c r="E39" s="32"/>
      <c r="F39" s="27"/>
      <c r="G39" s="18">
        <f t="shared" si="0"/>
        <v>797</v>
      </c>
      <c r="H39" s="18"/>
      <c r="I39" s="7"/>
    </row>
    <row r="40" spans="1:17" ht="18" customHeight="1" x14ac:dyDescent="0.25">
      <c r="A40" s="14">
        <f t="shared" si="1"/>
        <v>32</v>
      </c>
      <c r="B40" s="8"/>
      <c r="C40" s="46"/>
      <c r="D40" s="10"/>
      <c r="E40" s="32"/>
      <c r="F40" s="27"/>
      <c r="G40" s="18">
        <f t="shared" si="0"/>
        <v>797</v>
      </c>
      <c r="H40" s="18"/>
      <c r="I40" s="7"/>
    </row>
    <row r="41" spans="1:17" ht="18" customHeight="1" x14ac:dyDescent="0.25">
      <c r="A41" s="14">
        <f t="shared" si="1"/>
        <v>33</v>
      </c>
      <c r="B41" s="8"/>
      <c r="C41" s="46"/>
      <c r="D41" s="10"/>
      <c r="E41" s="32"/>
      <c r="F41" s="27"/>
      <c r="G41" s="18">
        <f t="shared" si="0"/>
        <v>797</v>
      </c>
      <c r="H41" s="18"/>
      <c r="I41" s="7"/>
    </row>
    <row r="42" spans="1:17" ht="18" customHeight="1" x14ac:dyDescent="0.25">
      <c r="A42" s="14">
        <f t="shared" si="1"/>
        <v>34</v>
      </c>
      <c r="B42" s="8"/>
      <c r="C42" s="46"/>
      <c r="D42" s="10"/>
      <c r="E42" s="32"/>
      <c r="F42" s="27"/>
      <c r="G42" s="18">
        <f t="shared" si="0"/>
        <v>797</v>
      </c>
      <c r="H42" s="18"/>
      <c r="I42" s="7"/>
    </row>
    <row r="43" spans="1:17" ht="18" customHeight="1" x14ac:dyDescent="0.25">
      <c r="A43" s="14">
        <f t="shared" si="1"/>
        <v>35</v>
      </c>
      <c r="B43" s="8"/>
      <c r="C43" s="46"/>
      <c r="D43" s="10"/>
      <c r="E43" s="32"/>
      <c r="F43" s="27"/>
      <c r="G43" s="18">
        <f t="shared" si="0"/>
        <v>797</v>
      </c>
      <c r="H43" s="18"/>
      <c r="I43" s="7"/>
    </row>
    <row r="44" spans="1:17" ht="18" customHeight="1" x14ac:dyDescent="0.25">
      <c r="A44" s="14">
        <f t="shared" si="1"/>
        <v>36</v>
      </c>
      <c r="B44" s="8"/>
      <c r="C44" s="46"/>
      <c r="D44" s="10"/>
      <c r="E44" s="32"/>
      <c r="F44" s="27"/>
      <c r="G44" s="18">
        <f t="shared" si="0"/>
        <v>797</v>
      </c>
      <c r="H44" s="18"/>
      <c r="I44" s="7"/>
      <c r="L44" s="199"/>
      <c r="Q44" s="199"/>
    </row>
    <row r="45" spans="1:17" ht="18" customHeight="1" x14ac:dyDescent="0.25">
      <c r="A45" s="14">
        <f t="shared" si="1"/>
        <v>37</v>
      </c>
      <c r="B45" s="8"/>
      <c r="C45" s="46"/>
      <c r="D45" s="10"/>
      <c r="E45" s="32"/>
      <c r="F45" s="27"/>
      <c r="G45" s="18">
        <f t="shared" si="0"/>
        <v>797</v>
      </c>
      <c r="H45" s="18"/>
      <c r="I45" s="7"/>
      <c r="L45" s="199"/>
      <c r="Q45" s="199"/>
    </row>
    <row r="46" spans="1:17" ht="18" customHeight="1" x14ac:dyDescent="0.25">
      <c r="A46" s="14">
        <f t="shared" si="1"/>
        <v>38</v>
      </c>
      <c r="B46" s="8"/>
      <c r="C46" s="46"/>
      <c r="D46" s="10"/>
      <c r="E46" s="32"/>
      <c r="F46" s="27"/>
      <c r="G46" s="18">
        <f t="shared" si="0"/>
        <v>797</v>
      </c>
      <c r="H46" s="18"/>
      <c r="I46" s="7"/>
      <c r="L46" s="199"/>
      <c r="Q46" s="199"/>
    </row>
    <row r="47" spans="1:17" ht="18" customHeight="1" x14ac:dyDescent="0.25">
      <c r="A47" s="14">
        <f t="shared" si="1"/>
        <v>39</v>
      </c>
      <c r="B47" s="8"/>
      <c r="C47" s="46"/>
      <c r="D47" s="10"/>
      <c r="E47" s="32"/>
      <c r="F47" s="27"/>
      <c r="G47" s="18">
        <f t="shared" si="0"/>
        <v>797</v>
      </c>
      <c r="H47" s="18"/>
      <c r="I47" s="7"/>
      <c r="L47" s="199"/>
      <c r="Q47" s="199"/>
    </row>
    <row r="48" spans="1:17" ht="18" customHeight="1" x14ac:dyDescent="0.25">
      <c r="A48" s="14">
        <f t="shared" si="1"/>
        <v>40</v>
      </c>
      <c r="B48" s="8"/>
      <c r="C48" s="46"/>
      <c r="D48" s="10"/>
      <c r="E48" s="32"/>
      <c r="F48" s="27"/>
      <c r="G48" s="18">
        <f t="shared" si="0"/>
        <v>797</v>
      </c>
      <c r="H48" s="18"/>
      <c r="I48" s="7"/>
      <c r="L48" s="199"/>
      <c r="Q48" s="199"/>
    </row>
    <row r="49" spans="1:17" ht="18" customHeight="1" x14ac:dyDescent="0.25">
      <c r="A49" s="14">
        <f t="shared" si="1"/>
        <v>41</v>
      </c>
      <c r="B49" s="8"/>
      <c r="C49" s="46"/>
      <c r="D49" s="10"/>
      <c r="E49" s="32"/>
      <c r="F49" s="27"/>
      <c r="G49" s="18">
        <f t="shared" si="0"/>
        <v>797</v>
      </c>
      <c r="H49" s="18"/>
      <c r="I49" s="7"/>
      <c r="L49" s="199"/>
      <c r="Q49" s="199"/>
    </row>
    <row r="50" spans="1:17" ht="18" customHeight="1" x14ac:dyDescent="0.25">
      <c r="A50" s="14">
        <f t="shared" si="1"/>
        <v>42</v>
      </c>
      <c r="B50" s="8"/>
      <c r="C50" s="46"/>
      <c r="D50" s="10"/>
      <c r="E50" s="32"/>
      <c r="F50" s="27"/>
      <c r="G50" s="18">
        <f t="shared" si="0"/>
        <v>797</v>
      </c>
      <c r="H50" s="18"/>
      <c r="I50" s="7"/>
      <c r="L50" s="199"/>
      <c r="Q50" s="199"/>
    </row>
    <row r="51" spans="1:17" ht="18" customHeight="1" x14ac:dyDescent="0.25">
      <c r="A51" s="14">
        <f t="shared" si="1"/>
        <v>43</v>
      </c>
      <c r="B51" s="8"/>
      <c r="C51" s="46"/>
      <c r="D51" s="10"/>
      <c r="E51" s="32"/>
      <c r="F51" s="27"/>
      <c r="G51" s="18">
        <f t="shared" si="0"/>
        <v>797</v>
      </c>
      <c r="H51" s="18"/>
      <c r="I51" s="7"/>
      <c r="L51" s="199"/>
      <c r="Q51" s="200"/>
    </row>
    <row r="52" spans="1:17" ht="18" customHeight="1" x14ac:dyDescent="0.25">
      <c r="A52" s="14">
        <f t="shared" si="1"/>
        <v>44</v>
      </c>
      <c r="B52" s="37"/>
      <c r="C52" s="46"/>
      <c r="D52" s="10"/>
      <c r="E52" s="32"/>
      <c r="F52" s="27"/>
      <c r="G52" s="18">
        <f t="shared" si="0"/>
        <v>797</v>
      </c>
      <c r="H52" s="18"/>
      <c r="I52" s="7"/>
      <c r="L52" s="26"/>
      <c r="Q52" s="199"/>
    </row>
    <row r="53" spans="1:17" ht="18" customHeight="1" x14ac:dyDescent="0.25">
      <c r="A53" s="14">
        <f t="shared" si="1"/>
        <v>45</v>
      </c>
      <c r="B53" s="37"/>
      <c r="C53" s="46"/>
      <c r="D53" s="10"/>
      <c r="E53" s="32"/>
      <c r="F53" s="27"/>
      <c r="G53" s="18">
        <f t="shared" si="0"/>
        <v>797</v>
      </c>
      <c r="H53" s="18"/>
      <c r="I53" s="7"/>
      <c r="L53" s="26"/>
      <c r="Q53" s="199"/>
    </row>
    <row r="54" spans="1:17" ht="18" customHeight="1" x14ac:dyDescent="0.25">
      <c r="A54" s="14">
        <f t="shared" si="1"/>
        <v>46</v>
      </c>
      <c r="B54" s="37"/>
      <c r="C54" s="46"/>
      <c r="D54" s="10"/>
      <c r="E54" s="32"/>
      <c r="F54" s="27"/>
      <c r="G54" s="18">
        <f t="shared" si="0"/>
        <v>797</v>
      </c>
      <c r="H54" s="18"/>
      <c r="I54" s="7"/>
      <c r="L54" s="26"/>
      <c r="Q54" s="199"/>
    </row>
    <row r="55" spans="1:17" ht="18" customHeight="1" x14ac:dyDescent="0.25">
      <c r="A55" s="14">
        <f t="shared" si="1"/>
        <v>47</v>
      </c>
      <c r="B55" s="37"/>
      <c r="C55" s="46"/>
      <c r="D55" s="10"/>
      <c r="E55" s="32"/>
      <c r="F55" s="27"/>
      <c r="G55" s="18">
        <f t="shared" si="0"/>
        <v>797</v>
      </c>
      <c r="H55" s="18"/>
      <c r="I55" s="7"/>
      <c r="L55" s="26"/>
      <c r="Q55" s="199"/>
    </row>
    <row r="56" spans="1:17" ht="18" customHeight="1" x14ac:dyDescent="0.25">
      <c r="A56" s="14">
        <f t="shared" si="1"/>
        <v>48</v>
      </c>
      <c r="C56" s="46"/>
      <c r="D56" s="10"/>
      <c r="E56" s="32"/>
      <c r="F56" s="27"/>
      <c r="G56" s="18">
        <f t="shared" si="0"/>
        <v>797</v>
      </c>
      <c r="H56" s="18"/>
      <c r="I56" s="7"/>
      <c r="L56" s="26"/>
      <c r="Q56" s="199"/>
    </row>
    <row r="57" spans="1:17" ht="18" customHeight="1" x14ac:dyDescent="0.25">
      <c r="A57" s="14">
        <f t="shared" si="1"/>
        <v>49</v>
      </c>
      <c r="B57" s="37"/>
      <c r="C57" s="37"/>
      <c r="D57" s="10"/>
      <c r="E57" s="32"/>
      <c r="F57" s="27"/>
      <c r="G57" s="18">
        <f t="shared" si="0"/>
        <v>797</v>
      </c>
      <c r="H57" s="18"/>
      <c r="I57" s="7"/>
      <c r="L57" s="26"/>
      <c r="Q57" s="199"/>
    </row>
    <row r="58" spans="1:17" ht="18" customHeight="1" x14ac:dyDescent="0.25">
      <c r="A58" s="14">
        <f t="shared" si="1"/>
        <v>50</v>
      </c>
      <c r="B58" s="37"/>
      <c r="C58" s="46"/>
      <c r="D58" s="10"/>
      <c r="E58" s="32"/>
      <c r="F58" s="27"/>
      <c r="G58" s="18">
        <f t="shared" si="0"/>
        <v>797</v>
      </c>
      <c r="H58" s="18"/>
      <c r="I58" s="7"/>
      <c r="L58" s="26"/>
      <c r="Q58" s="199"/>
    </row>
    <row r="59" spans="1:17" ht="18" customHeight="1" x14ac:dyDescent="0.25">
      <c r="A59" s="14">
        <f t="shared" si="1"/>
        <v>51</v>
      </c>
      <c r="B59" s="37"/>
      <c r="C59" s="46"/>
      <c r="D59" s="10"/>
      <c r="E59" s="32"/>
      <c r="F59" s="27"/>
      <c r="G59" s="18">
        <f t="shared" si="0"/>
        <v>797</v>
      </c>
      <c r="H59" s="18"/>
      <c r="I59" s="7"/>
      <c r="L59" s="26"/>
      <c r="Q59" s="199"/>
    </row>
    <row r="60" spans="1:17" ht="18" customHeight="1" x14ac:dyDescent="0.25">
      <c r="A60" s="14">
        <f t="shared" si="1"/>
        <v>52</v>
      </c>
      <c r="B60" s="37"/>
      <c r="C60" s="46"/>
      <c r="D60" s="10"/>
      <c r="E60" s="32"/>
      <c r="F60" s="27"/>
      <c r="G60" s="18">
        <f t="shared" si="0"/>
        <v>797</v>
      </c>
      <c r="H60" s="18"/>
      <c r="I60" s="7"/>
      <c r="L60" s="26"/>
      <c r="Q60" s="199"/>
    </row>
    <row r="61" spans="1:17" ht="18" customHeight="1" x14ac:dyDescent="0.25">
      <c r="A61" s="14">
        <f t="shared" si="1"/>
        <v>53</v>
      </c>
      <c r="B61" s="37"/>
      <c r="C61" s="46"/>
      <c r="D61" s="10"/>
      <c r="E61" s="32"/>
      <c r="F61" s="27"/>
      <c r="G61" s="18">
        <f t="shared" si="0"/>
        <v>797</v>
      </c>
      <c r="H61" s="18"/>
      <c r="I61" s="7"/>
      <c r="L61" s="26"/>
      <c r="Q61" s="199"/>
    </row>
    <row r="62" spans="1:17" ht="18" customHeight="1" x14ac:dyDescent="0.25">
      <c r="A62" s="14">
        <f t="shared" si="1"/>
        <v>54</v>
      </c>
      <c r="B62" s="37"/>
      <c r="C62" s="46"/>
      <c r="D62" s="10"/>
      <c r="E62" s="32"/>
      <c r="F62" s="27"/>
      <c r="G62" s="18">
        <f t="shared" si="0"/>
        <v>797</v>
      </c>
      <c r="H62" s="18"/>
      <c r="I62" s="7"/>
      <c r="L62" s="26"/>
      <c r="Q62" s="199"/>
    </row>
    <row r="63" spans="1:17" ht="18" customHeight="1" x14ac:dyDescent="0.25">
      <c r="A63" s="14">
        <f t="shared" si="1"/>
        <v>55</v>
      </c>
      <c r="B63" s="37"/>
      <c r="C63" s="46"/>
      <c r="D63" s="10"/>
      <c r="E63" s="32"/>
      <c r="F63" s="27"/>
      <c r="G63" s="18">
        <f t="shared" si="0"/>
        <v>797</v>
      </c>
      <c r="H63" s="18"/>
      <c r="I63" s="7"/>
      <c r="L63" s="26"/>
      <c r="Q63" s="199"/>
    </row>
    <row r="64" spans="1:17" ht="18" customHeight="1" x14ac:dyDescent="0.25">
      <c r="A64" s="14">
        <f t="shared" si="1"/>
        <v>56</v>
      </c>
      <c r="B64" s="37"/>
      <c r="C64" s="46"/>
      <c r="D64" s="10"/>
      <c r="E64" s="32"/>
      <c r="F64" s="27"/>
      <c r="G64" s="18">
        <f t="shared" si="0"/>
        <v>797</v>
      </c>
      <c r="H64" s="18"/>
      <c r="I64" s="7"/>
      <c r="L64" s="26"/>
      <c r="Q64" s="199"/>
    </row>
    <row r="65" spans="1:17" ht="18" customHeight="1" x14ac:dyDescent="0.25">
      <c r="A65" s="14">
        <f t="shared" si="1"/>
        <v>57</v>
      </c>
      <c r="B65" s="37"/>
      <c r="C65" s="46"/>
      <c r="D65" s="10"/>
      <c r="E65" s="32"/>
      <c r="F65" s="27"/>
      <c r="G65" s="18">
        <f t="shared" si="0"/>
        <v>797</v>
      </c>
      <c r="H65" s="18"/>
      <c r="I65" s="7"/>
      <c r="L65" s="26"/>
      <c r="Q65" s="199"/>
    </row>
    <row r="66" spans="1:17" ht="18" customHeight="1" x14ac:dyDescent="0.25">
      <c r="A66" s="14">
        <f t="shared" si="1"/>
        <v>58</v>
      </c>
      <c r="B66" s="37"/>
      <c r="C66" s="46"/>
      <c r="D66" s="10"/>
      <c r="E66" s="32"/>
      <c r="F66" s="27"/>
      <c r="G66" s="47">
        <f t="shared" si="0"/>
        <v>797</v>
      </c>
      <c r="H66" s="47"/>
      <c r="I66" s="7"/>
      <c r="L66" s="26"/>
      <c r="Q66" s="199"/>
    </row>
    <row r="67" spans="1:17" ht="18" customHeight="1" x14ac:dyDescent="0.25">
      <c r="A67" s="14">
        <f t="shared" si="1"/>
        <v>59</v>
      </c>
      <c r="B67" s="37"/>
      <c r="C67" s="46"/>
      <c r="D67" s="10"/>
      <c r="E67" s="32"/>
      <c r="F67" s="27"/>
      <c r="G67" s="47">
        <f t="shared" si="0"/>
        <v>797</v>
      </c>
      <c r="H67" s="47"/>
      <c r="I67" s="7"/>
      <c r="L67" s="26"/>
      <c r="Q67" s="199"/>
    </row>
    <row r="68" spans="1:17" ht="18" customHeight="1" x14ac:dyDescent="0.25">
      <c r="A68" s="14">
        <f t="shared" si="1"/>
        <v>60</v>
      </c>
      <c r="B68" s="37"/>
      <c r="C68" s="46"/>
      <c r="D68" s="10"/>
      <c r="E68" s="32"/>
      <c r="F68" s="27"/>
      <c r="G68" s="47">
        <f t="shared" si="0"/>
        <v>797</v>
      </c>
      <c r="H68" s="47"/>
      <c r="I68" s="7"/>
      <c r="L68" s="26"/>
      <c r="Q68" s="199"/>
    </row>
    <row r="69" spans="1:17" ht="18" customHeight="1" x14ac:dyDescent="0.25">
      <c r="A69" s="14">
        <f t="shared" si="1"/>
        <v>61</v>
      </c>
      <c r="B69" s="37"/>
      <c r="C69" s="46"/>
      <c r="D69" s="10"/>
      <c r="E69" s="32"/>
      <c r="F69" s="27"/>
      <c r="G69" s="47">
        <f t="shared" si="0"/>
        <v>797</v>
      </c>
      <c r="H69" s="47"/>
      <c r="I69" s="7"/>
      <c r="J69" s="26"/>
      <c r="L69" s="26"/>
      <c r="Q69" s="199"/>
    </row>
    <row r="70" spans="1:17" ht="18" customHeight="1" x14ac:dyDescent="0.25">
      <c r="A70" s="14">
        <f t="shared" si="1"/>
        <v>62</v>
      </c>
      <c r="B70" s="37"/>
      <c r="C70" s="46"/>
      <c r="D70" s="10"/>
      <c r="E70" s="32"/>
      <c r="F70" s="27"/>
      <c r="G70" s="47">
        <f t="shared" si="0"/>
        <v>797</v>
      </c>
      <c r="H70" s="47"/>
      <c r="I70" s="7"/>
      <c r="L70" s="26"/>
      <c r="Q70" s="199"/>
    </row>
    <row r="71" spans="1:17" ht="18" customHeight="1" x14ac:dyDescent="0.25">
      <c r="A71" s="14">
        <f t="shared" si="1"/>
        <v>63</v>
      </c>
      <c r="B71" s="37"/>
      <c r="C71" s="46"/>
      <c r="D71" s="10"/>
      <c r="E71" s="32"/>
      <c r="F71" s="27"/>
      <c r="G71" s="47">
        <f t="shared" si="0"/>
        <v>797</v>
      </c>
      <c r="H71" s="47"/>
      <c r="I71" s="7"/>
      <c r="J71" s="26"/>
      <c r="L71" s="26"/>
      <c r="Q71" s="199"/>
    </row>
    <row r="72" spans="1:17" ht="18" customHeight="1" x14ac:dyDescent="0.25">
      <c r="A72" s="14">
        <f t="shared" si="1"/>
        <v>64</v>
      </c>
      <c r="B72" s="37"/>
      <c r="C72" s="46"/>
      <c r="D72" s="10"/>
      <c r="E72" s="32"/>
      <c r="F72" s="27"/>
      <c r="G72" s="47">
        <f t="shared" si="0"/>
        <v>797</v>
      </c>
      <c r="H72" s="47"/>
      <c r="I72" s="7"/>
      <c r="L72" s="26"/>
      <c r="Q72" s="199"/>
    </row>
    <row r="73" spans="1:17" ht="18" customHeight="1" x14ac:dyDescent="0.25">
      <c r="A73" s="14">
        <f t="shared" si="1"/>
        <v>65</v>
      </c>
      <c r="B73" s="37"/>
      <c r="C73" s="46"/>
      <c r="D73" s="10"/>
      <c r="E73" s="32"/>
      <c r="F73" s="27"/>
      <c r="G73" s="47">
        <f t="shared" ref="G73:G99" si="2">+G72+E73-F73</f>
        <v>797</v>
      </c>
      <c r="H73" s="47"/>
      <c r="I73" s="7"/>
      <c r="L73" s="26"/>
      <c r="Q73" s="199"/>
    </row>
    <row r="74" spans="1:17" ht="18" customHeight="1" x14ac:dyDescent="0.25">
      <c r="A74" s="14">
        <f t="shared" ref="A74:A99" si="3">+A73+1</f>
        <v>66</v>
      </c>
      <c r="B74" s="37"/>
      <c r="C74" s="46"/>
      <c r="D74" s="10"/>
      <c r="E74" s="32"/>
      <c r="F74" s="27"/>
      <c r="G74" s="47">
        <f t="shared" si="2"/>
        <v>797</v>
      </c>
      <c r="H74" s="47"/>
      <c r="I74" s="7"/>
      <c r="J74" s="26"/>
      <c r="L74" s="26"/>
      <c r="Q74" s="199"/>
    </row>
    <row r="75" spans="1:17" ht="18" customHeight="1" x14ac:dyDescent="0.25">
      <c r="A75" s="14">
        <f t="shared" si="3"/>
        <v>67</v>
      </c>
      <c r="B75" s="37"/>
      <c r="C75" s="46"/>
      <c r="D75" s="10"/>
      <c r="E75" s="32"/>
      <c r="F75" s="27"/>
      <c r="G75" s="47">
        <f t="shared" si="2"/>
        <v>797</v>
      </c>
      <c r="H75" s="47"/>
      <c r="I75" s="7"/>
      <c r="L75" s="26"/>
      <c r="Q75" s="199"/>
    </row>
    <row r="76" spans="1:17" ht="18" customHeight="1" x14ac:dyDescent="0.25">
      <c r="A76" s="14">
        <f t="shared" si="3"/>
        <v>68</v>
      </c>
      <c r="B76" s="37"/>
      <c r="C76" s="46"/>
      <c r="D76" s="10"/>
      <c r="E76" s="32"/>
      <c r="F76" s="27"/>
      <c r="G76" s="47">
        <f t="shared" si="2"/>
        <v>797</v>
      </c>
      <c r="H76" s="47"/>
      <c r="I76" s="7"/>
      <c r="L76" s="26"/>
      <c r="Q76" s="199"/>
    </row>
    <row r="77" spans="1:17" ht="18" customHeight="1" x14ac:dyDescent="0.25">
      <c r="A77" s="14">
        <f t="shared" si="3"/>
        <v>69</v>
      </c>
      <c r="B77" s="37"/>
      <c r="C77" s="46"/>
      <c r="D77" s="10"/>
      <c r="E77" s="32"/>
      <c r="F77" s="27"/>
      <c r="G77" s="47">
        <f t="shared" si="2"/>
        <v>797</v>
      </c>
      <c r="H77" s="47"/>
      <c r="I77" s="7"/>
      <c r="L77" s="26"/>
      <c r="Q77" s="199"/>
    </row>
    <row r="78" spans="1:17" ht="18" customHeight="1" x14ac:dyDescent="0.25">
      <c r="A78" s="14">
        <f t="shared" si="3"/>
        <v>70</v>
      </c>
      <c r="B78" s="37"/>
      <c r="C78" s="46"/>
      <c r="D78" s="10"/>
      <c r="E78" s="32"/>
      <c r="F78" s="27"/>
      <c r="G78" s="47">
        <f t="shared" si="2"/>
        <v>797</v>
      </c>
      <c r="H78" s="47"/>
      <c r="I78" s="7"/>
      <c r="L78" s="26"/>
      <c r="Q78" s="199"/>
    </row>
    <row r="79" spans="1:17" ht="18" customHeight="1" x14ac:dyDescent="0.25">
      <c r="A79" s="14">
        <f t="shared" si="3"/>
        <v>71</v>
      </c>
      <c r="B79" s="37"/>
      <c r="C79" s="46"/>
      <c r="D79" s="10"/>
      <c r="E79" s="32"/>
      <c r="F79" s="27"/>
      <c r="G79" s="47">
        <f t="shared" si="2"/>
        <v>797</v>
      </c>
      <c r="H79" s="47"/>
      <c r="I79" s="7"/>
      <c r="L79" s="26"/>
      <c r="Q79" s="199"/>
    </row>
    <row r="80" spans="1:17" ht="18" customHeight="1" x14ac:dyDescent="0.25">
      <c r="A80" s="14">
        <f t="shared" si="3"/>
        <v>72</v>
      </c>
      <c r="B80" s="37"/>
      <c r="C80" s="46"/>
      <c r="D80" s="10"/>
      <c r="E80" s="32"/>
      <c r="F80" s="27"/>
      <c r="G80" s="47">
        <f t="shared" si="2"/>
        <v>797</v>
      </c>
      <c r="H80" s="47"/>
      <c r="I80" s="7"/>
      <c r="L80" s="26"/>
      <c r="Q80" s="199"/>
    </row>
    <row r="81" spans="1:17" ht="18" customHeight="1" x14ac:dyDescent="0.25">
      <c r="A81" s="14">
        <f t="shared" si="3"/>
        <v>73</v>
      </c>
      <c r="B81" s="37"/>
      <c r="C81" s="46"/>
      <c r="D81" s="10"/>
      <c r="E81" s="32"/>
      <c r="F81" s="27"/>
      <c r="G81" s="47">
        <f t="shared" si="2"/>
        <v>797</v>
      </c>
      <c r="H81" s="47"/>
      <c r="I81" s="7"/>
      <c r="L81" s="26"/>
      <c r="Q81" s="199"/>
    </row>
    <row r="82" spans="1:17" ht="18" customHeight="1" x14ac:dyDescent="0.25">
      <c r="A82" s="14">
        <f t="shared" si="3"/>
        <v>74</v>
      </c>
      <c r="B82" s="37"/>
      <c r="C82" s="46"/>
      <c r="D82" s="10"/>
      <c r="E82" s="32"/>
      <c r="F82" s="27"/>
      <c r="G82" s="47">
        <f t="shared" si="2"/>
        <v>797</v>
      </c>
      <c r="H82" s="47"/>
      <c r="I82" s="7"/>
      <c r="L82" s="26"/>
      <c r="Q82" s="199"/>
    </row>
    <row r="83" spans="1:17" ht="18" customHeight="1" x14ac:dyDescent="0.25">
      <c r="A83" s="14">
        <f t="shared" si="3"/>
        <v>75</v>
      </c>
      <c r="B83" s="37"/>
      <c r="C83" s="46"/>
      <c r="D83" s="10"/>
      <c r="E83" s="32"/>
      <c r="F83" s="27"/>
      <c r="G83" s="47">
        <f t="shared" si="2"/>
        <v>797</v>
      </c>
      <c r="H83" s="47"/>
      <c r="I83" s="7"/>
      <c r="L83" s="26"/>
      <c r="Q83" s="199"/>
    </row>
    <row r="84" spans="1:17" ht="18" customHeight="1" x14ac:dyDescent="0.25">
      <c r="A84" s="14">
        <f t="shared" si="3"/>
        <v>76</v>
      </c>
      <c r="B84" s="37"/>
      <c r="C84" s="46"/>
      <c r="D84" s="10"/>
      <c r="E84" s="32"/>
      <c r="F84" s="27"/>
      <c r="G84" s="47">
        <f t="shared" si="2"/>
        <v>797</v>
      </c>
      <c r="H84" s="47"/>
      <c r="I84" s="7"/>
      <c r="L84" s="26"/>
      <c r="Q84" s="199"/>
    </row>
    <row r="85" spans="1:17" ht="18" customHeight="1" x14ac:dyDescent="0.25">
      <c r="A85" s="14">
        <f t="shared" si="3"/>
        <v>77</v>
      </c>
      <c r="B85" s="37"/>
      <c r="C85" s="46"/>
      <c r="D85" s="10"/>
      <c r="E85" s="32"/>
      <c r="F85" s="27"/>
      <c r="G85" s="47">
        <f t="shared" si="2"/>
        <v>797</v>
      </c>
      <c r="H85" s="47"/>
      <c r="I85" s="7"/>
      <c r="L85" s="26"/>
      <c r="Q85" s="199"/>
    </row>
    <row r="86" spans="1:17" ht="18" customHeight="1" x14ac:dyDescent="0.25">
      <c r="A86" s="14">
        <f t="shared" si="3"/>
        <v>78</v>
      </c>
      <c r="B86" s="37"/>
      <c r="C86" s="46"/>
      <c r="D86" s="10"/>
      <c r="E86" s="32"/>
      <c r="F86" s="27"/>
      <c r="G86" s="47">
        <f t="shared" si="2"/>
        <v>797</v>
      </c>
      <c r="H86" s="47"/>
      <c r="I86" s="7"/>
      <c r="L86" s="26"/>
      <c r="Q86" s="199"/>
    </row>
    <row r="87" spans="1:17" ht="18" customHeight="1" x14ac:dyDescent="0.25">
      <c r="A87" s="14">
        <f t="shared" si="3"/>
        <v>79</v>
      </c>
      <c r="B87" s="37"/>
      <c r="C87" s="46"/>
      <c r="D87" s="10"/>
      <c r="E87" s="32"/>
      <c r="F87" s="27"/>
      <c r="G87" s="18">
        <f t="shared" si="2"/>
        <v>797</v>
      </c>
      <c r="H87" s="18"/>
      <c r="I87" s="7"/>
      <c r="L87" s="26"/>
      <c r="Q87" s="199"/>
    </row>
    <row r="88" spans="1:17" ht="18" customHeight="1" x14ac:dyDescent="0.25">
      <c r="A88" s="14">
        <f t="shared" si="3"/>
        <v>80</v>
      </c>
      <c r="B88" s="37"/>
      <c r="C88" s="46"/>
      <c r="D88" s="10"/>
      <c r="E88" s="32"/>
      <c r="F88" s="27"/>
      <c r="G88" s="18">
        <f t="shared" si="2"/>
        <v>797</v>
      </c>
      <c r="H88" s="18"/>
      <c r="I88" s="7"/>
      <c r="L88" s="26"/>
      <c r="Q88" s="199"/>
    </row>
    <row r="89" spans="1:17" ht="18" customHeight="1" x14ac:dyDescent="0.25">
      <c r="A89" s="14">
        <f t="shared" si="3"/>
        <v>81</v>
      </c>
      <c r="B89" s="37"/>
      <c r="C89" s="46"/>
      <c r="D89" s="10"/>
      <c r="E89" s="32"/>
      <c r="F89" s="27"/>
      <c r="G89" s="18">
        <f t="shared" si="2"/>
        <v>797</v>
      </c>
      <c r="H89" s="18"/>
      <c r="I89" s="7"/>
      <c r="L89" s="26"/>
      <c r="Q89" s="199"/>
    </row>
    <row r="90" spans="1:17" ht="18" customHeight="1" x14ac:dyDescent="0.25">
      <c r="A90" s="14">
        <f t="shared" si="3"/>
        <v>82</v>
      </c>
      <c r="B90" s="37"/>
      <c r="C90" s="46"/>
      <c r="D90" s="10"/>
      <c r="E90" s="32"/>
      <c r="F90" s="27"/>
      <c r="G90" s="18">
        <f t="shared" si="2"/>
        <v>797</v>
      </c>
      <c r="H90" s="18"/>
      <c r="I90" s="7"/>
      <c r="L90" s="26"/>
      <c r="Q90" s="199"/>
    </row>
    <row r="91" spans="1:17" ht="18" customHeight="1" x14ac:dyDescent="0.25">
      <c r="A91" s="14">
        <f t="shared" si="3"/>
        <v>83</v>
      </c>
      <c r="B91" s="37"/>
      <c r="C91" s="46"/>
      <c r="D91" s="10"/>
      <c r="E91" s="32"/>
      <c r="F91" s="27"/>
      <c r="G91" s="18">
        <f t="shared" si="2"/>
        <v>797</v>
      </c>
      <c r="H91" s="18"/>
      <c r="I91" s="7"/>
      <c r="L91" s="26"/>
      <c r="Q91" s="199"/>
    </row>
    <row r="92" spans="1:17" ht="18" customHeight="1" x14ac:dyDescent="0.25">
      <c r="A92" s="14">
        <f t="shared" si="3"/>
        <v>84</v>
      </c>
      <c r="B92" s="37"/>
      <c r="C92" s="46"/>
      <c r="D92" s="10"/>
      <c r="E92" s="32"/>
      <c r="F92" s="27"/>
      <c r="G92" s="18">
        <f t="shared" si="2"/>
        <v>797</v>
      </c>
      <c r="H92" s="18"/>
      <c r="I92" s="7"/>
      <c r="L92" s="26"/>
      <c r="Q92" s="199"/>
    </row>
    <row r="93" spans="1:17" ht="18" customHeight="1" x14ac:dyDescent="0.25">
      <c r="A93" s="14">
        <f t="shared" si="3"/>
        <v>85</v>
      </c>
      <c r="B93" s="37"/>
      <c r="C93" s="46"/>
      <c r="D93" s="10"/>
      <c r="E93" s="32"/>
      <c r="F93" s="27"/>
      <c r="G93" s="18">
        <f t="shared" si="2"/>
        <v>797</v>
      </c>
      <c r="H93" s="18"/>
      <c r="I93" s="7"/>
      <c r="L93" s="26"/>
      <c r="Q93" s="199"/>
    </row>
    <row r="94" spans="1:17" ht="18" customHeight="1" x14ac:dyDescent="0.25">
      <c r="A94" s="14">
        <f t="shared" si="3"/>
        <v>86</v>
      </c>
      <c r="B94" s="37"/>
      <c r="C94" s="46"/>
      <c r="D94" s="10"/>
      <c r="E94" s="32"/>
      <c r="F94" s="27"/>
      <c r="G94" s="18">
        <f t="shared" si="2"/>
        <v>797</v>
      </c>
      <c r="H94" s="18"/>
      <c r="I94" s="7"/>
      <c r="L94" s="26"/>
      <c r="Q94" s="199"/>
    </row>
    <row r="95" spans="1:17" ht="18" customHeight="1" x14ac:dyDescent="0.25">
      <c r="A95" s="14">
        <f t="shared" si="3"/>
        <v>87</v>
      </c>
      <c r="B95" s="37"/>
      <c r="C95" s="46"/>
      <c r="D95" s="10"/>
      <c r="E95" s="32"/>
      <c r="F95" s="27"/>
      <c r="G95" s="18">
        <f t="shared" si="2"/>
        <v>797</v>
      </c>
      <c r="H95" s="18"/>
      <c r="I95" s="7"/>
      <c r="L95" s="26"/>
      <c r="Q95" s="199"/>
    </row>
    <row r="96" spans="1:17" ht="18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797</v>
      </c>
      <c r="H96" s="18"/>
      <c r="I96" s="7"/>
      <c r="L96" s="26"/>
      <c r="Q96" s="199"/>
    </row>
    <row r="97" spans="1:17" ht="18" customHeight="1" x14ac:dyDescent="0.25">
      <c r="A97" s="14">
        <f t="shared" si="3"/>
        <v>89</v>
      </c>
      <c r="B97" s="37"/>
      <c r="C97" s="7"/>
      <c r="D97" s="10"/>
      <c r="E97" s="140"/>
      <c r="F97" s="141"/>
      <c r="G97" s="18">
        <f t="shared" si="2"/>
        <v>797</v>
      </c>
      <c r="H97" s="18"/>
      <c r="I97" s="7"/>
      <c r="Q97" s="26"/>
    </row>
    <row r="98" spans="1:17" ht="18" customHeight="1" x14ac:dyDescent="0.25">
      <c r="A98" s="14">
        <f t="shared" si="3"/>
        <v>90</v>
      </c>
      <c r="B98" s="37"/>
      <c r="C98" s="7"/>
      <c r="D98" s="14"/>
      <c r="E98" s="140"/>
      <c r="F98" s="141"/>
      <c r="G98" s="18">
        <f t="shared" si="2"/>
        <v>797</v>
      </c>
      <c r="H98" s="18"/>
      <c r="I98" s="7"/>
    </row>
    <row r="99" spans="1:17" ht="18" customHeight="1" x14ac:dyDescent="0.25">
      <c r="A99" s="14">
        <f t="shared" si="3"/>
        <v>91</v>
      </c>
      <c r="B99" s="134"/>
      <c r="C99" s="7"/>
      <c r="D99" s="14"/>
      <c r="E99" s="140"/>
      <c r="F99" s="141"/>
      <c r="G99" s="18">
        <f t="shared" si="2"/>
        <v>797</v>
      </c>
      <c r="H99" s="18"/>
      <c r="I99" s="7"/>
    </row>
    <row r="100" spans="1:17" ht="18" customHeight="1" x14ac:dyDescent="0.25">
      <c r="A100" s="7"/>
      <c r="B100" s="7"/>
      <c r="C100" s="34" t="s">
        <v>13</v>
      </c>
      <c r="D100" s="7"/>
      <c r="E100" s="35">
        <f>SUM(E8:E99)</f>
        <v>0</v>
      </c>
      <c r="F100" s="35">
        <f>SUM(F8:F99)</f>
        <v>0</v>
      </c>
      <c r="G100" s="35">
        <f>+E100-F100+G8</f>
        <v>797</v>
      </c>
      <c r="H100" s="35"/>
      <c r="I100" s="36"/>
    </row>
    <row r="101" spans="1:17" ht="18" customHeight="1" x14ac:dyDescent="0.25"/>
    <row r="104" spans="1:17" x14ac:dyDescent="0.25">
      <c r="E104" s="201"/>
      <c r="F104" s="201"/>
      <c r="G104" s="201"/>
      <c r="H104" s="201"/>
    </row>
    <row r="105" spans="1:17" x14ac:dyDescent="0.25">
      <c r="F105" s="26"/>
    </row>
    <row r="106" spans="1:17" x14ac:dyDescent="0.25">
      <c r="E106" s="26"/>
      <c r="F106" s="26"/>
      <c r="G106" s="26"/>
      <c r="H106" s="26"/>
      <c r="I106" s="26"/>
    </row>
    <row r="107" spans="1:17" x14ac:dyDescent="0.25">
      <c r="I107" s="202"/>
    </row>
    <row r="108" spans="1:17" x14ac:dyDescent="0.25">
      <c r="E108" s="199"/>
    </row>
    <row r="109" spans="1:17" x14ac:dyDescent="0.25">
      <c r="E109" s="26"/>
      <c r="F109" s="26"/>
    </row>
    <row r="110" spans="1:17" x14ac:dyDescent="0.25">
      <c r="E110" s="203"/>
      <c r="F110" s="204"/>
      <c r="G110" s="203"/>
      <c r="H110" s="203"/>
    </row>
    <row r="111" spans="1:17" x14ac:dyDescent="0.25">
      <c r="F111" s="26"/>
    </row>
  </sheetData>
  <mergeCells count="1">
    <mergeCell ref="A4:I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50"/>
  <dimension ref="A1:Q154"/>
  <sheetViews>
    <sheetView topLeftCell="A130" workbookViewId="0">
      <selection activeCell="F152" sqref="F15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0.710937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x14ac:dyDescent="0.25">
      <c r="A8" s="7"/>
      <c r="B8" s="8">
        <v>45658</v>
      </c>
      <c r="C8" s="9" t="s">
        <v>31</v>
      </c>
      <c r="D8" s="10"/>
      <c r="E8" s="11"/>
      <c r="F8" s="12"/>
      <c r="G8" s="7">
        <v>78</v>
      </c>
      <c r="H8" s="7"/>
      <c r="I8" s="7"/>
    </row>
    <row r="9" spans="1:10" x14ac:dyDescent="0.25">
      <c r="A9" s="14">
        <v>1</v>
      </c>
      <c r="B9" s="8">
        <v>45659</v>
      </c>
      <c r="C9" s="15" t="s">
        <v>113</v>
      </c>
      <c r="D9" s="14" t="s">
        <v>12</v>
      </c>
      <c r="E9" s="51"/>
      <c r="F9" s="27">
        <v>3</v>
      </c>
      <c r="G9" s="18">
        <f t="shared" ref="G9:G76" si="0">+G8+E9-F9</f>
        <v>75</v>
      </c>
      <c r="H9" s="28" t="s">
        <v>92</v>
      </c>
      <c r="I9" s="7" t="s">
        <v>90</v>
      </c>
    </row>
    <row r="10" spans="1:10" x14ac:dyDescent="0.25">
      <c r="A10" s="14">
        <f t="shared" ref="A10:A77" si="1">+A9+1</f>
        <v>2</v>
      </c>
      <c r="B10" s="8">
        <v>45660</v>
      </c>
      <c r="C10" s="15" t="s">
        <v>113</v>
      </c>
      <c r="D10" s="14" t="s">
        <v>12</v>
      </c>
      <c r="E10" s="16"/>
      <c r="F10" s="27">
        <v>7</v>
      </c>
      <c r="G10" s="18">
        <f t="shared" si="0"/>
        <v>68</v>
      </c>
      <c r="H10" s="28" t="s">
        <v>92</v>
      </c>
      <c r="I10" s="7" t="s">
        <v>90</v>
      </c>
    </row>
    <row r="11" spans="1:10" x14ac:dyDescent="0.25">
      <c r="A11" s="14">
        <f t="shared" si="1"/>
        <v>3</v>
      </c>
      <c r="B11" s="8">
        <v>45661</v>
      </c>
      <c r="C11" s="15" t="s">
        <v>113</v>
      </c>
      <c r="D11" s="14" t="s">
        <v>12</v>
      </c>
      <c r="E11" s="16"/>
      <c r="F11" s="27">
        <v>5</v>
      </c>
      <c r="G11" s="18">
        <f>+G10+E11-F11</f>
        <v>63</v>
      </c>
      <c r="H11" s="28" t="s">
        <v>92</v>
      </c>
      <c r="I11" s="7" t="s">
        <v>90</v>
      </c>
    </row>
    <row r="12" spans="1:10" x14ac:dyDescent="0.25">
      <c r="A12" s="14">
        <f t="shared" si="1"/>
        <v>4</v>
      </c>
      <c r="B12" s="8">
        <v>45297</v>
      </c>
      <c r="C12" s="15" t="s">
        <v>113</v>
      </c>
      <c r="D12" s="14" t="s">
        <v>12</v>
      </c>
      <c r="E12" s="16"/>
      <c r="F12" s="17">
        <v>4</v>
      </c>
      <c r="G12" s="18">
        <f>+G11+E12-F12</f>
        <v>59</v>
      </c>
      <c r="H12" s="28" t="s">
        <v>92</v>
      </c>
      <c r="I12" s="7" t="s">
        <v>90</v>
      </c>
    </row>
    <row r="13" spans="1:10" x14ac:dyDescent="0.25">
      <c r="A13" s="14">
        <f t="shared" si="1"/>
        <v>5</v>
      </c>
      <c r="B13" s="8">
        <v>45664</v>
      </c>
      <c r="C13" s="15" t="s">
        <v>113</v>
      </c>
      <c r="D13" s="14" t="s">
        <v>12</v>
      </c>
      <c r="E13" s="16"/>
      <c r="F13" s="27">
        <v>4</v>
      </c>
      <c r="G13" s="18">
        <f>+G12+E13-F13</f>
        <v>55</v>
      </c>
      <c r="H13" s="28" t="s">
        <v>92</v>
      </c>
      <c r="I13" s="7" t="s">
        <v>90</v>
      </c>
    </row>
    <row r="14" spans="1:10" x14ac:dyDescent="0.25">
      <c r="A14" s="14">
        <f t="shared" si="1"/>
        <v>6</v>
      </c>
      <c r="B14" s="8">
        <v>45666</v>
      </c>
      <c r="C14" s="15" t="s">
        <v>113</v>
      </c>
      <c r="D14" s="14" t="s">
        <v>12</v>
      </c>
      <c r="E14" s="16"/>
      <c r="F14" s="17">
        <v>2</v>
      </c>
      <c r="G14" s="18">
        <f>+G13+E14-F14</f>
        <v>53</v>
      </c>
      <c r="H14" s="28" t="s">
        <v>92</v>
      </c>
      <c r="I14" s="7" t="s">
        <v>90</v>
      </c>
      <c r="J14" s="26"/>
    </row>
    <row r="15" spans="1:10" x14ac:dyDescent="0.25">
      <c r="A15" s="14">
        <f t="shared" si="1"/>
        <v>7</v>
      </c>
      <c r="B15" s="8">
        <v>45667</v>
      </c>
      <c r="C15" s="15" t="s">
        <v>113</v>
      </c>
      <c r="D15" s="14" t="s">
        <v>12</v>
      </c>
      <c r="E15" s="16"/>
      <c r="F15" s="17">
        <v>4</v>
      </c>
      <c r="G15" s="18">
        <f t="shared" si="0"/>
        <v>49</v>
      </c>
      <c r="H15" s="28" t="s">
        <v>92</v>
      </c>
      <c r="I15" s="7" t="s">
        <v>90</v>
      </c>
    </row>
    <row r="16" spans="1:10" x14ac:dyDescent="0.25">
      <c r="A16" s="14">
        <f t="shared" si="1"/>
        <v>8</v>
      </c>
      <c r="B16" s="8">
        <v>45670</v>
      </c>
      <c r="C16" s="15" t="s">
        <v>113</v>
      </c>
      <c r="D16" s="14" t="s">
        <v>12</v>
      </c>
      <c r="E16" s="16"/>
      <c r="F16" s="17">
        <v>3</v>
      </c>
      <c r="G16" s="18">
        <f t="shared" si="0"/>
        <v>46</v>
      </c>
      <c r="H16" s="28" t="s">
        <v>153</v>
      </c>
      <c r="I16" s="7" t="s">
        <v>90</v>
      </c>
    </row>
    <row r="17" spans="1:9" x14ac:dyDescent="0.25">
      <c r="A17" s="14">
        <f t="shared" si="1"/>
        <v>9</v>
      </c>
      <c r="B17" s="8">
        <v>45671</v>
      </c>
      <c r="C17" s="15" t="s">
        <v>113</v>
      </c>
      <c r="D17" s="14" t="s">
        <v>12</v>
      </c>
      <c r="E17" s="16"/>
      <c r="F17" s="17">
        <v>1</v>
      </c>
      <c r="G17" s="18">
        <f t="shared" si="0"/>
        <v>45</v>
      </c>
      <c r="H17" s="28" t="s">
        <v>153</v>
      </c>
      <c r="I17" s="7" t="s">
        <v>90</v>
      </c>
    </row>
    <row r="18" spans="1:9" x14ac:dyDescent="0.25">
      <c r="A18" s="14">
        <f t="shared" si="1"/>
        <v>10</v>
      </c>
      <c r="B18" s="8">
        <v>45673</v>
      </c>
      <c r="C18" s="15" t="s">
        <v>113</v>
      </c>
      <c r="D18" s="14" t="s">
        <v>12</v>
      </c>
      <c r="E18" s="16"/>
      <c r="F18" s="17">
        <v>1</v>
      </c>
      <c r="G18" s="18">
        <f t="shared" si="0"/>
        <v>44</v>
      </c>
      <c r="H18" s="28" t="s">
        <v>153</v>
      </c>
      <c r="I18" s="7" t="s">
        <v>90</v>
      </c>
    </row>
    <row r="19" spans="1:9" x14ac:dyDescent="0.25">
      <c r="A19" s="14">
        <f t="shared" si="1"/>
        <v>11</v>
      </c>
      <c r="B19" s="8">
        <v>45678</v>
      </c>
      <c r="C19" s="15" t="s">
        <v>113</v>
      </c>
      <c r="D19" s="14" t="s">
        <v>12</v>
      </c>
      <c r="E19" s="16"/>
      <c r="F19" s="17">
        <v>2</v>
      </c>
      <c r="G19" s="18">
        <f t="shared" si="0"/>
        <v>42</v>
      </c>
      <c r="H19" s="28" t="s">
        <v>153</v>
      </c>
      <c r="I19" s="7" t="s">
        <v>90</v>
      </c>
    </row>
    <row r="20" spans="1:9" x14ac:dyDescent="0.25">
      <c r="A20" s="14">
        <f t="shared" si="1"/>
        <v>12</v>
      </c>
      <c r="B20" s="8">
        <v>45679</v>
      </c>
      <c r="C20" s="15" t="s">
        <v>113</v>
      </c>
      <c r="D20" s="14" t="s">
        <v>12</v>
      </c>
      <c r="E20" s="16"/>
      <c r="F20" s="17">
        <v>3</v>
      </c>
      <c r="G20" s="18">
        <f t="shared" si="0"/>
        <v>39</v>
      </c>
      <c r="H20" s="28" t="s">
        <v>153</v>
      </c>
      <c r="I20" s="7" t="s">
        <v>90</v>
      </c>
    </row>
    <row r="21" spans="1:9" x14ac:dyDescent="0.25">
      <c r="A21" s="14">
        <f t="shared" si="1"/>
        <v>13</v>
      </c>
      <c r="B21" s="8">
        <v>45680</v>
      </c>
      <c r="C21" s="15" t="s">
        <v>113</v>
      </c>
      <c r="D21" s="14" t="s">
        <v>12</v>
      </c>
      <c r="E21" s="16"/>
      <c r="F21" s="17">
        <v>4</v>
      </c>
      <c r="G21" s="18">
        <f>+G20+E21-F21</f>
        <v>35</v>
      </c>
      <c r="H21" s="28" t="s">
        <v>153</v>
      </c>
      <c r="I21" s="7" t="s">
        <v>90</v>
      </c>
    </row>
    <row r="22" spans="1:9" x14ac:dyDescent="0.25">
      <c r="A22" s="14">
        <f t="shared" si="1"/>
        <v>14</v>
      </c>
      <c r="B22" s="8">
        <v>45681</v>
      </c>
      <c r="C22" s="15" t="s">
        <v>113</v>
      </c>
      <c r="D22" s="14" t="s">
        <v>12</v>
      </c>
      <c r="E22" s="16"/>
      <c r="F22" s="17">
        <v>5</v>
      </c>
      <c r="G22" s="18">
        <f>+G21+E22-F22</f>
        <v>30</v>
      </c>
      <c r="H22" s="28" t="s">
        <v>153</v>
      </c>
      <c r="I22" s="7" t="s">
        <v>90</v>
      </c>
    </row>
    <row r="23" spans="1:9" x14ac:dyDescent="0.25">
      <c r="A23" s="14">
        <f t="shared" si="1"/>
        <v>15</v>
      </c>
      <c r="B23" s="8">
        <v>45695</v>
      </c>
      <c r="C23" s="15" t="s">
        <v>113</v>
      </c>
      <c r="D23" s="14" t="s">
        <v>12</v>
      </c>
      <c r="E23" s="32"/>
      <c r="F23" s="17">
        <v>3</v>
      </c>
      <c r="G23" s="18">
        <f>+G22+E23-F23</f>
        <v>27</v>
      </c>
      <c r="H23" s="28" t="s">
        <v>153</v>
      </c>
      <c r="I23" s="7" t="s">
        <v>90</v>
      </c>
    </row>
    <row r="24" spans="1:9" x14ac:dyDescent="0.25">
      <c r="A24" s="14">
        <f t="shared" si="1"/>
        <v>16</v>
      </c>
      <c r="B24" s="8">
        <v>45696</v>
      </c>
      <c r="C24" s="15" t="s">
        <v>113</v>
      </c>
      <c r="D24" s="14" t="s">
        <v>12</v>
      </c>
      <c r="E24" s="32"/>
      <c r="F24" s="17">
        <v>4</v>
      </c>
      <c r="G24" s="18">
        <f>+G23+E24-F24</f>
        <v>23</v>
      </c>
      <c r="H24" s="28" t="s">
        <v>153</v>
      </c>
      <c r="I24" s="7" t="s">
        <v>90</v>
      </c>
    </row>
    <row r="25" spans="1:9" x14ac:dyDescent="0.25">
      <c r="A25" s="14">
        <f t="shared" si="1"/>
        <v>17</v>
      </c>
      <c r="B25" s="8">
        <v>45698</v>
      </c>
      <c r="C25" s="15" t="s">
        <v>113</v>
      </c>
      <c r="D25" s="14" t="s">
        <v>12</v>
      </c>
      <c r="E25" s="32"/>
      <c r="F25" s="17">
        <v>5</v>
      </c>
      <c r="G25" s="18">
        <f>+G24+E25-F25</f>
        <v>18</v>
      </c>
      <c r="H25" s="28" t="s">
        <v>153</v>
      </c>
      <c r="I25" s="7" t="s">
        <v>90</v>
      </c>
    </row>
    <row r="26" spans="1:9" x14ac:dyDescent="0.25">
      <c r="A26" s="14">
        <f t="shared" si="1"/>
        <v>18</v>
      </c>
      <c r="B26" s="197">
        <v>45699</v>
      </c>
      <c r="C26" s="15" t="s">
        <v>113</v>
      </c>
      <c r="D26" s="14" t="s">
        <v>12</v>
      </c>
      <c r="E26" s="32"/>
      <c r="F26" s="27">
        <v>4</v>
      </c>
      <c r="G26" s="18">
        <f t="shared" si="0"/>
        <v>14</v>
      </c>
      <c r="H26" s="28" t="s">
        <v>153</v>
      </c>
      <c r="I26" s="7" t="s">
        <v>90</v>
      </c>
    </row>
    <row r="27" spans="1:9" x14ac:dyDescent="0.25">
      <c r="A27" s="14">
        <f t="shared" si="1"/>
        <v>19</v>
      </c>
      <c r="B27" s="8">
        <v>45701</v>
      </c>
      <c r="C27" s="15" t="s">
        <v>113</v>
      </c>
      <c r="D27" s="14" t="s">
        <v>12</v>
      </c>
      <c r="E27" s="32"/>
      <c r="F27" s="27">
        <v>5</v>
      </c>
      <c r="G27" s="18">
        <f t="shared" si="0"/>
        <v>9</v>
      </c>
      <c r="H27" s="28" t="s">
        <v>153</v>
      </c>
      <c r="I27" s="7" t="s">
        <v>90</v>
      </c>
    </row>
    <row r="28" spans="1:9" x14ac:dyDescent="0.25">
      <c r="A28" s="14">
        <f t="shared" si="1"/>
        <v>20</v>
      </c>
      <c r="B28" s="8">
        <v>45702</v>
      </c>
      <c r="C28" s="15" t="s">
        <v>113</v>
      </c>
      <c r="D28" s="14" t="s">
        <v>12</v>
      </c>
      <c r="E28" s="32"/>
      <c r="F28" s="27">
        <v>5</v>
      </c>
      <c r="G28" s="18">
        <f t="shared" si="0"/>
        <v>4</v>
      </c>
      <c r="H28" s="28" t="s">
        <v>153</v>
      </c>
      <c r="I28" s="7" t="s">
        <v>90</v>
      </c>
    </row>
    <row r="29" spans="1:9" x14ac:dyDescent="0.25">
      <c r="A29" s="14">
        <f t="shared" si="1"/>
        <v>21</v>
      </c>
      <c r="B29" s="8">
        <v>45703</v>
      </c>
      <c r="C29" s="15" t="s">
        <v>113</v>
      </c>
      <c r="D29" s="14" t="s">
        <v>12</v>
      </c>
      <c r="E29" s="32"/>
      <c r="F29" s="27">
        <v>4</v>
      </c>
      <c r="G29" s="18">
        <f t="shared" si="0"/>
        <v>0</v>
      </c>
      <c r="H29" s="28" t="s">
        <v>153</v>
      </c>
      <c r="I29" s="7" t="s">
        <v>90</v>
      </c>
    </row>
    <row r="30" spans="1:9" x14ac:dyDescent="0.25">
      <c r="A30" s="14">
        <f t="shared" si="1"/>
        <v>22</v>
      </c>
      <c r="B30" s="8">
        <v>45705</v>
      </c>
      <c r="C30" s="15" t="s">
        <v>113</v>
      </c>
      <c r="D30" s="14" t="s">
        <v>12</v>
      </c>
      <c r="E30" s="32"/>
      <c r="F30" s="27">
        <v>2</v>
      </c>
      <c r="G30" s="18">
        <f t="shared" si="0"/>
        <v>-2</v>
      </c>
      <c r="H30" s="28" t="s">
        <v>153</v>
      </c>
      <c r="I30" s="7" t="s">
        <v>90</v>
      </c>
    </row>
    <row r="31" spans="1:9" x14ac:dyDescent="0.25">
      <c r="A31" s="14">
        <f t="shared" si="1"/>
        <v>23</v>
      </c>
      <c r="B31" s="8">
        <v>45708</v>
      </c>
      <c r="C31" s="15" t="s">
        <v>113</v>
      </c>
      <c r="D31" s="14" t="s">
        <v>12</v>
      </c>
      <c r="E31" s="32"/>
      <c r="F31" s="27">
        <v>3</v>
      </c>
      <c r="G31" s="18">
        <f t="shared" si="0"/>
        <v>-5</v>
      </c>
      <c r="H31" s="28" t="s">
        <v>153</v>
      </c>
      <c r="I31" s="7" t="s">
        <v>90</v>
      </c>
    </row>
    <row r="32" spans="1:9" x14ac:dyDescent="0.25">
      <c r="A32" s="14">
        <f t="shared" si="1"/>
        <v>24</v>
      </c>
      <c r="B32" s="8">
        <v>45709</v>
      </c>
      <c r="C32" s="15" t="s">
        <v>113</v>
      </c>
      <c r="D32" s="14" t="s">
        <v>12</v>
      </c>
      <c r="E32" s="32"/>
      <c r="F32" s="27">
        <v>4</v>
      </c>
      <c r="G32" s="18">
        <f t="shared" si="0"/>
        <v>-9</v>
      </c>
      <c r="H32" s="28" t="s">
        <v>153</v>
      </c>
      <c r="I32" s="7" t="s">
        <v>90</v>
      </c>
    </row>
    <row r="33" spans="1:17" ht="18" customHeight="1" x14ac:dyDescent="0.25">
      <c r="A33" s="14">
        <f t="shared" si="1"/>
        <v>25</v>
      </c>
      <c r="B33" s="8">
        <v>45710</v>
      </c>
      <c r="C33" s="15" t="s">
        <v>113</v>
      </c>
      <c r="D33" s="14" t="s">
        <v>12</v>
      </c>
      <c r="E33" s="32"/>
      <c r="F33" s="27">
        <v>6</v>
      </c>
      <c r="G33" s="18">
        <f t="shared" si="0"/>
        <v>-15</v>
      </c>
      <c r="H33" s="28" t="s">
        <v>153</v>
      </c>
      <c r="I33" s="7" t="s">
        <v>90</v>
      </c>
    </row>
    <row r="34" spans="1:17" ht="18" customHeight="1" x14ac:dyDescent="0.25">
      <c r="A34" s="14">
        <f t="shared" si="1"/>
        <v>26</v>
      </c>
      <c r="B34" s="8">
        <v>45712</v>
      </c>
      <c r="C34" s="15" t="s">
        <v>113</v>
      </c>
      <c r="D34" s="14" t="s">
        <v>12</v>
      </c>
      <c r="E34" s="32"/>
      <c r="F34" s="27">
        <v>5</v>
      </c>
      <c r="G34" s="18">
        <f t="shared" si="0"/>
        <v>-20</v>
      </c>
      <c r="H34" s="28" t="s">
        <v>153</v>
      </c>
      <c r="I34" s="7" t="s">
        <v>90</v>
      </c>
    </row>
    <row r="35" spans="1:17" ht="18" customHeight="1" x14ac:dyDescent="0.25">
      <c r="A35" s="14">
        <f t="shared" si="1"/>
        <v>27</v>
      </c>
      <c r="B35" s="8">
        <v>45724</v>
      </c>
      <c r="C35" s="15" t="s">
        <v>113</v>
      </c>
      <c r="D35" s="14" t="s">
        <v>12</v>
      </c>
      <c r="E35" s="32"/>
      <c r="F35" s="27"/>
      <c r="G35" s="18">
        <f t="shared" si="0"/>
        <v>-20</v>
      </c>
      <c r="H35" s="28" t="s">
        <v>372</v>
      </c>
      <c r="I35" s="7" t="s">
        <v>90</v>
      </c>
    </row>
    <row r="36" spans="1:17" ht="18" customHeight="1" x14ac:dyDescent="0.25">
      <c r="A36" s="14">
        <f t="shared" si="1"/>
        <v>28</v>
      </c>
      <c r="B36" s="8">
        <v>45724</v>
      </c>
      <c r="C36" s="15" t="s">
        <v>113</v>
      </c>
      <c r="D36" s="14" t="s">
        <v>12</v>
      </c>
      <c r="E36" s="32">
        <v>920</v>
      </c>
      <c r="F36" s="27"/>
      <c r="G36" s="18">
        <f t="shared" si="0"/>
        <v>900</v>
      </c>
      <c r="H36" s="28" t="s">
        <v>153</v>
      </c>
      <c r="I36" s="7" t="s">
        <v>90</v>
      </c>
    </row>
    <row r="37" spans="1:17" ht="18" customHeight="1" x14ac:dyDescent="0.25">
      <c r="A37" s="14">
        <f t="shared" si="1"/>
        <v>29</v>
      </c>
      <c r="B37" s="8">
        <v>45726</v>
      </c>
      <c r="C37" s="15" t="s">
        <v>113</v>
      </c>
      <c r="D37" s="14" t="s">
        <v>12</v>
      </c>
      <c r="E37" s="32"/>
      <c r="F37" s="27">
        <v>5</v>
      </c>
      <c r="G37" s="18">
        <f t="shared" si="0"/>
        <v>895</v>
      </c>
      <c r="H37" s="28" t="s">
        <v>153</v>
      </c>
      <c r="I37" s="7" t="s">
        <v>90</v>
      </c>
      <c r="J37" t="s">
        <v>373</v>
      </c>
    </row>
    <row r="38" spans="1:17" ht="18" customHeight="1" x14ac:dyDescent="0.25">
      <c r="A38" s="14">
        <f t="shared" si="1"/>
        <v>30</v>
      </c>
      <c r="B38" s="8">
        <v>45727</v>
      </c>
      <c r="C38" s="15" t="s">
        <v>113</v>
      </c>
      <c r="D38" s="14" t="s">
        <v>12</v>
      </c>
      <c r="E38" s="32"/>
      <c r="F38" s="27">
        <v>4</v>
      </c>
      <c r="G38" s="18">
        <f t="shared" si="0"/>
        <v>891</v>
      </c>
      <c r="H38" s="28" t="s">
        <v>153</v>
      </c>
      <c r="I38" s="7" t="s">
        <v>90</v>
      </c>
    </row>
    <row r="39" spans="1:17" ht="18" customHeight="1" x14ac:dyDescent="0.25">
      <c r="A39" s="14">
        <f t="shared" si="1"/>
        <v>31</v>
      </c>
      <c r="B39" s="8">
        <v>45728</v>
      </c>
      <c r="C39" s="15" t="s">
        <v>113</v>
      </c>
      <c r="D39" s="14" t="s">
        <v>12</v>
      </c>
      <c r="E39" s="32"/>
      <c r="F39" s="27">
        <v>1</v>
      </c>
      <c r="G39" s="18">
        <f t="shared" si="0"/>
        <v>890</v>
      </c>
      <c r="H39" s="28" t="s">
        <v>92</v>
      </c>
      <c r="I39" s="7" t="s">
        <v>90</v>
      </c>
    </row>
    <row r="40" spans="1:17" ht="18" customHeight="1" x14ac:dyDescent="0.25">
      <c r="A40" s="14">
        <f t="shared" si="1"/>
        <v>32</v>
      </c>
      <c r="B40" s="8">
        <v>45733</v>
      </c>
      <c r="C40" s="15" t="s">
        <v>113</v>
      </c>
      <c r="D40" s="14" t="s">
        <v>12</v>
      </c>
      <c r="E40" s="32"/>
      <c r="F40" s="27">
        <v>11</v>
      </c>
      <c r="G40" s="18">
        <f t="shared" si="0"/>
        <v>879</v>
      </c>
      <c r="H40" s="28" t="s">
        <v>92</v>
      </c>
      <c r="I40" s="7" t="s">
        <v>90</v>
      </c>
    </row>
    <row r="41" spans="1:17" ht="18" customHeight="1" x14ac:dyDescent="0.25">
      <c r="A41" s="14">
        <f t="shared" si="1"/>
        <v>33</v>
      </c>
      <c r="B41" s="8">
        <v>45735</v>
      </c>
      <c r="C41" s="15" t="s">
        <v>113</v>
      </c>
      <c r="D41" s="14" t="s">
        <v>12</v>
      </c>
      <c r="E41" s="32"/>
      <c r="F41" s="27">
        <v>3</v>
      </c>
      <c r="G41" s="18">
        <f t="shared" si="0"/>
        <v>876</v>
      </c>
      <c r="H41" s="28" t="s">
        <v>92</v>
      </c>
      <c r="I41" s="7" t="s">
        <v>90</v>
      </c>
    </row>
    <row r="42" spans="1:17" ht="18" customHeight="1" x14ac:dyDescent="0.25">
      <c r="A42" s="14">
        <f t="shared" si="1"/>
        <v>34</v>
      </c>
      <c r="B42" s="8">
        <v>45741</v>
      </c>
      <c r="C42" s="15" t="s">
        <v>113</v>
      </c>
      <c r="D42" s="14" t="s">
        <v>12</v>
      </c>
      <c r="E42" s="32"/>
      <c r="F42" s="27">
        <v>7</v>
      </c>
      <c r="G42" s="18">
        <f t="shared" si="0"/>
        <v>869</v>
      </c>
      <c r="H42" s="28" t="s">
        <v>92</v>
      </c>
      <c r="I42" s="7" t="s">
        <v>90</v>
      </c>
    </row>
    <row r="43" spans="1:17" ht="18" customHeight="1" x14ac:dyDescent="0.25">
      <c r="A43" s="14">
        <f t="shared" si="1"/>
        <v>35</v>
      </c>
      <c r="B43" s="8">
        <v>45742</v>
      </c>
      <c r="C43" s="15" t="s">
        <v>113</v>
      </c>
      <c r="D43" s="14" t="s">
        <v>12</v>
      </c>
      <c r="E43" s="32"/>
      <c r="F43" s="27">
        <v>8</v>
      </c>
      <c r="G43" s="18">
        <f t="shared" si="0"/>
        <v>861</v>
      </c>
      <c r="H43" s="28" t="s">
        <v>92</v>
      </c>
      <c r="I43" s="7" t="s">
        <v>90</v>
      </c>
    </row>
    <row r="44" spans="1:17" ht="18" customHeight="1" x14ac:dyDescent="0.25">
      <c r="A44" s="14">
        <f t="shared" si="1"/>
        <v>36</v>
      </c>
      <c r="B44" s="8">
        <v>45743</v>
      </c>
      <c r="C44" s="15" t="s">
        <v>113</v>
      </c>
      <c r="D44" s="14" t="s">
        <v>12</v>
      </c>
      <c r="E44" s="32"/>
      <c r="F44" s="27">
        <v>7</v>
      </c>
      <c r="G44" s="18">
        <f t="shared" si="0"/>
        <v>854</v>
      </c>
      <c r="H44" s="28" t="s">
        <v>92</v>
      </c>
      <c r="I44" s="7" t="s">
        <v>90</v>
      </c>
    </row>
    <row r="45" spans="1:17" ht="18" customHeight="1" x14ac:dyDescent="0.25">
      <c r="A45" s="14">
        <f t="shared" si="1"/>
        <v>37</v>
      </c>
      <c r="B45" s="8">
        <v>45744</v>
      </c>
      <c r="C45" s="15" t="s">
        <v>113</v>
      </c>
      <c r="D45" s="14" t="s">
        <v>12</v>
      </c>
      <c r="E45" s="32"/>
      <c r="F45" s="27">
        <v>21</v>
      </c>
      <c r="G45" s="18">
        <f t="shared" si="0"/>
        <v>833</v>
      </c>
      <c r="H45" s="28" t="s">
        <v>92</v>
      </c>
      <c r="I45" s="7" t="s">
        <v>90</v>
      </c>
      <c r="L45" s="199"/>
      <c r="Q45" s="199"/>
    </row>
    <row r="46" spans="1:17" ht="18" customHeight="1" x14ac:dyDescent="0.25">
      <c r="A46" s="14">
        <f t="shared" si="1"/>
        <v>38</v>
      </c>
      <c r="B46" s="8">
        <v>45747</v>
      </c>
      <c r="C46" s="15" t="s">
        <v>113</v>
      </c>
      <c r="D46" s="14" t="s">
        <v>12</v>
      </c>
      <c r="E46" s="32"/>
      <c r="F46" s="27">
        <v>7</v>
      </c>
      <c r="G46" s="18">
        <f t="shared" si="0"/>
        <v>826</v>
      </c>
      <c r="H46" s="28" t="s">
        <v>92</v>
      </c>
      <c r="I46" s="7" t="s">
        <v>90</v>
      </c>
      <c r="L46" s="199"/>
      <c r="Q46" s="199"/>
    </row>
    <row r="47" spans="1:17" ht="18" customHeight="1" x14ac:dyDescent="0.25">
      <c r="A47" s="14">
        <f t="shared" si="1"/>
        <v>39</v>
      </c>
      <c r="B47" s="8">
        <v>45748</v>
      </c>
      <c r="C47" s="15" t="s">
        <v>113</v>
      </c>
      <c r="D47" s="14" t="s">
        <v>12</v>
      </c>
      <c r="E47" s="32"/>
      <c r="F47" s="27">
        <v>7</v>
      </c>
      <c r="G47" s="18">
        <f t="shared" si="0"/>
        <v>819</v>
      </c>
      <c r="H47" s="28" t="s">
        <v>92</v>
      </c>
      <c r="I47" s="7" t="s">
        <v>90</v>
      </c>
      <c r="L47" s="199"/>
      <c r="Q47" s="199"/>
    </row>
    <row r="48" spans="1:17" ht="18" customHeight="1" x14ac:dyDescent="0.25">
      <c r="A48" s="14">
        <f t="shared" si="1"/>
        <v>40</v>
      </c>
      <c r="B48" s="8">
        <v>45749</v>
      </c>
      <c r="C48" s="15" t="s">
        <v>113</v>
      </c>
      <c r="D48" s="14" t="s">
        <v>12</v>
      </c>
      <c r="E48" s="32"/>
      <c r="F48" s="27">
        <v>6</v>
      </c>
      <c r="G48" s="18">
        <f t="shared" si="0"/>
        <v>813</v>
      </c>
      <c r="H48" s="28" t="s">
        <v>92</v>
      </c>
      <c r="I48" s="7" t="s">
        <v>90</v>
      </c>
      <c r="L48" s="199"/>
      <c r="Q48" s="199"/>
    </row>
    <row r="49" spans="1:17" ht="18" customHeight="1" x14ac:dyDescent="0.25">
      <c r="A49" s="14">
        <f t="shared" si="1"/>
        <v>41</v>
      </c>
      <c r="B49" s="8">
        <v>45750</v>
      </c>
      <c r="C49" s="15" t="s">
        <v>113</v>
      </c>
      <c r="D49" s="14" t="s">
        <v>12</v>
      </c>
      <c r="E49" s="32"/>
      <c r="F49" s="27">
        <v>5</v>
      </c>
      <c r="G49" s="18">
        <f t="shared" si="0"/>
        <v>808</v>
      </c>
      <c r="H49" s="28" t="s">
        <v>92</v>
      </c>
      <c r="I49" s="7" t="s">
        <v>90</v>
      </c>
      <c r="L49" s="199"/>
      <c r="Q49" s="199"/>
    </row>
    <row r="50" spans="1:17" ht="18" customHeight="1" x14ac:dyDescent="0.25">
      <c r="A50" s="14">
        <f t="shared" si="1"/>
        <v>42</v>
      </c>
      <c r="B50" s="8">
        <v>45751</v>
      </c>
      <c r="C50" s="15" t="s">
        <v>113</v>
      </c>
      <c r="D50" s="10"/>
      <c r="E50" s="32"/>
      <c r="F50" s="27">
        <v>3</v>
      </c>
      <c r="G50" s="18">
        <f t="shared" si="0"/>
        <v>805</v>
      </c>
      <c r="H50" s="28" t="s">
        <v>92</v>
      </c>
      <c r="I50" s="7" t="s">
        <v>90</v>
      </c>
      <c r="L50" s="199"/>
      <c r="Q50" s="199"/>
    </row>
    <row r="51" spans="1:17" ht="18" customHeight="1" x14ac:dyDescent="0.25">
      <c r="A51" s="14">
        <f t="shared" si="1"/>
        <v>43</v>
      </c>
      <c r="B51" s="8">
        <v>45752</v>
      </c>
      <c r="C51" s="15" t="s">
        <v>113</v>
      </c>
      <c r="D51" s="10"/>
      <c r="E51" s="32"/>
      <c r="F51" s="27">
        <v>12</v>
      </c>
      <c r="G51" s="18">
        <f t="shared" si="0"/>
        <v>793</v>
      </c>
      <c r="H51" s="28" t="s">
        <v>92</v>
      </c>
      <c r="I51" s="7" t="s">
        <v>90</v>
      </c>
      <c r="L51" s="199"/>
      <c r="Q51" s="199"/>
    </row>
    <row r="52" spans="1:17" ht="18" customHeight="1" x14ac:dyDescent="0.25">
      <c r="A52" s="14">
        <f t="shared" si="1"/>
        <v>44</v>
      </c>
      <c r="B52" s="8">
        <v>45755</v>
      </c>
      <c r="C52" s="15" t="s">
        <v>113</v>
      </c>
      <c r="D52" s="10"/>
      <c r="E52" s="32"/>
      <c r="F52" s="27">
        <v>2</v>
      </c>
      <c r="G52" s="18">
        <f t="shared" si="0"/>
        <v>791</v>
      </c>
      <c r="H52" s="28" t="s">
        <v>92</v>
      </c>
      <c r="I52" s="7" t="s">
        <v>90</v>
      </c>
      <c r="L52" s="199"/>
      <c r="Q52" s="200"/>
    </row>
    <row r="53" spans="1:17" ht="18" customHeight="1" x14ac:dyDescent="0.25">
      <c r="A53" s="14">
        <f t="shared" si="1"/>
        <v>45</v>
      </c>
      <c r="B53" s="8">
        <v>45761</v>
      </c>
      <c r="C53" s="15" t="s">
        <v>113</v>
      </c>
      <c r="D53" s="10"/>
      <c r="E53" s="32"/>
      <c r="F53" s="27">
        <v>5</v>
      </c>
      <c r="G53" s="18">
        <f t="shared" si="0"/>
        <v>786</v>
      </c>
      <c r="H53" s="28" t="s">
        <v>92</v>
      </c>
      <c r="I53" s="7" t="s">
        <v>90</v>
      </c>
      <c r="L53" s="26"/>
      <c r="Q53" s="199"/>
    </row>
    <row r="54" spans="1:17" ht="18" customHeight="1" x14ac:dyDescent="0.25">
      <c r="A54" s="14">
        <f t="shared" si="1"/>
        <v>46</v>
      </c>
      <c r="B54" s="8">
        <v>45762</v>
      </c>
      <c r="C54" s="15" t="s">
        <v>113</v>
      </c>
      <c r="D54" s="10"/>
      <c r="E54" s="32"/>
      <c r="F54" s="27">
        <v>1</v>
      </c>
      <c r="G54" s="18">
        <f t="shared" si="0"/>
        <v>785</v>
      </c>
      <c r="H54" s="28" t="s">
        <v>92</v>
      </c>
      <c r="I54" s="7" t="s">
        <v>90</v>
      </c>
      <c r="L54" s="26"/>
      <c r="Q54" s="199"/>
    </row>
    <row r="55" spans="1:17" ht="18" customHeight="1" x14ac:dyDescent="0.25">
      <c r="A55" s="14">
        <f t="shared" si="1"/>
        <v>47</v>
      </c>
      <c r="B55" s="8">
        <v>45763</v>
      </c>
      <c r="C55" s="15" t="s">
        <v>113</v>
      </c>
      <c r="D55" s="10"/>
      <c r="E55" s="32"/>
      <c r="F55" s="27">
        <v>2</v>
      </c>
      <c r="G55" s="18">
        <f t="shared" si="0"/>
        <v>783</v>
      </c>
      <c r="H55" s="28" t="s">
        <v>92</v>
      </c>
      <c r="I55" s="7" t="s">
        <v>90</v>
      </c>
      <c r="L55" s="26"/>
      <c r="Q55" s="199"/>
    </row>
    <row r="56" spans="1:17" ht="18" customHeight="1" x14ac:dyDescent="0.25">
      <c r="A56" s="14">
        <f t="shared" si="1"/>
        <v>48</v>
      </c>
      <c r="B56" s="8">
        <v>45765</v>
      </c>
      <c r="C56" s="15" t="s">
        <v>113</v>
      </c>
      <c r="D56" s="10"/>
      <c r="E56" s="32"/>
      <c r="F56" s="27">
        <v>7</v>
      </c>
      <c r="G56" s="18">
        <f t="shared" si="0"/>
        <v>776</v>
      </c>
      <c r="H56" s="28" t="s">
        <v>92</v>
      </c>
      <c r="I56" s="7"/>
      <c r="L56" s="26"/>
      <c r="Q56" s="199"/>
    </row>
    <row r="57" spans="1:17" ht="18" customHeight="1" x14ac:dyDescent="0.25">
      <c r="A57" s="14">
        <f t="shared" si="1"/>
        <v>49</v>
      </c>
      <c r="B57" s="8">
        <v>45766</v>
      </c>
      <c r="C57" s="15" t="s">
        <v>113</v>
      </c>
      <c r="D57" s="10"/>
      <c r="E57" s="32"/>
      <c r="F57" s="27">
        <v>4</v>
      </c>
      <c r="G57" s="18">
        <f t="shared" si="0"/>
        <v>772</v>
      </c>
      <c r="H57" s="28" t="s">
        <v>92</v>
      </c>
      <c r="I57" s="7"/>
      <c r="L57" s="26"/>
      <c r="Q57" s="199"/>
    </row>
    <row r="58" spans="1:17" ht="18" customHeight="1" x14ac:dyDescent="0.25">
      <c r="A58" s="14">
        <f t="shared" si="1"/>
        <v>50</v>
      </c>
      <c r="B58" s="8">
        <v>45768</v>
      </c>
      <c r="C58" s="15" t="s">
        <v>113</v>
      </c>
      <c r="D58" s="10"/>
      <c r="E58" s="32"/>
      <c r="F58" s="27">
        <v>7</v>
      </c>
      <c r="G58" s="18">
        <f t="shared" si="0"/>
        <v>765</v>
      </c>
      <c r="H58" s="28" t="s">
        <v>92</v>
      </c>
      <c r="I58" s="7" t="s">
        <v>90</v>
      </c>
      <c r="L58" s="26"/>
      <c r="Q58" s="199"/>
    </row>
    <row r="59" spans="1:17" ht="18" customHeight="1" x14ac:dyDescent="0.25">
      <c r="A59" s="14">
        <f t="shared" si="1"/>
        <v>51</v>
      </c>
      <c r="B59" s="299">
        <v>45769</v>
      </c>
      <c r="C59" s="15" t="s">
        <v>113</v>
      </c>
      <c r="D59" s="10"/>
      <c r="E59" s="32"/>
      <c r="F59" s="27">
        <v>7</v>
      </c>
      <c r="G59" s="18">
        <f t="shared" si="0"/>
        <v>758</v>
      </c>
      <c r="H59" s="28" t="s">
        <v>92</v>
      </c>
      <c r="I59" s="7" t="s">
        <v>90</v>
      </c>
      <c r="L59" s="26"/>
      <c r="Q59" s="199"/>
    </row>
    <row r="60" spans="1:17" ht="18" customHeight="1" x14ac:dyDescent="0.25">
      <c r="A60" s="14">
        <f t="shared" si="1"/>
        <v>52</v>
      </c>
      <c r="B60" s="8">
        <v>45770</v>
      </c>
      <c r="C60" s="15" t="s">
        <v>113</v>
      </c>
      <c r="D60" s="10"/>
      <c r="E60" s="32"/>
      <c r="F60" s="27">
        <v>8</v>
      </c>
      <c r="G60" s="18">
        <f t="shared" si="0"/>
        <v>750</v>
      </c>
      <c r="H60" s="28" t="s">
        <v>92</v>
      </c>
      <c r="I60" s="7" t="s">
        <v>90</v>
      </c>
      <c r="L60" s="26"/>
      <c r="Q60" s="199"/>
    </row>
    <row r="61" spans="1:17" ht="18" customHeight="1" x14ac:dyDescent="0.25">
      <c r="A61" s="14">
        <f t="shared" si="1"/>
        <v>53</v>
      </c>
      <c r="B61" s="8">
        <v>45771</v>
      </c>
      <c r="C61" s="15" t="s">
        <v>113</v>
      </c>
      <c r="D61" s="10"/>
      <c r="E61" s="32"/>
      <c r="F61" s="342">
        <v>7</v>
      </c>
      <c r="G61" s="18">
        <f t="shared" si="0"/>
        <v>743</v>
      </c>
      <c r="H61" s="28" t="s">
        <v>92</v>
      </c>
      <c r="I61" s="7" t="s">
        <v>90</v>
      </c>
      <c r="L61" s="26"/>
      <c r="Q61" s="199"/>
    </row>
    <row r="62" spans="1:17" ht="18" customHeight="1" x14ac:dyDescent="0.25">
      <c r="A62" s="14">
        <f t="shared" si="1"/>
        <v>54</v>
      </c>
      <c r="B62" s="8">
        <v>45772</v>
      </c>
      <c r="C62" s="15" t="s">
        <v>113</v>
      </c>
      <c r="D62" s="10"/>
      <c r="E62" s="32"/>
      <c r="F62" s="27">
        <v>5</v>
      </c>
      <c r="G62" s="18">
        <f t="shared" si="0"/>
        <v>738</v>
      </c>
      <c r="H62" s="28" t="s">
        <v>92</v>
      </c>
      <c r="I62" s="7" t="s">
        <v>90</v>
      </c>
      <c r="L62" s="26"/>
      <c r="Q62" s="199"/>
    </row>
    <row r="63" spans="1:17" ht="18" customHeight="1" x14ac:dyDescent="0.25">
      <c r="A63" s="14">
        <f t="shared" si="1"/>
        <v>55</v>
      </c>
      <c r="B63" s="8">
        <v>45773</v>
      </c>
      <c r="C63" s="15" t="s">
        <v>113</v>
      </c>
      <c r="D63" s="10"/>
      <c r="E63" s="32"/>
      <c r="F63" s="27">
        <v>6</v>
      </c>
      <c r="G63" s="18">
        <f t="shared" si="0"/>
        <v>732</v>
      </c>
      <c r="H63" s="28" t="s">
        <v>92</v>
      </c>
      <c r="I63" s="7" t="s">
        <v>90</v>
      </c>
      <c r="L63" s="26"/>
      <c r="Q63" s="199"/>
    </row>
    <row r="64" spans="1:17" ht="18" customHeight="1" x14ac:dyDescent="0.25">
      <c r="A64" s="14">
        <f t="shared" si="1"/>
        <v>56</v>
      </c>
      <c r="B64" s="8">
        <v>45774</v>
      </c>
      <c r="C64" s="15" t="s">
        <v>113</v>
      </c>
      <c r="D64" s="10"/>
      <c r="E64" s="32"/>
      <c r="F64" s="27">
        <v>10</v>
      </c>
      <c r="G64" s="18">
        <f t="shared" si="0"/>
        <v>722</v>
      </c>
      <c r="H64" s="28" t="s">
        <v>92</v>
      </c>
      <c r="I64" s="7" t="s">
        <v>90</v>
      </c>
      <c r="L64" s="26"/>
      <c r="Q64" s="199"/>
    </row>
    <row r="65" spans="1:17" ht="18" customHeight="1" x14ac:dyDescent="0.25">
      <c r="A65" s="14">
        <f t="shared" si="1"/>
        <v>57</v>
      </c>
      <c r="B65" s="8">
        <v>45775</v>
      </c>
      <c r="C65" s="15" t="s">
        <v>113</v>
      </c>
      <c r="D65" s="10"/>
      <c r="E65" s="32"/>
      <c r="F65" s="27">
        <v>9</v>
      </c>
      <c r="G65" s="18">
        <f t="shared" si="0"/>
        <v>713</v>
      </c>
      <c r="H65" s="28" t="s">
        <v>92</v>
      </c>
      <c r="I65" s="7" t="s">
        <v>90</v>
      </c>
      <c r="L65" s="26"/>
      <c r="Q65" s="199"/>
    </row>
    <row r="66" spans="1:17" ht="18" customHeight="1" x14ac:dyDescent="0.25">
      <c r="A66" s="14">
        <f t="shared" si="1"/>
        <v>58</v>
      </c>
      <c r="B66" s="8">
        <v>45776</v>
      </c>
      <c r="C66" s="15" t="s">
        <v>113</v>
      </c>
      <c r="D66" s="10"/>
      <c r="E66" s="32"/>
      <c r="F66" s="27">
        <v>17</v>
      </c>
      <c r="G66" s="18">
        <f t="shared" si="0"/>
        <v>696</v>
      </c>
      <c r="H66" s="28" t="s">
        <v>92</v>
      </c>
      <c r="I66" s="7" t="s">
        <v>90</v>
      </c>
      <c r="L66" s="26"/>
      <c r="Q66" s="199"/>
    </row>
    <row r="67" spans="1:17" ht="18" customHeight="1" x14ac:dyDescent="0.25">
      <c r="A67" s="14">
        <f t="shared" si="1"/>
        <v>59</v>
      </c>
      <c r="B67" s="8">
        <v>45782</v>
      </c>
      <c r="C67" s="15" t="s">
        <v>113</v>
      </c>
      <c r="D67" s="10"/>
      <c r="E67" s="32"/>
      <c r="F67" s="27">
        <v>7</v>
      </c>
      <c r="G67" s="18">
        <f t="shared" si="0"/>
        <v>689</v>
      </c>
      <c r="H67" s="28" t="s">
        <v>92</v>
      </c>
      <c r="I67" s="7"/>
      <c r="L67" s="26"/>
      <c r="Q67" s="199"/>
    </row>
    <row r="68" spans="1:17" ht="18" customHeight="1" x14ac:dyDescent="0.25">
      <c r="A68" s="14">
        <f t="shared" si="1"/>
        <v>60</v>
      </c>
      <c r="B68" s="8">
        <v>45783</v>
      </c>
      <c r="C68" s="15" t="s">
        <v>113</v>
      </c>
      <c r="D68" s="10"/>
      <c r="E68" s="32"/>
      <c r="F68" s="27">
        <v>4</v>
      </c>
      <c r="G68" s="18">
        <f t="shared" si="0"/>
        <v>685</v>
      </c>
      <c r="H68" s="28" t="s">
        <v>92</v>
      </c>
      <c r="I68" s="7" t="s">
        <v>386</v>
      </c>
      <c r="L68" s="26"/>
      <c r="Q68" s="199"/>
    </row>
    <row r="69" spans="1:17" ht="18" customHeight="1" x14ac:dyDescent="0.25">
      <c r="A69" s="14">
        <f t="shared" si="1"/>
        <v>61</v>
      </c>
      <c r="B69" s="8">
        <v>45784</v>
      </c>
      <c r="C69" s="15" t="s">
        <v>113</v>
      </c>
      <c r="D69" s="10"/>
      <c r="E69" s="32"/>
      <c r="F69" s="27">
        <v>5</v>
      </c>
      <c r="G69" s="18">
        <f t="shared" si="0"/>
        <v>680</v>
      </c>
      <c r="H69" s="28" t="s">
        <v>92</v>
      </c>
      <c r="I69" s="7" t="s">
        <v>386</v>
      </c>
      <c r="L69" s="26"/>
      <c r="Q69" s="199"/>
    </row>
    <row r="70" spans="1:17" ht="18" customHeight="1" x14ac:dyDescent="0.25">
      <c r="A70" s="14">
        <f t="shared" si="1"/>
        <v>62</v>
      </c>
      <c r="B70" s="8">
        <v>45785</v>
      </c>
      <c r="C70" s="15" t="s">
        <v>113</v>
      </c>
      <c r="D70" s="10"/>
      <c r="E70" s="32"/>
      <c r="F70" s="27">
        <v>17</v>
      </c>
      <c r="G70" s="18">
        <f t="shared" si="0"/>
        <v>663</v>
      </c>
      <c r="H70" s="28" t="s">
        <v>92</v>
      </c>
      <c r="I70" s="7" t="s">
        <v>90</v>
      </c>
      <c r="L70" s="26"/>
      <c r="Q70" s="199"/>
    </row>
    <row r="71" spans="1:17" ht="18" customHeight="1" x14ac:dyDescent="0.25">
      <c r="A71" s="14">
        <f t="shared" si="1"/>
        <v>63</v>
      </c>
      <c r="B71" s="8">
        <v>45789</v>
      </c>
      <c r="C71" s="15" t="s">
        <v>113</v>
      </c>
      <c r="D71" s="10"/>
      <c r="E71" s="32"/>
      <c r="F71" s="27">
        <v>10</v>
      </c>
      <c r="G71" s="18">
        <f t="shared" si="0"/>
        <v>653</v>
      </c>
      <c r="H71" s="28" t="s">
        <v>92</v>
      </c>
      <c r="I71" s="7" t="s">
        <v>90</v>
      </c>
      <c r="L71" s="26"/>
      <c r="Q71" s="199"/>
    </row>
    <row r="72" spans="1:17" ht="18" customHeight="1" x14ac:dyDescent="0.25">
      <c r="A72" s="14">
        <f t="shared" si="1"/>
        <v>64</v>
      </c>
      <c r="B72" s="8">
        <v>45790</v>
      </c>
      <c r="C72" s="15" t="s">
        <v>113</v>
      </c>
      <c r="D72" s="10"/>
      <c r="E72" s="32"/>
      <c r="F72" s="27">
        <v>5</v>
      </c>
      <c r="G72" s="18">
        <f t="shared" si="0"/>
        <v>648</v>
      </c>
      <c r="H72" s="28" t="s">
        <v>92</v>
      </c>
      <c r="I72" s="7" t="s">
        <v>90</v>
      </c>
      <c r="L72" s="26"/>
      <c r="Q72" s="199"/>
    </row>
    <row r="73" spans="1:17" ht="18" customHeight="1" x14ac:dyDescent="0.25">
      <c r="A73" s="14">
        <f t="shared" si="1"/>
        <v>65</v>
      </c>
      <c r="B73" s="8">
        <v>45791</v>
      </c>
      <c r="C73" s="15" t="s">
        <v>113</v>
      </c>
      <c r="D73" s="10"/>
      <c r="E73" s="32"/>
      <c r="F73" s="27">
        <v>3</v>
      </c>
      <c r="G73" s="18">
        <f t="shared" si="0"/>
        <v>645</v>
      </c>
      <c r="H73" s="28" t="s">
        <v>92</v>
      </c>
      <c r="I73" s="7" t="s">
        <v>90</v>
      </c>
      <c r="J73" s="26"/>
      <c r="L73" s="26"/>
      <c r="Q73" s="199"/>
    </row>
    <row r="74" spans="1:17" ht="18" customHeight="1" x14ac:dyDescent="0.25">
      <c r="A74" s="14">
        <f t="shared" si="1"/>
        <v>66</v>
      </c>
      <c r="B74" s="8">
        <v>45792</v>
      </c>
      <c r="C74" s="15" t="s">
        <v>113</v>
      </c>
      <c r="D74" s="10"/>
      <c r="E74" s="32"/>
      <c r="F74" s="27">
        <v>11</v>
      </c>
      <c r="G74" s="18">
        <f t="shared" si="0"/>
        <v>634</v>
      </c>
      <c r="H74" s="28" t="s">
        <v>92</v>
      </c>
      <c r="I74" s="7"/>
      <c r="L74" s="26"/>
      <c r="Q74" s="199"/>
    </row>
    <row r="75" spans="1:17" ht="18" customHeight="1" x14ac:dyDescent="0.25">
      <c r="A75" s="14">
        <f t="shared" si="1"/>
        <v>67</v>
      </c>
      <c r="B75" s="44">
        <v>45793</v>
      </c>
      <c r="C75" s="15" t="s">
        <v>113</v>
      </c>
      <c r="D75" s="10"/>
      <c r="E75" s="32"/>
      <c r="F75" s="27">
        <v>11</v>
      </c>
      <c r="G75" s="18">
        <f t="shared" si="0"/>
        <v>623</v>
      </c>
      <c r="H75" s="28" t="s">
        <v>92</v>
      </c>
      <c r="I75" s="7"/>
      <c r="J75" s="26"/>
      <c r="L75" s="26"/>
      <c r="Q75" s="199"/>
    </row>
    <row r="76" spans="1:17" ht="18" customHeight="1" x14ac:dyDescent="0.25">
      <c r="A76" s="14">
        <f t="shared" si="1"/>
        <v>68</v>
      </c>
      <c r="B76" s="44">
        <v>45794</v>
      </c>
      <c r="C76" s="15" t="s">
        <v>113</v>
      </c>
      <c r="D76" s="10"/>
      <c r="E76" s="32"/>
      <c r="F76" s="27">
        <v>4</v>
      </c>
      <c r="G76" s="18">
        <f t="shared" si="0"/>
        <v>619</v>
      </c>
      <c r="H76" s="28" t="s">
        <v>92</v>
      </c>
      <c r="I76" s="7" t="s">
        <v>292</v>
      </c>
      <c r="L76" s="26"/>
      <c r="Q76" s="199"/>
    </row>
    <row r="77" spans="1:17" ht="18" customHeight="1" x14ac:dyDescent="0.25">
      <c r="A77" s="14">
        <f t="shared" si="1"/>
        <v>69</v>
      </c>
      <c r="B77" s="44">
        <v>45796</v>
      </c>
      <c r="C77" s="15" t="s">
        <v>113</v>
      </c>
      <c r="D77" s="10"/>
      <c r="E77" s="32"/>
      <c r="F77" s="27">
        <v>10</v>
      </c>
      <c r="G77" s="18">
        <f t="shared" ref="G77:G140" si="2">+G76+E77-F77</f>
        <v>609</v>
      </c>
      <c r="H77" s="28" t="s">
        <v>92</v>
      </c>
      <c r="I77" s="7" t="s">
        <v>292</v>
      </c>
      <c r="L77" s="26"/>
      <c r="N77">
        <f>559-530</f>
        <v>29</v>
      </c>
      <c r="Q77" s="199"/>
    </row>
    <row r="78" spans="1:17" ht="18" customHeight="1" x14ac:dyDescent="0.25">
      <c r="A78" s="14">
        <f t="shared" ref="A78:A127" si="3">+A77+1</f>
        <v>70</v>
      </c>
      <c r="B78" s="44">
        <v>45797</v>
      </c>
      <c r="C78" s="15" t="s">
        <v>113</v>
      </c>
      <c r="D78" s="10"/>
      <c r="E78" s="32"/>
      <c r="F78" s="27">
        <v>11</v>
      </c>
      <c r="G78" s="18">
        <f t="shared" si="2"/>
        <v>598</v>
      </c>
      <c r="H78" s="47"/>
      <c r="I78" s="7"/>
      <c r="J78" s="26"/>
      <c r="L78" s="26"/>
      <c r="Q78" s="199"/>
    </row>
    <row r="79" spans="1:17" ht="18" customHeight="1" x14ac:dyDescent="0.25">
      <c r="A79" s="14">
        <f t="shared" si="3"/>
        <v>71</v>
      </c>
      <c r="B79" s="44">
        <v>45798</v>
      </c>
      <c r="C79" s="15" t="s">
        <v>113</v>
      </c>
      <c r="D79" s="10"/>
      <c r="E79" s="32"/>
      <c r="F79" s="27">
        <v>18</v>
      </c>
      <c r="G79" s="18">
        <f t="shared" si="2"/>
        <v>580</v>
      </c>
      <c r="H79" s="47"/>
      <c r="I79" s="7"/>
      <c r="L79" s="26"/>
      <c r="Q79" s="199"/>
    </row>
    <row r="80" spans="1:17" ht="18" customHeight="1" x14ac:dyDescent="0.25">
      <c r="A80" s="14">
        <f t="shared" si="3"/>
        <v>72</v>
      </c>
      <c r="B80" s="44">
        <v>45800</v>
      </c>
      <c r="C80" s="15" t="s">
        <v>113</v>
      </c>
      <c r="D80" s="10"/>
      <c r="E80" s="32"/>
      <c r="F80" s="27">
        <v>13</v>
      </c>
      <c r="G80" s="18">
        <f t="shared" si="2"/>
        <v>567</v>
      </c>
      <c r="H80" s="47"/>
      <c r="I80" s="7"/>
      <c r="L80" s="26"/>
      <c r="Q80" s="199"/>
    </row>
    <row r="81" spans="1:17" ht="18" customHeight="1" x14ac:dyDescent="0.25">
      <c r="A81" s="14">
        <f t="shared" si="3"/>
        <v>73</v>
      </c>
      <c r="B81" s="8">
        <v>45801</v>
      </c>
      <c r="C81" s="15" t="s">
        <v>113</v>
      </c>
      <c r="D81" s="10"/>
      <c r="E81" s="32"/>
      <c r="F81" s="27">
        <v>8</v>
      </c>
      <c r="G81" s="18">
        <f t="shared" si="2"/>
        <v>559</v>
      </c>
      <c r="H81" s="47"/>
      <c r="I81" s="7"/>
      <c r="L81" s="26"/>
      <c r="Q81" s="199"/>
    </row>
    <row r="82" spans="1:17" ht="18" customHeight="1" x14ac:dyDescent="0.25">
      <c r="A82" s="14">
        <f t="shared" si="3"/>
        <v>74</v>
      </c>
      <c r="B82" s="8">
        <v>45809</v>
      </c>
      <c r="C82" s="15" t="s">
        <v>113</v>
      </c>
      <c r="D82" s="10"/>
      <c r="E82" s="32"/>
      <c r="F82" s="27">
        <v>6</v>
      </c>
      <c r="G82" s="18">
        <f t="shared" si="2"/>
        <v>553</v>
      </c>
      <c r="H82" s="47"/>
      <c r="I82" s="7"/>
      <c r="L82" s="26"/>
      <c r="Q82" s="199"/>
    </row>
    <row r="83" spans="1:17" ht="18" customHeight="1" x14ac:dyDescent="0.25">
      <c r="A83" s="14">
        <f t="shared" si="3"/>
        <v>75</v>
      </c>
      <c r="B83" s="8">
        <v>45812</v>
      </c>
      <c r="C83" s="15" t="s">
        <v>113</v>
      </c>
      <c r="D83" s="10"/>
      <c r="E83" s="32"/>
      <c r="F83" s="27">
        <v>16</v>
      </c>
      <c r="G83" s="18">
        <f t="shared" si="2"/>
        <v>537</v>
      </c>
      <c r="H83" s="47"/>
      <c r="I83" s="7"/>
      <c r="L83" s="26"/>
      <c r="Q83" s="199"/>
    </row>
    <row r="84" spans="1:17" ht="18" customHeight="1" x14ac:dyDescent="0.25">
      <c r="A84" s="14">
        <f t="shared" si="3"/>
        <v>76</v>
      </c>
      <c r="B84" s="8">
        <v>45813</v>
      </c>
      <c r="C84" s="15" t="s">
        <v>113</v>
      </c>
      <c r="D84" s="10"/>
      <c r="E84" s="32"/>
      <c r="F84" s="27">
        <v>9</v>
      </c>
      <c r="G84" s="18">
        <f t="shared" si="2"/>
        <v>528</v>
      </c>
      <c r="H84" s="47"/>
      <c r="I84" s="7"/>
      <c r="L84" s="26"/>
      <c r="Q84" s="199"/>
    </row>
    <row r="85" spans="1:17" ht="18" customHeight="1" x14ac:dyDescent="0.25">
      <c r="A85" s="14">
        <f t="shared" si="3"/>
        <v>77</v>
      </c>
      <c r="B85" s="8">
        <v>45817</v>
      </c>
      <c r="C85" s="15" t="s">
        <v>113</v>
      </c>
      <c r="D85" s="10"/>
      <c r="E85" s="32"/>
      <c r="F85" s="27">
        <v>5</v>
      </c>
      <c r="G85" s="18">
        <f t="shared" si="2"/>
        <v>523</v>
      </c>
      <c r="H85" s="47"/>
      <c r="I85" s="7"/>
      <c r="L85" s="26"/>
      <c r="Q85" s="199"/>
    </row>
    <row r="86" spans="1:17" ht="18" customHeight="1" x14ac:dyDescent="0.25">
      <c r="A86" s="14">
        <f t="shared" si="3"/>
        <v>78</v>
      </c>
      <c r="B86" s="8">
        <v>45818</v>
      </c>
      <c r="C86" s="15"/>
      <c r="D86" s="10"/>
      <c r="E86" s="32"/>
      <c r="F86" s="27">
        <v>6</v>
      </c>
      <c r="G86" s="18">
        <f t="shared" si="2"/>
        <v>517</v>
      </c>
      <c r="H86" s="47"/>
      <c r="I86" s="7"/>
      <c r="L86" s="26"/>
      <c r="Q86" s="199"/>
    </row>
    <row r="87" spans="1:17" ht="18" customHeight="1" x14ac:dyDescent="0.25">
      <c r="A87" s="14">
        <f t="shared" si="3"/>
        <v>79</v>
      </c>
      <c r="B87" s="8">
        <v>45820</v>
      </c>
      <c r="C87" s="15" t="s">
        <v>113</v>
      </c>
      <c r="D87" s="10"/>
      <c r="E87" s="32"/>
      <c r="F87" s="27">
        <v>9</v>
      </c>
      <c r="G87" s="18">
        <f t="shared" si="2"/>
        <v>508</v>
      </c>
      <c r="H87" s="47"/>
      <c r="I87" s="7"/>
      <c r="L87" s="26"/>
      <c r="Q87" s="199"/>
    </row>
    <row r="88" spans="1:17" ht="18" customHeight="1" x14ac:dyDescent="0.25">
      <c r="A88" s="14">
        <f t="shared" si="3"/>
        <v>80</v>
      </c>
      <c r="B88" s="8">
        <v>45821</v>
      </c>
      <c r="C88" s="15" t="s">
        <v>113</v>
      </c>
      <c r="D88" s="10"/>
      <c r="E88" s="32"/>
      <c r="F88" s="27">
        <v>16</v>
      </c>
      <c r="G88" s="18">
        <f t="shared" si="2"/>
        <v>492</v>
      </c>
      <c r="H88" s="47"/>
      <c r="I88" s="7"/>
      <c r="L88" s="26"/>
      <c r="Q88" s="199"/>
    </row>
    <row r="89" spans="1:17" ht="18" customHeight="1" x14ac:dyDescent="0.25">
      <c r="A89" s="14">
        <f t="shared" si="3"/>
        <v>81</v>
      </c>
      <c r="B89" s="8">
        <v>45822</v>
      </c>
      <c r="C89" s="15" t="s">
        <v>113</v>
      </c>
      <c r="D89" s="10"/>
      <c r="E89" s="32"/>
      <c r="F89" s="27">
        <v>16</v>
      </c>
      <c r="G89" s="18">
        <f t="shared" si="2"/>
        <v>476</v>
      </c>
      <c r="H89" s="47"/>
      <c r="I89" s="7"/>
      <c r="L89" s="26"/>
      <c r="Q89" s="199"/>
    </row>
    <row r="90" spans="1:17" ht="18" customHeight="1" x14ac:dyDescent="0.25">
      <c r="A90" s="14">
        <f t="shared" si="3"/>
        <v>82</v>
      </c>
      <c r="B90" s="8">
        <v>45824</v>
      </c>
      <c r="C90" s="46"/>
      <c r="D90" s="10"/>
      <c r="E90" s="32"/>
      <c r="F90" s="27">
        <v>17</v>
      </c>
      <c r="G90" s="18">
        <f t="shared" si="2"/>
        <v>459</v>
      </c>
      <c r="H90" s="47"/>
      <c r="I90" s="7"/>
      <c r="L90" s="26"/>
      <c r="Q90" s="199"/>
    </row>
    <row r="91" spans="1:17" ht="18" customHeight="1" x14ac:dyDescent="0.25">
      <c r="A91" s="14">
        <f t="shared" si="3"/>
        <v>83</v>
      </c>
      <c r="B91" s="8">
        <v>45825</v>
      </c>
      <c r="C91" s="46"/>
      <c r="D91" s="10"/>
      <c r="E91" s="32"/>
      <c r="F91" s="27">
        <v>16</v>
      </c>
      <c r="G91" s="18">
        <f t="shared" si="2"/>
        <v>443</v>
      </c>
      <c r="H91" s="47"/>
      <c r="I91" s="7"/>
      <c r="L91" s="26"/>
      <c r="Q91" s="199"/>
    </row>
    <row r="92" spans="1:17" ht="18" customHeight="1" x14ac:dyDescent="0.25">
      <c r="A92" s="14">
        <f t="shared" si="3"/>
        <v>84</v>
      </c>
      <c r="B92" s="8">
        <v>45829</v>
      </c>
      <c r="C92" s="46"/>
      <c r="D92" s="10"/>
      <c r="E92" s="32"/>
      <c r="F92" s="27">
        <v>2</v>
      </c>
      <c r="G92" s="18">
        <f t="shared" si="2"/>
        <v>441</v>
      </c>
      <c r="H92" s="18"/>
      <c r="I92" s="7"/>
      <c r="L92" s="26"/>
      <c r="Q92" s="199"/>
    </row>
    <row r="93" spans="1:17" ht="18" customHeight="1" x14ac:dyDescent="0.25">
      <c r="A93" s="14">
        <f t="shared" si="3"/>
        <v>85</v>
      </c>
      <c r="B93" s="8">
        <v>45836</v>
      </c>
      <c r="C93" s="46"/>
      <c r="D93" s="10"/>
      <c r="E93" s="32"/>
      <c r="F93" s="27">
        <v>9</v>
      </c>
      <c r="G93" s="18">
        <f t="shared" si="2"/>
        <v>432</v>
      </c>
      <c r="H93" s="18"/>
      <c r="I93" s="7"/>
      <c r="L93" s="26"/>
      <c r="Q93" s="199"/>
    </row>
    <row r="94" spans="1:17" ht="18" customHeight="1" x14ac:dyDescent="0.25">
      <c r="A94" s="14">
        <f t="shared" si="3"/>
        <v>86</v>
      </c>
      <c r="B94" s="8">
        <v>45838</v>
      </c>
      <c r="C94" s="46"/>
      <c r="D94" s="10"/>
      <c r="E94" s="32"/>
      <c r="F94" s="27">
        <v>13</v>
      </c>
      <c r="G94" s="18">
        <f t="shared" si="2"/>
        <v>419</v>
      </c>
      <c r="H94" s="238" t="s">
        <v>422</v>
      </c>
      <c r="I94" s="7"/>
      <c r="L94" s="26"/>
      <c r="Q94" s="199"/>
    </row>
    <row r="95" spans="1:17" ht="18" customHeight="1" x14ac:dyDescent="0.25">
      <c r="A95" s="14">
        <f t="shared" si="3"/>
        <v>87</v>
      </c>
      <c r="B95" s="37">
        <v>45842</v>
      </c>
      <c r="C95" s="46"/>
      <c r="D95" s="10"/>
      <c r="E95" s="32"/>
      <c r="F95" s="27">
        <v>9</v>
      </c>
      <c r="G95" s="18">
        <f t="shared" si="2"/>
        <v>410</v>
      </c>
      <c r="H95" s="18"/>
      <c r="I95" s="7"/>
      <c r="L95" s="26"/>
      <c r="Q95" s="199"/>
    </row>
    <row r="96" spans="1:17" ht="18" customHeight="1" x14ac:dyDescent="0.25">
      <c r="A96" s="14">
        <f t="shared" si="3"/>
        <v>88</v>
      </c>
      <c r="B96" s="37">
        <v>45843</v>
      </c>
      <c r="C96" s="46"/>
      <c r="D96" s="10"/>
      <c r="E96" s="32"/>
      <c r="F96" s="27">
        <v>5</v>
      </c>
      <c r="G96" s="18">
        <f t="shared" si="2"/>
        <v>405</v>
      </c>
      <c r="H96" s="18"/>
      <c r="I96" s="7"/>
      <c r="L96" s="26"/>
      <c r="Q96" s="199"/>
    </row>
    <row r="97" spans="1:17" ht="18" customHeight="1" x14ac:dyDescent="0.25">
      <c r="A97" s="14">
        <f t="shared" si="3"/>
        <v>89</v>
      </c>
      <c r="B97" s="37">
        <v>45849</v>
      </c>
      <c r="C97" s="46"/>
      <c r="D97" s="10"/>
      <c r="E97" s="32"/>
      <c r="F97" s="27">
        <v>5</v>
      </c>
      <c r="G97" s="18">
        <f t="shared" si="2"/>
        <v>400</v>
      </c>
      <c r="H97" s="18"/>
      <c r="I97" s="7"/>
      <c r="L97" s="26"/>
      <c r="Q97" s="199"/>
    </row>
    <row r="98" spans="1:17" ht="18" customHeight="1" x14ac:dyDescent="0.25">
      <c r="A98" s="14">
        <f t="shared" si="3"/>
        <v>90</v>
      </c>
      <c r="B98" s="37">
        <v>45850</v>
      </c>
      <c r="C98" s="46"/>
      <c r="D98" s="10"/>
      <c r="E98" s="32"/>
      <c r="F98" s="27">
        <v>10</v>
      </c>
      <c r="G98" s="18">
        <f t="shared" si="2"/>
        <v>390</v>
      </c>
      <c r="H98" s="18"/>
      <c r="I98" s="7"/>
      <c r="L98" s="26"/>
      <c r="Q98" s="199"/>
    </row>
    <row r="99" spans="1:17" ht="18" customHeight="1" x14ac:dyDescent="0.25">
      <c r="A99" s="14">
        <f t="shared" si="3"/>
        <v>91</v>
      </c>
      <c r="B99" s="37">
        <v>45852</v>
      </c>
      <c r="C99" s="46"/>
      <c r="D99" s="10"/>
      <c r="E99" s="32"/>
      <c r="F99" s="27">
        <v>13</v>
      </c>
      <c r="G99" s="18">
        <f t="shared" si="2"/>
        <v>377</v>
      </c>
      <c r="H99" s="18"/>
      <c r="I99" s="7"/>
      <c r="L99" s="26"/>
      <c r="Q99" s="199"/>
    </row>
    <row r="100" spans="1:17" ht="18" customHeight="1" x14ac:dyDescent="0.25">
      <c r="A100" s="14">
        <f t="shared" si="3"/>
        <v>92</v>
      </c>
      <c r="B100" s="37">
        <v>45859</v>
      </c>
      <c r="C100" s="46"/>
      <c r="D100" s="10"/>
      <c r="E100" s="32"/>
      <c r="F100" s="27">
        <v>9</v>
      </c>
      <c r="G100" s="18">
        <f t="shared" si="2"/>
        <v>368</v>
      </c>
      <c r="H100" s="18"/>
      <c r="I100" s="7"/>
      <c r="L100" s="26"/>
      <c r="Q100" s="199"/>
    </row>
    <row r="101" spans="1:17" ht="18" customHeight="1" x14ac:dyDescent="0.25">
      <c r="A101" s="14">
        <f t="shared" si="3"/>
        <v>93</v>
      </c>
      <c r="B101" s="37">
        <v>45862</v>
      </c>
      <c r="C101" s="46"/>
      <c r="D101" s="10"/>
      <c r="E101" s="32"/>
      <c r="F101" s="27">
        <v>10</v>
      </c>
      <c r="G101" s="18">
        <f t="shared" si="2"/>
        <v>358</v>
      </c>
      <c r="H101" s="18"/>
      <c r="I101" s="7"/>
      <c r="L101" s="26"/>
      <c r="Q101" s="199"/>
    </row>
    <row r="102" spans="1:17" ht="18" customHeight="1" x14ac:dyDescent="0.25">
      <c r="A102" s="14">
        <f t="shared" si="3"/>
        <v>94</v>
      </c>
      <c r="B102" s="37">
        <v>45863</v>
      </c>
      <c r="C102" s="46"/>
      <c r="D102" s="10"/>
      <c r="E102" s="32"/>
      <c r="F102" s="27">
        <v>25</v>
      </c>
      <c r="G102" s="18">
        <f t="shared" si="2"/>
        <v>333</v>
      </c>
      <c r="H102" s="18"/>
      <c r="I102" s="7"/>
      <c r="L102" s="26"/>
      <c r="Q102" s="199"/>
    </row>
    <row r="103" spans="1:17" ht="18" customHeight="1" x14ac:dyDescent="0.25">
      <c r="A103" s="14">
        <f t="shared" si="3"/>
        <v>95</v>
      </c>
      <c r="B103" s="37">
        <v>45864</v>
      </c>
      <c r="C103" s="46"/>
      <c r="D103" s="10"/>
      <c r="E103" s="32"/>
      <c r="F103" s="27">
        <v>16</v>
      </c>
      <c r="G103" s="18">
        <f t="shared" si="2"/>
        <v>317</v>
      </c>
      <c r="H103" s="18"/>
      <c r="I103" s="7"/>
      <c r="L103" s="26"/>
      <c r="Q103" s="199"/>
    </row>
    <row r="104" spans="1:17" ht="18" customHeight="1" x14ac:dyDescent="0.25">
      <c r="A104" s="14">
        <f t="shared" si="3"/>
        <v>96</v>
      </c>
      <c r="B104" s="37">
        <v>45866</v>
      </c>
      <c r="C104" s="46"/>
      <c r="D104" s="10"/>
      <c r="E104" s="32"/>
      <c r="F104" s="27">
        <v>12</v>
      </c>
      <c r="G104" s="18">
        <f t="shared" si="2"/>
        <v>305</v>
      </c>
      <c r="H104" s="18"/>
      <c r="I104" s="7"/>
      <c r="L104" s="26"/>
      <c r="Q104" s="199"/>
    </row>
    <row r="105" spans="1:17" ht="18" customHeight="1" x14ac:dyDescent="0.25">
      <c r="A105" s="14">
        <f t="shared" si="3"/>
        <v>97</v>
      </c>
      <c r="B105" s="37">
        <v>45867</v>
      </c>
      <c r="C105" s="46"/>
      <c r="D105" s="10"/>
      <c r="E105" s="32"/>
      <c r="F105" s="27">
        <v>5</v>
      </c>
      <c r="G105" s="18">
        <f t="shared" si="2"/>
        <v>300</v>
      </c>
      <c r="H105" s="18"/>
      <c r="I105" s="7"/>
      <c r="L105" s="26"/>
      <c r="Q105" s="199"/>
    </row>
    <row r="106" spans="1:17" ht="18" customHeight="1" x14ac:dyDescent="0.25">
      <c r="A106" s="14">
        <f t="shared" si="3"/>
        <v>98</v>
      </c>
      <c r="B106" s="37">
        <v>45868</v>
      </c>
      <c r="C106" s="46"/>
      <c r="D106" s="10"/>
      <c r="E106" s="32"/>
      <c r="F106" s="27">
        <v>21</v>
      </c>
      <c r="G106" s="18">
        <f t="shared" si="2"/>
        <v>279</v>
      </c>
      <c r="H106" s="18"/>
      <c r="I106" s="7"/>
      <c r="L106" s="26"/>
      <c r="Q106" s="199"/>
    </row>
    <row r="107" spans="1:17" ht="18" customHeight="1" x14ac:dyDescent="0.25">
      <c r="A107" s="14">
        <f t="shared" si="3"/>
        <v>99</v>
      </c>
      <c r="B107" s="37">
        <v>45869</v>
      </c>
      <c r="C107" s="46"/>
      <c r="D107" s="10"/>
      <c r="E107" s="32"/>
      <c r="F107" s="27">
        <v>23</v>
      </c>
      <c r="G107" s="18">
        <f t="shared" si="2"/>
        <v>256</v>
      </c>
      <c r="H107" s="18"/>
      <c r="I107" s="7"/>
      <c r="L107" s="26"/>
      <c r="Q107" s="199"/>
    </row>
    <row r="108" spans="1:17" ht="18" customHeight="1" x14ac:dyDescent="0.25">
      <c r="A108" s="14">
        <f t="shared" si="3"/>
        <v>100</v>
      </c>
      <c r="B108" s="37">
        <v>45870</v>
      </c>
      <c r="C108" s="46"/>
      <c r="D108" s="10"/>
      <c r="E108" s="32"/>
      <c r="F108" s="27">
        <v>24</v>
      </c>
      <c r="G108" s="18">
        <f t="shared" si="2"/>
        <v>232</v>
      </c>
      <c r="H108" s="18"/>
      <c r="I108" s="7"/>
      <c r="L108" s="26"/>
      <c r="Q108" s="199"/>
    </row>
    <row r="109" spans="1:17" ht="18" customHeight="1" x14ac:dyDescent="0.25">
      <c r="A109" s="14">
        <f t="shared" si="3"/>
        <v>101</v>
      </c>
      <c r="B109" s="37">
        <v>45873</v>
      </c>
      <c r="C109" s="46"/>
      <c r="D109" s="10"/>
      <c r="E109" s="32"/>
      <c r="F109" s="27">
        <v>4</v>
      </c>
      <c r="G109" s="18">
        <f t="shared" si="2"/>
        <v>228</v>
      </c>
      <c r="H109" s="18"/>
      <c r="I109" s="7"/>
      <c r="L109" s="26"/>
      <c r="Q109" s="199"/>
    </row>
    <row r="110" spans="1:17" ht="18" customHeight="1" x14ac:dyDescent="0.25">
      <c r="A110" s="14">
        <f t="shared" si="3"/>
        <v>102</v>
      </c>
      <c r="B110" s="37">
        <v>45874</v>
      </c>
      <c r="C110" s="46"/>
      <c r="D110" s="10"/>
      <c r="E110" s="32"/>
      <c r="F110" s="27">
        <v>8</v>
      </c>
      <c r="G110" s="18">
        <f t="shared" si="2"/>
        <v>220</v>
      </c>
      <c r="H110" s="18"/>
      <c r="I110" s="7"/>
      <c r="L110" s="26"/>
      <c r="Q110" s="199"/>
    </row>
    <row r="111" spans="1:17" ht="18" customHeight="1" x14ac:dyDescent="0.25">
      <c r="A111" s="14">
        <f t="shared" si="3"/>
        <v>103</v>
      </c>
      <c r="B111" s="37">
        <v>45875</v>
      </c>
      <c r="C111" s="46"/>
      <c r="D111" s="10"/>
      <c r="E111" s="32"/>
      <c r="F111" s="27">
        <v>10</v>
      </c>
      <c r="G111" s="18">
        <f t="shared" si="2"/>
        <v>210</v>
      </c>
      <c r="H111" s="18"/>
      <c r="I111" s="7"/>
      <c r="L111" s="26"/>
      <c r="Q111" s="199"/>
    </row>
    <row r="112" spans="1:17" ht="18" customHeight="1" x14ac:dyDescent="0.25">
      <c r="A112" s="14">
        <f t="shared" si="3"/>
        <v>104</v>
      </c>
      <c r="B112" s="37">
        <v>45878</v>
      </c>
      <c r="C112" s="46"/>
      <c r="D112" s="10"/>
      <c r="E112" s="32"/>
      <c r="F112" s="27">
        <v>12</v>
      </c>
      <c r="G112" s="18">
        <f t="shared" si="2"/>
        <v>198</v>
      </c>
      <c r="H112" s="18"/>
      <c r="I112" s="7"/>
      <c r="L112" s="26"/>
      <c r="Q112" s="199"/>
    </row>
    <row r="113" spans="1:17" ht="18" customHeight="1" x14ac:dyDescent="0.25">
      <c r="A113" s="14">
        <f t="shared" si="3"/>
        <v>105</v>
      </c>
      <c r="B113" s="37">
        <v>45881</v>
      </c>
      <c r="C113" s="46"/>
      <c r="D113" s="10"/>
      <c r="E113" s="32"/>
      <c r="F113" s="27">
        <v>13</v>
      </c>
      <c r="G113" s="18">
        <f t="shared" si="2"/>
        <v>185</v>
      </c>
      <c r="H113" s="18"/>
      <c r="I113" s="7"/>
      <c r="L113" s="26"/>
      <c r="Q113" s="199"/>
    </row>
    <row r="114" spans="1:17" ht="18" customHeight="1" x14ac:dyDescent="0.25">
      <c r="A114" s="14">
        <f t="shared" si="3"/>
        <v>106</v>
      </c>
      <c r="B114" s="37">
        <v>45883</v>
      </c>
      <c r="C114" s="46"/>
      <c r="D114" s="10"/>
      <c r="E114" s="32"/>
      <c r="F114" s="27">
        <v>22</v>
      </c>
      <c r="G114" s="18">
        <f t="shared" si="2"/>
        <v>163</v>
      </c>
      <c r="H114" s="18"/>
      <c r="I114" s="7"/>
      <c r="L114" s="26"/>
      <c r="Q114" s="199"/>
    </row>
    <row r="115" spans="1:17" ht="18" customHeight="1" x14ac:dyDescent="0.25">
      <c r="A115" s="14"/>
      <c r="B115" s="37">
        <v>45884</v>
      </c>
      <c r="C115" s="46"/>
      <c r="D115" s="10"/>
      <c r="E115" s="32"/>
      <c r="F115" s="27">
        <v>16</v>
      </c>
      <c r="G115" s="18">
        <f t="shared" si="2"/>
        <v>147</v>
      </c>
      <c r="H115" s="18"/>
      <c r="I115" s="7"/>
      <c r="L115" s="26"/>
      <c r="Q115" s="199"/>
    </row>
    <row r="116" spans="1:17" ht="18" customHeight="1" x14ac:dyDescent="0.25">
      <c r="A116" s="14">
        <f>+A114+1</f>
        <v>107</v>
      </c>
      <c r="B116" s="37">
        <v>45889</v>
      </c>
      <c r="C116" s="46"/>
      <c r="D116" s="10"/>
      <c r="E116" s="32"/>
      <c r="F116" s="27">
        <v>18</v>
      </c>
      <c r="G116" s="18">
        <f t="shared" si="2"/>
        <v>129</v>
      </c>
      <c r="H116" s="18"/>
      <c r="I116" s="7"/>
      <c r="L116" s="26"/>
      <c r="Q116" s="199"/>
    </row>
    <row r="117" spans="1:17" ht="18" customHeight="1" x14ac:dyDescent="0.25">
      <c r="A117" s="14">
        <f t="shared" si="3"/>
        <v>108</v>
      </c>
      <c r="B117" s="37">
        <v>45890</v>
      </c>
      <c r="C117" s="46"/>
      <c r="D117" s="10"/>
      <c r="E117" s="32"/>
      <c r="F117" s="27">
        <v>14</v>
      </c>
      <c r="G117" s="18">
        <f t="shared" si="2"/>
        <v>115</v>
      </c>
      <c r="H117" s="18"/>
      <c r="I117" s="7"/>
      <c r="L117" s="26"/>
      <c r="Q117" s="199"/>
    </row>
    <row r="118" spans="1:17" ht="18" customHeight="1" x14ac:dyDescent="0.25">
      <c r="A118" s="14">
        <f t="shared" si="3"/>
        <v>109</v>
      </c>
      <c r="B118" s="37">
        <v>45891</v>
      </c>
      <c r="C118" s="46"/>
      <c r="D118" s="10"/>
      <c r="E118" s="32"/>
      <c r="F118" s="27">
        <v>19</v>
      </c>
      <c r="G118" s="18">
        <f t="shared" si="2"/>
        <v>96</v>
      </c>
      <c r="H118" s="18"/>
      <c r="I118" s="7"/>
      <c r="L118" s="26"/>
      <c r="Q118" s="199"/>
    </row>
    <row r="119" spans="1:17" ht="18" customHeight="1" x14ac:dyDescent="0.25">
      <c r="A119" s="14">
        <f t="shared" si="3"/>
        <v>110</v>
      </c>
      <c r="B119" s="37">
        <v>45892</v>
      </c>
      <c r="C119" s="46"/>
      <c r="D119" s="10"/>
      <c r="E119" s="32"/>
      <c r="F119" s="27">
        <v>21</v>
      </c>
      <c r="G119" s="18">
        <f t="shared" si="2"/>
        <v>75</v>
      </c>
      <c r="H119" s="18"/>
      <c r="I119" s="7"/>
      <c r="L119" s="26"/>
      <c r="Q119" s="199"/>
    </row>
    <row r="120" spans="1:17" ht="18" customHeight="1" x14ac:dyDescent="0.25">
      <c r="A120" s="14">
        <f t="shared" si="3"/>
        <v>111</v>
      </c>
      <c r="B120" s="37">
        <v>45895</v>
      </c>
      <c r="C120" s="46"/>
      <c r="D120" s="10"/>
      <c r="E120" s="32"/>
      <c r="F120" s="27">
        <v>7</v>
      </c>
      <c r="G120" s="18">
        <f t="shared" si="2"/>
        <v>68</v>
      </c>
      <c r="H120" s="18"/>
      <c r="I120" s="7"/>
      <c r="L120" s="26"/>
      <c r="Q120" s="199"/>
    </row>
    <row r="121" spans="1:17" ht="18" customHeight="1" x14ac:dyDescent="0.25">
      <c r="A121" s="14">
        <f t="shared" si="3"/>
        <v>112</v>
      </c>
      <c r="B121" s="37">
        <v>45896</v>
      </c>
      <c r="C121" s="46"/>
      <c r="D121" s="10"/>
      <c r="E121" s="32"/>
      <c r="F121" s="27">
        <v>5</v>
      </c>
      <c r="G121" s="18">
        <f t="shared" si="2"/>
        <v>63</v>
      </c>
      <c r="H121" s="18"/>
      <c r="I121" s="7"/>
      <c r="L121" s="26"/>
      <c r="Q121" s="199"/>
    </row>
    <row r="122" spans="1:17" ht="18" customHeight="1" x14ac:dyDescent="0.25">
      <c r="A122" s="14">
        <f t="shared" si="3"/>
        <v>113</v>
      </c>
      <c r="B122" s="37">
        <v>45897</v>
      </c>
      <c r="C122" s="46"/>
      <c r="D122" s="10"/>
      <c r="E122" s="32"/>
      <c r="F122" s="27">
        <v>12</v>
      </c>
      <c r="G122" s="18">
        <f t="shared" si="2"/>
        <v>51</v>
      </c>
      <c r="H122" s="18"/>
      <c r="I122" s="7"/>
      <c r="L122" s="26"/>
      <c r="Q122" s="199"/>
    </row>
    <row r="123" spans="1:17" ht="18" customHeight="1" x14ac:dyDescent="0.25">
      <c r="A123" s="14">
        <f t="shared" si="3"/>
        <v>114</v>
      </c>
      <c r="B123" s="37">
        <v>45898</v>
      </c>
      <c r="C123" s="46"/>
      <c r="D123" s="10"/>
      <c r="E123" s="32"/>
      <c r="F123" s="27">
        <v>10</v>
      </c>
      <c r="G123" s="18">
        <f t="shared" si="2"/>
        <v>41</v>
      </c>
      <c r="H123" s="18"/>
      <c r="I123" s="7"/>
      <c r="L123" s="26"/>
      <c r="Q123" s="199"/>
    </row>
    <row r="124" spans="1:17" ht="18" customHeight="1" x14ac:dyDescent="0.25">
      <c r="A124" s="14">
        <f t="shared" si="3"/>
        <v>115</v>
      </c>
      <c r="B124" s="37">
        <v>45899</v>
      </c>
      <c r="C124" s="46"/>
      <c r="D124" s="10"/>
      <c r="E124" s="32"/>
      <c r="F124" s="27">
        <v>8</v>
      </c>
      <c r="G124" s="18">
        <f t="shared" si="2"/>
        <v>33</v>
      </c>
      <c r="H124" s="18"/>
      <c r="I124" s="7"/>
      <c r="L124" s="26"/>
      <c r="Q124" s="199"/>
    </row>
    <row r="125" spans="1:17" ht="18" customHeight="1" x14ac:dyDescent="0.25">
      <c r="A125" s="14">
        <f t="shared" si="3"/>
        <v>116</v>
      </c>
      <c r="B125" s="37">
        <v>45903</v>
      </c>
      <c r="C125" s="46"/>
      <c r="D125" s="10"/>
      <c r="E125" s="32"/>
      <c r="F125" s="27">
        <v>14</v>
      </c>
      <c r="G125" s="18">
        <f t="shared" si="2"/>
        <v>19</v>
      </c>
      <c r="H125" s="18"/>
      <c r="I125" s="7"/>
      <c r="L125" s="26"/>
      <c r="Q125" s="199"/>
    </row>
    <row r="126" spans="1:17" ht="18" customHeight="1" x14ac:dyDescent="0.25">
      <c r="A126" s="14">
        <f t="shared" si="3"/>
        <v>117</v>
      </c>
      <c r="B126" s="37">
        <v>45904</v>
      </c>
      <c r="C126" s="7"/>
      <c r="D126" s="10"/>
      <c r="E126" s="140"/>
      <c r="F126" s="141">
        <v>9</v>
      </c>
      <c r="G126" s="18">
        <f t="shared" si="2"/>
        <v>10</v>
      </c>
      <c r="H126" s="18"/>
      <c r="I126" s="7"/>
      <c r="Q126" s="26"/>
    </row>
    <row r="127" spans="1:17" ht="18" customHeight="1" x14ac:dyDescent="0.25">
      <c r="A127" s="14">
        <f t="shared" si="3"/>
        <v>118</v>
      </c>
      <c r="B127" s="37">
        <v>45905</v>
      </c>
      <c r="C127" s="7"/>
      <c r="D127" s="14"/>
      <c r="E127" s="140"/>
      <c r="F127" s="141">
        <v>6</v>
      </c>
      <c r="G127" s="18">
        <f t="shared" si="2"/>
        <v>4</v>
      </c>
      <c r="H127" s="18"/>
      <c r="I127" s="7"/>
    </row>
    <row r="128" spans="1:17" ht="18" customHeight="1" x14ac:dyDescent="0.25">
      <c r="A128" s="14"/>
      <c r="B128" s="37">
        <v>45906</v>
      </c>
      <c r="C128" s="7"/>
      <c r="D128" s="14"/>
      <c r="E128" s="140"/>
      <c r="F128" s="141">
        <v>14</v>
      </c>
      <c r="G128" s="18">
        <f t="shared" si="2"/>
        <v>-10</v>
      </c>
      <c r="H128" s="18"/>
      <c r="I128" s="7"/>
    </row>
    <row r="129" spans="1:9" ht="18" customHeight="1" x14ac:dyDescent="0.25">
      <c r="A129" s="14"/>
      <c r="B129" s="37">
        <v>45908</v>
      </c>
      <c r="C129" s="7"/>
      <c r="D129" s="14"/>
      <c r="E129" s="140"/>
      <c r="F129" s="141">
        <v>8</v>
      </c>
      <c r="G129" s="18">
        <f t="shared" si="2"/>
        <v>-18</v>
      </c>
      <c r="H129" s="18"/>
      <c r="I129" s="7"/>
    </row>
    <row r="130" spans="1:9" ht="18" customHeight="1" x14ac:dyDescent="0.25">
      <c r="A130" s="14"/>
      <c r="B130" s="37"/>
      <c r="C130" s="7"/>
      <c r="D130" s="14"/>
      <c r="E130" s="140"/>
      <c r="F130" s="141"/>
      <c r="G130" s="18">
        <f t="shared" si="2"/>
        <v>-18</v>
      </c>
      <c r="H130" s="18"/>
      <c r="I130" s="7"/>
    </row>
    <row r="131" spans="1:9" ht="18" customHeight="1" x14ac:dyDescent="0.25">
      <c r="A131" s="14"/>
      <c r="B131" s="37"/>
      <c r="C131" s="7"/>
      <c r="D131" s="14"/>
      <c r="E131" s="140"/>
      <c r="F131" s="141"/>
      <c r="G131" s="18">
        <f t="shared" si="2"/>
        <v>-18</v>
      </c>
      <c r="H131" s="18"/>
      <c r="I131" s="7"/>
    </row>
    <row r="132" spans="1:9" ht="18" customHeight="1" x14ac:dyDescent="0.25">
      <c r="A132" s="14"/>
      <c r="B132" s="37"/>
      <c r="C132" s="7"/>
      <c r="D132" s="14"/>
      <c r="E132" s="140"/>
      <c r="F132" s="141"/>
      <c r="G132" s="18">
        <f t="shared" si="2"/>
        <v>-18</v>
      </c>
      <c r="H132" s="18"/>
      <c r="I132" s="7"/>
    </row>
    <row r="133" spans="1:9" ht="18" customHeight="1" x14ac:dyDescent="0.25">
      <c r="A133" s="14"/>
      <c r="B133" s="37"/>
      <c r="C133" s="7"/>
      <c r="D133" s="14"/>
      <c r="E133" s="140"/>
      <c r="F133" s="141"/>
      <c r="G133" s="18">
        <f t="shared" si="2"/>
        <v>-18</v>
      </c>
      <c r="H133" s="18"/>
      <c r="I133" s="7"/>
    </row>
    <row r="134" spans="1:9" ht="18" customHeight="1" x14ac:dyDescent="0.25">
      <c r="A134" s="14"/>
      <c r="B134" s="37"/>
      <c r="C134" s="7"/>
      <c r="D134" s="14"/>
      <c r="E134" s="140"/>
      <c r="F134" s="141"/>
      <c r="G134" s="18">
        <f t="shared" si="2"/>
        <v>-18</v>
      </c>
      <c r="H134" s="18"/>
      <c r="I134" s="7"/>
    </row>
    <row r="135" spans="1:9" ht="18" customHeight="1" x14ac:dyDescent="0.25">
      <c r="A135" s="14"/>
      <c r="B135" s="37"/>
      <c r="C135" s="7"/>
      <c r="D135" s="14"/>
      <c r="E135" s="140"/>
      <c r="F135" s="141"/>
      <c r="G135" s="18">
        <f t="shared" si="2"/>
        <v>-18</v>
      </c>
      <c r="H135" s="18"/>
      <c r="I135" s="7"/>
    </row>
    <row r="136" spans="1:9" ht="18" customHeight="1" x14ac:dyDescent="0.25">
      <c r="A136" s="14"/>
      <c r="B136" s="37"/>
      <c r="C136" s="7"/>
      <c r="D136" s="14"/>
      <c r="E136" s="140"/>
      <c r="F136" s="141"/>
      <c r="G136" s="18">
        <f t="shared" si="2"/>
        <v>-18</v>
      </c>
      <c r="H136" s="18"/>
      <c r="I136" s="7"/>
    </row>
    <row r="137" spans="1:9" ht="18" customHeight="1" x14ac:dyDescent="0.25">
      <c r="A137" s="14"/>
      <c r="B137" s="37"/>
      <c r="C137" s="7"/>
      <c r="D137" s="14"/>
      <c r="E137" s="140"/>
      <c r="F137" s="141"/>
      <c r="G137" s="18">
        <f t="shared" si="2"/>
        <v>-18</v>
      </c>
      <c r="H137" s="18"/>
      <c r="I137" s="7"/>
    </row>
    <row r="138" spans="1:9" ht="18" customHeight="1" x14ac:dyDescent="0.25">
      <c r="A138" s="14"/>
      <c r="B138" s="37"/>
      <c r="C138" s="7"/>
      <c r="D138" s="14"/>
      <c r="E138" s="140"/>
      <c r="F138" s="141"/>
      <c r="G138" s="18">
        <f t="shared" si="2"/>
        <v>-18</v>
      </c>
      <c r="H138" s="18"/>
      <c r="I138" s="7"/>
    </row>
    <row r="139" spans="1:9" ht="18" customHeight="1" x14ac:dyDescent="0.25">
      <c r="A139" s="14"/>
      <c r="B139" s="37"/>
      <c r="C139" s="7"/>
      <c r="D139" s="14"/>
      <c r="E139" s="140"/>
      <c r="F139" s="141"/>
      <c r="G139" s="18">
        <f t="shared" si="2"/>
        <v>-18</v>
      </c>
      <c r="H139" s="18"/>
      <c r="I139" s="7"/>
    </row>
    <row r="140" spans="1:9" ht="18" customHeight="1" x14ac:dyDescent="0.25">
      <c r="A140" s="14"/>
      <c r="B140" s="37"/>
      <c r="C140" s="7"/>
      <c r="D140" s="14"/>
      <c r="E140" s="140"/>
      <c r="F140" s="141"/>
      <c r="G140" s="18">
        <f t="shared" si="2"/>
        <v>-18</v>
      </c>
      <c r="H140" s="18"/>
      <c r="I140" s="7"/>
    </row>
    <row r="141" spans="1:9" ht="18" customHeight="1" x14ac:dyDescent="0.25">
      <c r="A141" s="14"/>
      <c r="B141" s="37"/>
      <c r="C141" s="7"/>
      <c r="D141" s="14"/>
      <c r="E141" s="140"/>
      <c r="F141" s="141"/>
      <c r="G141" s="18">
        <f t="shared" ref="G141:G143" si="4">+G140+E141-F141</f>
        <v>-18</v>
      </c>
      <c r="H141" s="18"/>
      <c r="I141" s="7"/>
    </row>
    <row r="142" spans="1:9" ht="18" customHeight="1" x14ac:dyDescent="0.25">
      <c r="A142" s="14"/>
      <c r="B142" s="37"/>
      <c r="C142" s="7"/>
      <c r="D142" s="14"/>
      <c r="E142" s="140"/>
      <c r="F142" s="141"/>
      <c r="G142" s="18">
        <f t="shared" si="4"/>
        <v>-18</v>
      </c>
      <c r="H142" s="18"/>
      <c r="I142" s="7"/>
    </row>
    <row r="143" spans="1:9" ht="18" customHeight="1" x14ac:dyDescent="0.25">
      <c r="A143" s="14">
        <f>+A127+1</f>
        <v>119</v>
      </c>
      <c r="B143" s="134"/>
      <c r="C143" s="7"/>
      <c r="D143" s="14"/>
      <c r="E143" s="140"/>
      <c r="F143" s="141"/>
      <c r="G143" s="18">
        <f t="shared" si="4"/>
        <v>-18</v>
      </c>
      <c r="H143" s="18"/>
      <c r="I143" s="7"/>
    </row>
    <row r="144" spans="1:9" ht="18" customHeight="1" x14ac:dyDescent="0.25">
      <c r="A144" s="7"/>
      <c r="B144" s="7"/>
      <c r="C144" s="34" t="s">
        <v>13</v>
      </c>
      <c r="D144" s="7"/>
      <c r="E144" s="35">
        <f>SUM(E8:E143)</f>
        <v>920</v>
      </c>
      <c r="F144" s="35">
        <f>SUM(F8:F143)</f>
        <v>1016</v>
      </c>
      <c r="G144" s="35">
        <f>+E144-F144+G8</f>
        <v>-18</v>
      </c>
      <c r="H144" s="35"/>
      <c r="I144" s="36"/>
    </row>
    <row r="147" spans="5:9" x14ac:dyDescent="0.25">
      <c r="E147" s="201"/>
      <c r="F147" s="201"/>
      <c r="G147" s="201"/>
      <c r="H147" s="201"/>
    </row>
    <row r="148" spans="5:9" x14ac:dyDescent="0.25">
      <c r="F148" s="26"/>
    </row>
    <row r="149" spans="5:9" x14ac:dyDescent="0.25">
      <c r="E149" s="26"/>
      <c r="F149" s="26"/>
      <c r="G149" s="26"/>
      <c r="H149" s="26"/>
      <c r="I149" s="26"/>
    </row>
    <row r="150" spans="5:9" x14ac:dyDescent="0.25">
      <c r="I150" s="202"/>
    </row>
    <row r="151" spans="5:9" x14ac:dyDescent="0.25">
      <c r="E151" s="199"/>
    </row>
    <row r="152" spans="5:9" x14ac:dyDescent="0.25">
      <c r="E152" s="26"/>
      <c r="F152" s="26"/>
    </row>
    <row r="153" spans="5:9" x14ac:dyDescent="0.25">
      <c r="E153" s="203"/>
      <c r="F153" s="204"/>
      <c r="G153" s="203"/>
      <c r="H153" s="203"/>
    </row>
    <row r="154" spans="5:9" x14ac:dyDescent="0.25">
      <c r="F154" s="26"/>
    </row>
  </sheetData>
  <mergeCells count="1">
    <mergeCell ref="A4:I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1"/>
  <dimension ref="A1:AQ1048474"/>
  <sheetViews>
    <sheetView topLeftCell="A76" workbookViewId="0">
      <selection activeCell="G102" sqref="E102:G10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42578125" customWidth="1"/>
    <col min="9" max="9" width="12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6.140625" customWidth="1"/>
    <col min="265" max="265" width="12.285156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6.140625" customWidth="1"/>
    <col min="521" max="521" width="12.285156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6.140625" customWidth="1"/>
    <col min="777" max="777" width="12.285156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6.140625" customWidth="1"/>
    <col min="1033" max="1033" width="12.285156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6.140625" customWidth="1"/>
    <col min="1289" max="1289" width="12.285156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6.140625" customWidth="1"/>
    <col min="1545" max="1545" width="12.285156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6.140625" customWidth="1"/>
    <col min="1801" max="1801" width="12.285156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6.140625" customWidth="1"/>
    <col min="2057" max="2057" width="12.285156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6.140625" customWidth="1"/>
    <col min="2313" max="2313" width="12.285156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6.140625" customWidth="1"/>
    <col min="2569" max="2569" width="12.285156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6.140625" customWidth="1"/>
    <col min="2825" max="2825" width="12.285156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6.140625" customWidth="1"/>
    <col min="3081" max="3081" width="12.285156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6.140625" customWidth="1"/>
    <col min="3337" max="3337" width="12.285156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6.140625" customWidth="1"/>
    <col min="3593" max="3593" width="12.285156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6.140625" customWidth="1"/>
    <col min="3849" max="3849" width="12.285156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6.140625" customWidth="1"/>
    <col min="4105" max="4105" width="12.285156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6.140625" customWidth="1"/>
    <col min="4361" max="4361" width="12.285156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6.140625" customWidth="1"/>
    <col min="4617" max="4617" width="12.285156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6.140625" customWidth="1"/>
    <col min="4873" max="4873" width="12.285156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6.140625" customWidth="1"/>
    <col min="5129" max="5129" width="12.285156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6.140625" customWidth="1"/>
    <col min="5385" max="5385" width="12.285156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6.140625" customWidth="1"/>
    <col min="5641" max="5641" width="12.285156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6.140625" customWidth="1"/>
    <col min="5897" max="5897" width="12.285156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6.140625" customWidth="1"/>
    <col min="6153" max="6153" width="12.285156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6.140625" customWidth="1"/>
    <col min="6409" max="6409" width="12.285156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6.140625" customWidth="1"/>
    <col min="6665" max="6665" width="12.285156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6.140625" customWidth="1"/>
    <col min="6921" max="6921" width="12.285156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6.140625" customWidth="1"/>
    <col min="7177" max="7177" width="12.285156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6.140625" customWidth="1"/>
    <col min="7433" max="7433" width="12.285156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6.140625" customWidth="1"/>
    <col min="7689" max="7689" width="12.285156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6.140625" customWidth="1"/>
    <col min="7945" max="7945" width="12.285156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6.140625" customWidth="1"/>
    <col min="8201" max="8201" width="12.285156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6.140625" customWidth="1"/>
    <col min="8457" max="8457" width="12.285156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6.140625" customWidth="1"/>
    <col min="8713" max="8713" width="12.285156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6.140625" customWidth="1"/>
    <col min="8969" max="8969" width="12.285156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6.140625" customWidth="1"/>
    <col min="9225" max="9225" width="12.285156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6.140625" customWidth="1"/>
    <col min="9481" max="9481" width="12.285156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6.140625" customWidth="1"/>
    <col min="9737" max="9737" width="12.285156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6.140625" customWidth="1"/>
    <col min="9993" max="9993" width="12.285156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6.140625" customWidth="1"/>
    <col min="10249" max="10249" width="12.285156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6.140625" customWidth="1"/>
    <col min="10505" max="10505" width="12.285156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6.140625" customWidth="1"/>
    <col min="10761" max="10761" width="12.285156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6.140625" customWidth="1"/>
    <col min="11017" max="11017" width="12.285156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6.140625" customWidth="1"/>
    <col min="11273" max="11273" width="12.285156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6.140625" customWidth="1"/>
    <col min="11529" max="11529" width="12.285156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6.140625" customWidth="1"/>
    <col min="11785" max="11785" width="12.285156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6.140625" customWidth="1"/>
    <col min="12041" max="12041" width="12.285156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6.140625" customWidth="1"/>
    <col min="12297" max="12297" width="12.285156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6.140625" customWidth="1"/>
    <col min="12553" max="12553" width="12.285156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6.140625" customWidth="1"/>
    <col min="12809" max="12809" width="12.285156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6.140625" customWidth="1"/>
    <col min="13065" max="13065" width="12.285156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6.140625" customWidth="1"/>
    <col min="13321" max="13321" width="12.285156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6.140625" customWidth="1"/>
    <col min="13577" max="13577" width="12.285156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6.140625" customWidth="1"/>
    <col min="13833" max="13833" width="12.285156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6.140625" customWidth="1"/>
    <col min="14089" max="14089" width="12.285156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6.140625" customWidth="1"/>
    <col min="14345" max="14345" width="12.285156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6.140625" customWidth="1"/>
    <col min="14601" max="14601" width="12.285156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6.140625" customWidth="1"/>
    <col min="14857" max="14857" width="12.285156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6.140625" customWidth="1"/>
    <col min="15113" max="15113" width="12.285156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6.140625" customWidth="1"/>
    <col min="15369" max="15369" width="12.285156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6.140625" customWidth="1"/>
    <col min="15625" max="15625" width="12.285156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6.140625" customWidth="1"/>
    <col min="15881" max="15881" width="12.285156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6.140625" customWidth="1"/>
    <col min="16137" max="16137" width="12.285156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>
        <v>45658</v>
      </c>
      <c r="C8" s="9" t="s">
        <v>32</v>
      </c>
      <c r="D8" s="10"/>
      <c r="E8" s="11"/>
      <c r="F8" s="12"/>
      <c r="G8" s="7">
        <v>788</v>
      </c>
      <c r="H8" s="7"/>
      <c r="I8" s="7"/>
    </row>
    <row r="9" spans="1:10" ht="18" customHeight="1" x14ac:dyDescent="0.25">
      <c r="A9" s="14">
        <v>1</v>
      </c>
      <c r="B9" s="8">
        <v>45664</v>
      </c>
      <c r="C9" s="15" t="s">
        <v>114</v>
      </c>
      <c r="D9" s="14" t="s">
        <v>12</v>
      </c>
      <c r="E9" s="51"/>
      <c r="F9" s="27">
        <v>1</v>
      </c>
      <c r="G9" s="18">
        <f t="shared" ref="G9:G73" si="0">+G8+E9-F9</f>
        <v>787</v>
      </c>
      <c r="H9" s="28" t="s">
        <v>131</v>
      </c>
      <c r="I9" s="7" t="s">
        <v>90</v>
      </c>
    </row>
    <row r="10" spans="1:10" ht="18" customHeight="1" x14ac:dyDescent="0.25">
      <c r="A10" s="14">
        <f t="shared" ref="A10:A74" si="1">+A9+1</f>
        <v>2</v>
      </c>
      <c r="B10" s="8">
        <v>45665</v>
      </c>
      <c r="C10" s="15" t="s">
        <v>114</v>
      </c>
      <c r="D10" s="14" t="s">
        <v>12</v>
      </c>
      <c r="E10" s="16"/>
      <c r="F10" s="27">
        <v>8</v>
      </c>
      <c r="G10" s="18">
        <f t="shared" si="0"/>
        <v>779</v>
      </c>
      <c r="H10" s="28" t="s">
        <v>131</v>
      </c>
      <c r="I10" s="7" t="s">
        <v>90</v>
      </c>
    </row>
    <row r="11" spans="1:10" ht="18" customHeight="1" x14ac:dyDescent="0.25">
      <c r="A11" s="14">
        <f t="shared" si="1"/>
        <v>3</v>
      </c>
      <c r="B11" s="8">
        <v>45666</v>
      </c>
      <c r="C11" s="15" t="s">
        <v>114</v>
      </c>
      <c r="D11" s="14" t="s">
        <v>12</v>
      </c>
      <c r="E11" s="16"/>
      <c r="F11" s="27">
        <v>4</v>
      </c>
      <c r="G11" s="18">
        <f>+G10+E11-F11</f>
        <v>775</v>
      </c>
      <c r="H11" s="28" t="s">
        <v>131</v>
      </c>
      <c r="I11" s="7" t="s">
        <v>90</v>
      </c>
    </row>
    <row r="12" spans="1:10" ht="18" customHeight="1" x14ac:dyDescent="0.25">
      <c r="A12" s="14">
        <f t="shared" si="1"/>
        <v>4</v>
      </c>
      <c r="B12" s="8">
        <v>45765</v>
      </c>
      <c r="C12" s="15" t="s">
        <v>114</v>
      </c>
      <c r="D12" s="14" t="s">
        <v>12</v>
      </c>
      <c r="E12" s="16"/>
      <c r="F12" s="17">
        <v>9</v>
      </c>
      <c r="G12" s="18">
        <f>+G11+E12-F12</f>
        <v>766</v>
      </c>
      <c r="H12" s="28" t="s">
        <v>131</v>
      </c>
      <c r="I12" s="7" t="s">
        <v>90</v>
      </c>
    </row>
    <row r="13" spans="1:10" ht="18" customHeight="1" x14ac:dyDescent="0.25">
      <c r="A13" s="14">
        <f t="shared" si="1"/>
        <v>5</v>
      </c>
      <c r="B13" s="8">
        <v>45818</v>
      </c>
      <c r="C13" s="15" t="s">
        <v>114</v>
      </c>
      <c r="D13" s="14" t="s">
        <v>12</v>
      </c>
      <c r="E13" s="16"/>
      <c r="F13" s="27">
        <v>6</v>
      </c>
      <c r="G13" s="18">
        <f>+G12+E13-F13</f>
        <v>760</v>
      </c>
      <c r="H13" s="28" t="s">
        <v>131</v>
      </c>
      <c r="I13" s="7" t="s">
        <v>90</v>
      </c>
    </row>
    <row r="14" spans="1:10" ht="18" customHeight="1" x14ac:dyDescent="0.25">
      <c r="A14" s="14">
        <f t="shared" si="1"/>
        <v>6</v>
      </c>
      <c r="B14" s="8">
        <v>45866</v>
      </c>
      <c r="C14" s="15" t="s">
        <v>114</v>
      </c>
      <c r="D14" s="14" t="s">
        <v>12</v>
      </c>
      <c r="E14" s="16"/>
      <c r="F14" s="17">
        <v>2</v>
      </c>
      <c r="G14" s="18">
        <f>+G13+E14-F14</f>
        <v>758</v>
      </c>
      <c r="H14" s="28" t="s">
        <v>131</v>
      </c>
      <c r="I14" s="7" t="s">
        <v>90</v>
      </c>
      <c r="J14" s="26"/>
    </row>
    <row r="15" spans="1:10" ht="18" customHeight="1" x14ac:dyDescent="0.25">
      <c r="A15" s="14">
        <f t="shared" si="1"/>
        <v>7</v>
      </c>
      <c r="B15" s="8">
        <v>45877</v>
      </c>
      <c r="C15" s="15" t="s">
        <v>114</v>
      </c>
      <c r="D15" s="14" t="s">
        <v>12</v>
      </c>
      <c r="E15" s="16"/>
      <c r="F15" s="17">
        <v>5</v>
      </c>
      <c r="G15" s="18">
        <f t="shared" si="0"/>
        <v>753</v>
      </c>
      <c r="H15" s="28" t="s">
        <v>131</v>
      </c>
      <c r="I15" s="7" t="s">
        <v>90</v>
      </c>
    </row>
    <row r="16" spans="1:10" ht="18" customHeight="1" x14ac:dyDescent="0.25">
      <c r="A16" s="14"/>
      <c r="B16" s="8">
        <v>45878</v>
      </c>
      <c r="C16" s="15" t="s">
        <v>114</v>
      </c>
      <c r="D16" s="14"/>
      <c r="E16" s="16"/>
      <c r="F16" s="17">
        <v>3</v>
      </c>
      <c r="G16" s="18">
        <f t="shared" si="0"/>
        <v>750</v>
      </c>
      <c r="H16" s="28"/>
      <c r="I16" s="7"/>
    </row>
    <row r="17" spans="1:9" ht="18" customHeight="1" x14ac:dyDescent="0.25">
      <c r="A17" s="14">
        <f>+A15+1</f>
        <v>8</v>
      </c>
      <c r="B17" s="8">
        <v>45889</v>
      </c>
      <c r="C17" s="15" t="s">
        <v>114</v>
      </c>
      <c r="D17" s="14" t="s">
        <v>33</v>
      </c>
      <c r="E17" s="16"/>
      <c r="F17" s="17">
        <v>2</v>
      </c>
      <c r="G17" s="18">
        <f t="shared" si="0"/>
        <v>748</v>
      </c>
      <c r="H17" s="28" t="s">
        <v>131</v>
      </c>
      <c r="I17" s="7" t="s">
        <v>90</v>
      </c>
    </row>
    <row r="18" spans="1:9" ht="18" customHeight="1" x14ac:dyDescent="0.25">
      <c r="A18" s="14">
        <f t="shared" si="1"/>
        <v>9</v>
      </c>
      <c r="B18" s="8">
        <v>45890</v>
      </c>
      <c r="C18" s="15" t="s">
        <v>114</v>
      </c>
      <c r="D18" s="14" t="s">
        <v>33</v>
      </c>
      <c r="E18" s="16"/>
      <c r="F18" s="17">
        <v>8</v>
      </c>
      <c r="G18" s="18">
        <f t="shared" si="0"/>
        <v>740</v>
      </c>
      <c r="H18" s="28" t="s">
        <v>131</v>
      </c>
      <c r="I18" s="7" t="s">
        <v>90</v>
      </c>
    </row>
    <row r="19" spans="1:9" ht="18" customHeight="1" x14ac:dyDescent="0.25">
      <c r="A19" s="14">
        <f t="shared" si="1"/>
        <v>10</v>
      </c>
      <c r="B19" s="8">
        <v>45898</v>
      </c>
      <c r="C19" s="15" t="s">
        <v>114</v>
      </c>
      <c r="D19" s="14" t="s">
        <v>33</v>
      </c>
      <c r="E19" s="16"/>
      <c r="F19" s="17">
        <v>1</v>
      </c>
      <c r="G19" s="18">
        <f t="shared" si="0"/>
        <v>739</v>
      </c>
      <c r="H19" s="28"/>
      <c r="I19" s="7"/>
    </row>
    <row r="20" spans="1:9" ht="18" customHeight="1" x14ac:dyDescent="0.25">
      <c r="A20" s="14">
        <f t="shared" si="1"/>
        <v>11</v>
      </c>
      <c r="B20" s="8"/>
      <c r="C20" s="15" t="s">
        <v>114</v>
      </c>
      <c r="D20" s="14" t="s">
        <v>33</v>
      </c>
      <c r="E20" s="16"/>
      <c r="F20" s="17"/>
      <c r="G20" s="18">
        <f t="shared" si="0"/>
        <v>739</v>
      </c>
      <c r="H20" s="28"/>
      <c r="I20" s="7"/>
    </row>
    <row r="21" spans="1:9" ht="18" customHeight="1" x14ac:dyDescent="0.25">
      <c r="A21" s="14">
        <f t="shared" si="1"/>
        <v>12</v>
      </c>
      <c r="B21" s="8"/>
      <c r="C21" s="15" t="s">
        <v>114</v>
      </c>
      <c r="D21" s="14" t="s">
        <v>33</v>
      </c>
      <c r="E21" s="16"/>
      <c r="F21" s="17"/>
      <c r="G21" s="18">
        <f t="shared" si="0"/>
        <v>739</v>
      </c>
      <c r="H21" s="28"/>
      <c r="I21" s="7"/>
    </row>
    <row r="22" spans="1:9" ht="18" customHeight="1" x14ac:dyDescent="0.25">
      <c r="A22" s="14">
        <f t="shared" si="1"/>
        <v>13</v>
      </c>
      <c r="B22" s="8"/>
      <c r="C22" s="15" t="s">
        <v>114</v>
      </c>
      <c r="D22" s="14" t="s">
        <v>33</v>
      </c>
      <c r="E22" s="16"/>
      <c r="F22" s="17"/>
      <c r="G22" s="18">
        <f t="shared" si="0"/>
        <v>739</v>
      </c>
      <c r="H22" s="28"/>
      <c r="I22" s="7"/>
    </row>
    <row r="23" spans="1:9" ht="18" customHeight="1" x14ac:dyDescent="0.25">
      <c r="A23" s="14">
        <f t="shared" si="1"/>
        <v>14</v>
      </c>
      <c r="B23" s="8"/>
      <c r="C23" s="15" t="s">
        <v>114</v>
      </c>
      <c r="D23" s="14" t="s">
        <v>33</v>
      </c>
      <c r="E23" s="16"/>
      <c r="F23" s="17"/>
      <c r="G23" s="18">
        <f t="shared" si="0"/>
        <v>739</v>
      </c>
      <c r="H23" s="28"/>
      <c r="I23" s="7"/>
    </row>
    <row r="24" spans="1:9" ht="18" customHeight="1" x14ac:dyDescent="0.25">
      <c r="A24" s="14">
        <f t="shared" si="1"/>
        <v>15</v>
      </c>
      <c r="B24" s="8"/>
      <c r="C24" s="15" t="s">
        <v>114</v>
      </c>
      <c r="D24" s="14" t="s">
        <v>33</v>
      </c>
      <c r="E24" s="32"/>
      <c r="F24" s="17"/>
      <c r="G24" s="18">
        <f t="shared" si="0"/>
        <v>739</v>
      </c>
      <c r="H24" s="28"/>
      <c r="I24" s="7"/>
    </row>
    <row r="25" spans="1:9" ht="18" customHeight="1" x14ac:dyDescent="0.25">
      <c r="A25" s="14">
        <f t="shared" si="1"/>
        <v>16</v>
      </c>
      <c r="B25" s="8"/>
      <c r="C25" s="15" t="s">
        <v>114</v>
      </c>
      <c r="D25" s="14" t="s">
        <v>33</v>
      </c>
      <c r="E25" s="32"/>
      <c r="F25" s="17"/>
      <c r="G25" s="18">
        <f t="shared" si="0"/>
        <v>739</v>
      </c>
      <c r="H25" s="28"/>
      <c r="I25" s="7"/>
    </row>
    <row r="26" spans="1:9" ht="18" customHeight="1" x14ac:dyDescent="0.25">
      <c r="A26" s="14">
        <f t="shared" si="1"/>
        <v>17</v>
      </c>
      <c r="B26" s="8"/>
      <c r="C26" s="15" t="s">
        <v>114</v>
      </c>
      <c r="D26" s="14" t="s">
        <v>33</v>
      </c>
      <c r="E26" s="32"/>
      <c r="F26" s="17"/>
      <c r="G26" s="18">
        <f t="shared" si="0"/>
        <v>739</v>
      </c>
      <c r="H26" s="28"/>
      <c r="I26" s="7"/>
    </row>
    <row r="27" spans="1:9" ht="18" customHeight="1" x14ac:dyDescent="0.25">
      <c r="A27" s="14">
        <f t="shared" si="1"/>
        <v>18</v>
      </c>
      <c r="B27" s="197"/>
      <c r="C27" s="15" t="s">
        <v>114</v>
      </c>
      <c r="D27" s="14" t="s">
        <v>33</v>
      </c>
      <c r="E27" s="32"/>
      <c r="F27" s="27"/>
      <c r="G27" s="18">
        <f t="shared" si="0"/>
        <v>739</v>
      </c>
      <c r="H27" s="28"/>
      <c r="I27" s="7"/>
    </row>
    <row r="28" spans="1:9" ht="18" customHeight="1" x14ac:dyDescent="0.25">
      <c r="A28" s="14">
        <f t="shared" si="1"/>
        <v>19</v>
      </c>
      <c r="B28" s="8"/>
      <c r="C28" s="15" t="s">
        <v>114</v>
      </c>
      <c r="D28" s="14" t="s">
        <v>33</v>
      </c>
      <c r="E28" s="32"/>
      <c r="F28" s="27"/>
      <c r="G28" s="18">
        <f t="shared" si="0"/>
        <v>739</v>
      </c>
      <c r="H28" s="28"/>
      <c r="I28" s="7"/>
    </row>
    <row r="29" spans="1:9" ht="18" customHeight="1" x14ac:dyDescent="0.25">
      <c r="A29" s="14">
        <f t="shared" si="1"/>
        <v>20</v>
      </c>
      <c r="B29" s="8"/>
      <c r="C29" s="15" t="s">
        <v>114</v>
      </c>
      <c r="D29" s="14" t="s">
        <v>33</v>
      </c>
      <c r="E29" s="32"/>
      <c r="F29" s="27"/>
      <c r="G29" s="18">
        <f t="shared" si="0"/>
        <v>739</v>
      </c>
      <c r="H29" s="28"/>
      <c r="I29" s="7"/>
    </row>
    <row r="30" spans="1:9" ht="18" customHeight="1" x14ac:dyDescent="0.25">
      <c r="A30" s="14">
        <f t="shared" si="1"/>
        <v>21</v>
      </c>
      <c r="B30" s="8"/>
      <c r="C30" s="15" t="s">
        <v>114</v>
      </c>
      <c r="D30" s="14" t="s">
        <v>33</v>
      </c>
      <c r="E30" s="32"/>
      <c r="F30" s="27"/>
      <c r="G30" s="18">
        <f t="shared" si="0"/>
        <v>739</v>
      </c>
      <c r="H30" s="28"/>
      <c r="I30" s="7"/>
    </row>
    <row r="31" spans="1:9" ht="18" customHeight="1" x14ac:dyDescent="0.25">
      <c r="A31" s="14">
        <f t="shared" si="1"/>
        <v>22</v>
      </c>
      <c r="B31" s="8"/>
      <c r="C31" s="15" t="s">
        <v>114</v>
      </c>
      <c r="D31" s="14" t="s">
        <v>33</v>
      </c>
      <c r="E31" s="32"/>
      <c r="F31" s="27"/>
      <c r="G31" s="18">
        <f t="shared" si="0"/>
        <v>739</v>
      </c>
      <c r="H31" s="28"/>
      <c r="I31" s="7"/>
    </row>
    <row r="32" spans="1:9" ht="18" customHeight="1" x14ac:dyDescent="0.25">
      <c r="A32" s="14">
        <f t="shared" si="1"/>
        <v>23</v>
      </c>
      <c r="B32" s="8"/>
      <c r="C32" s="15" t="s">
        <v>114</v>
      </c>
      <c r="D32" s="14" t="s">
        <v>33</v>
      </c>
      <c r="E32" s="32"/>
      <c r="F32" s="27"/>
      <c r="G32" s="18">
        <f t="shared" si="0"/>
        <v>739</v>
      </c>
      <c r="H32" s="28"/>
      <c r="I32" s="7"/>
    </row>
    <row r="33" spans="1:17" ht="18" customHeight="1" x14ac:dyDescent="0.25">
      <c r="A33" s="14">
        <f t="shared" si="1"/>
        <v>24</v>
      </c>
      <c r="B33" s="8"/>
      <c r="C33" s="15" t="s">
        <v>114</v>
      </c>
      <c r="D33" s="14" t="s">
        <v>33</v>
      </c>
      <c r="E33" s="32"/>
      <c r="F33" s="27"/>
      <c r="G33" s="18">
        <f t="shared" si="0"/>
        <v>739</v>
      </c>
      <c r="H33" s="28"/>
      <c r="I33" s="7"/>
    </row>
    <row r="34" spans="1:17" ht="18" customHeight="1" x14ac:dyDescent="0.25">
      <c r="A34" s="14">
        <f t="shared" si="1"/>
        <v>25</v>
      </c>
      <c r="B34" s="8"/>
      <c r="C34" s="15" t="s">
        <v>114</v>
      </c>
      <c r="D34" s="14" t="s">
        <v>33</v>
      </c>
      <c r="E34" s="32"/>
      <c r="F34" s="27"/>
      <c r="G34" s="18">
        <f t="shared" si="0"/>
        <v>739</v>
      </c>
      <c r="H34" s="28"/>
      <c r="I34" s="7"/>
    </row>
    <row r="35" spans="1:17" ht="18" customHeight="1" x14ac:dyDescent="0.25">
      <c r="A35" s="14">
        <f t="shared" si="1"/>
        <v>26</v>
      </c>
      <c r="B35" s="8"/>
      <c r="C35" s="15" t="s">
        <v>114</v>
      </c>
      <c r="D35" s="14" t="s">
        <v>33</v>
      </c>
      <c r="E35" s="32"/>
      <c r="F35" s="27"/>
      <c r="G35" s="18">
        <f t="shared" si="0"/>
        <v>739</v>
      </c>
      <c r="H35" s="28"/>
      <c r="I35" s="7"/>
    </row>
    <row r="36" spans="1:17" ht="18" customHeight="1" x14ac:dyDescent="0.25">
      <c r="A36" s="14">
        <f t="shared" si="1"/>
        <v>27</v>
      </c>
      <c r="B36" s="8"/>
      <c r="C36" s="15" t="s">
        <v>114</v>
      </c>
      <c r="D36" s="14" t="s">
        <v>33</v>
      </c>
      <c r="E36" s="32"/>
      <c r="F36" s="27"/>
      <c r="G36" s="18">
        <f t="shared" si="0"/>
        <v>739</v>
      </c>
      <c r="H36" s="18"/>
      <c r="I36" s="7"/>
    </row>
    <row r="37" spans="1:17" ht="18" customHeight="1" x14ac:dyDescent="0.25">
      <c r="A37" s="14">
        <f t="shared" si="1"/>
        <v>28</v>
      </c>
      <c r="B37" s="8"/>
      <c r="C37" s="15" t="s">
        <v>114</v>
      </c>
      <c r="D37" s="10"/>
      <c r="E37" s="32"/>
      <c r="F37" s="27"/>
      <c r="G37" s="18">
        <f t="shared" si="0"/>
        <v>739</v>
      </c>
      <c r="H37" s="18"/>
      <c r="I37" s="7"/>
    </row>
    <row r="38" spans="1:17" ht="18" customHeight="1" x14ac:dyDescent="0.25">
      <c r="A38" s="14">
        <f t="shared" si="1"/>
        <v>29</v>
      </c>
      <c r="B38" s="8"/>
      <c r="C38" s="15" t="s">
        <v>114</v>
      </c>
      <c r="D38" s="10"/>
      <c r="E38" s="32"/>
      <c r="F38" s="27"/>
      <c r="G38" s="18">
        <f t="shared" si="0"/>
        <v>739</v>
      </c>
      <c r="H38" s="18"/>
      <c r="I38" s="7"/>
    </row>
    <row r="39" spans="1:17" ht="18" customHeight="1" x14ac:dyDescent="0.25">
      <c r="A39" s="14">
        <f t="shared" si="1"/>
        <v>30</v>
      </c>
      <c r="B39" s="8"/>
      <c r="C39" s="15" t="s">
        <v>114</v>
      </c>
      <c r="D39" s="10"/>
      <c r="E39" s="32"/>
      <c r="F39" s="27"/>
      <c r="G39" s="18">
        <f t="shared" si="0"/>
        <v>739</v>
      </c>
      <c r="H39" s="18"/>
      <c r="I39" s="7"/>
    </row>
    <row r="40" spans="1:17" ht="18" customHeight="1" x14ac:dyDescent="0.25">
      <c r="A40" s="14">
        <f t="shared" si="1"/>
        <v>31</v>
      </c>
      <c r="B40" s="8"/>
      <c r="C40" s="46"/>
      <c r="D40" s="10"/>
      <c r="E40" s="32"/>
      <c r="F40" s="27"/>
      <c r="G40" s="18">
        <f t="shared" si="0"/>
        <v>739</v>
      </c>
      <c r="H40" s="18"/>
      <c r="I40" s="7"/>
    </row>
    <row r="41" spans="1:17" ht="18" customHeight="1" x14ac:dyDescent="0.25">
      <c r="A41" s="14">
        <f t="shared" si="1"/>
        <v>32</v>
      </c>
      <c r="B41" s="8"/>
      <c r="C41" s="46"/>
      <c r="D41" s="10"/>
      <c r="E41" s="32"/>
      <c r="F41" s="27"/>
      <c r="G41" s="18">
        <f t="shared" si="0"/>
        <v>739</v>
      </c>
      <c r="H41" s="18"/>
      <c r="I41" s="7"/>
    </row>
    <row r="42" spans="1:17" ht="18" customHeight="1" x14ac:dyDescent="0.25">
      <c r="A42" s="14">
        <f t="shared" si="1"/>
        <v>33</v>
      </c>
      <c r="B42" s="8"/>
      <c r="C42" s="46"/>
      <c r="D42" s="10"/>
      <c r="E42" s="32"/>
      <c r="F42" s="27"/>
      <c r="G42" s="18">
        <f t="shared" si="0"/>
        <v>739</v>
      </c>
      <c r="H42" s="18"/>
      <c r="I42" s="7"/>
    </row>
    <row r="43" spans="1:17" ht="18" customHeight="1" x14ac:dyDescent="0.25">
      <c r="A43" s="14">
        <f t="shared" si="1"/>
        <v>34</v>
      </c>
      <c r="B43" s="8"/>
      <c r="C43" s="46"/>
      <c r="D43" s="10"/>
      <c r="E43" s="32"/>
      <c r="F43" s="27"/>
      <c r="G43" s="18">
        <f t="shared" si="0"/>
        <v>739</v>
      </c>
      <c r="H43" s="18"/>
      <c r="I43" s="7"/>
    </row>
    <row r="44" spans="1:17" ht="18" customHeight="1" x14ac:dyDescent="0.25">
      <c r="A44" s="14">
        <f t="shared" si="1"/>
        <v>35</v>
      </c>
      <c r="B44" s="8"/>
      <c r="C44" s="46"/>
      <c r="D44" s="10"/>
      <c r="E44" s="32"/>
      <c r="F44" s="27"/>
      <c r="G44" s="18">
        <f t="shared" si="0"/>
        <v>739</v>
      </c>
      <c r="H44" s="18"/>
      <c r="I44" s="7"/>
    </row>
    <row r="45" spans="1:17" ht="18" customHeight="1" x14ac:dyDescent="0.25">
      <c r="A45" s="14">
        <f t="shared" si="1"/>
        <v>36</v>
      </c>
      <c r="B45" s="8"/>
      <c r="C45" s="46"/>
      <c r="D45" s="10"/>
      <c r="E45" s="32"/>
      <c r="F45" s="27"/>
      <c r="G45" s="18">
        <f t="shared" si="0"/>
        <v>739</v>
      </c>
      <c r="H45" s="18"/>
      <c r="I45" s="7"/>
      <c r="L45" s="199"/>
      <c r="Q45" s="199"/>
    </row>
    <row r="46" spans="1:17" ht="18" customHeight="1" x14ac:dyDescent="0.25">
      <c r="A46" s="14">
        <f t="shared" si="1"/>
        <v>37</v>
      </c>
      <c r="B46" s="8"/>
      <c r="C46" s="46"/>
      <c r="D46" s="10"/>
      <c r="E46" s="32"/>
      <c r="F46" s="27"/>
      <c r="G46" s="18">
        <f t="shared" si="0"/>
        <v>739</v>
      </c>
      <c r="H46" s="18"/>
      <c r="I46" s="7"/>
      <c r="L46" s="199"/>
      <c r="Q46" s="199"/>
    </row>
    <row r="47" spans="1:17" ht="18" customHeight="1" x14ac:dyDescent="0.25">
      <c r="A47" s="14">
        <f t="shared" si="1"/>
        <v>38</v>
      </c>
      <c r="B47" s="8"/>
      <c r="C47" s="46"/>
      <c r="D47" s="10"/>
      <c r="E47" s="32"/>
      <c r="F47" s="27"/>
      <c r="G47" s="18">
        <f t="shared" si="0"/>
        <v>739</v>
      </c>
      <c r="H47" s="18"/>
      <c r="I47" s="7"/>
      <c r="L47" s="199"/>
      <c r="Q47" s="199"/>
    </row>
    <row r="48" spans="1:17" ht="18" customHeight="1" x14ac:dyDescent="0.25">
      <c r="A48" s="14">
        <f t="shared" si="1"/>
        <v>39</v>
      </c>
      <c r="B48" s="8"/>
      <c r="C48" s="46"/>
      <c r="D48" s="10"/>
      <c r="E48" s="32"/>
      <c r="F48" s="27"/>
      <c r="G48" s="18">
        <f t="shared" si="0"/>
        <v>739</v>
      </c>
      <c r="H48" s="18"/>
      <c r="I48" s="7"/>
      <c r="L48" s="199"/>
      <c r="Q48" s="199"/>
    </row>
    <row r="49" spans="1:17" ht="18" customHeight="1" x14ac:dyDescent="0.25">
      <c r="A49" s="14">
        <f t="shared" si="1"/>
        <v>40</v>
      </c>
      <c r="B49" s="8"/>
      <c r="C49" s="46"/>
      <c r="D49" s="10"/>
      <c r="E49" s="32"/>
      <c r="F49" s="27"/>
      <c r="G49" s="18">
        <f t="shared" si="0"/>
        <v>739</v>
      </c>
      <c r="H49" s="18"/>
      <c r="I49" s="7"/>
      <c r="L49" s="199"/>
      <c r="Q49" s="199"/>
    </row>
    <row r="50" spans="1:17" ht="18" customHeight="1" x14ac:dyDescent="0.25">
      <c r="A50" s="14">
        <f t="shared" si="1"/>
        <v>41</v>
      </c>
      <c r="B50" s="8"/>
      <c r="C50" s="46"/>
      <c r="D50" s="10"/>
      <c r="E50" s="32"/>
      <c r="F50" s="27"/>
      <c r="G50" s="18">
        <f t="shared" si="0"/>
        <v>739</v>
      </c>
      <c r="H50" s="18"/>
      <c r="I50" s="7"/>
      <c r="L50" s="199"/>
      <c r="Q50" s="199"/>
    </row>
    <row r="51" spans="1:17" ht="18" customHeight="1" x14ac:dyDescent="0.25">
      <c r="A51" s="14">
        <f t="shared" si="1"/>
        <v>42</v>
      </c>
      <c r="B51" s="8"/>
      <c r="C51" s="46"/>
      <c r="D51" s="10"/>
      <c r="E51" s="32"/>
      <c r="F51" s="27"/>
      <c r="G51" s="18">
        <f t="shared" si="0"/>
        <v>739</v>
      </c>
      <c r="H51" s="18"/>
      <c r="I51" s="7"/>
      <c r="L51" s="199"/>
      <c r="Q51" s="199"/>
    </row>
    <row r="52" spans="1:17" ht="18" customHeight="1" x14ac:dyDescent="0.25">
      <c r="A52" s="14">
        <f t="shared" si="1"/>
        <v>43</v>
      </c>
      <c r="B52" s="8"/>
      <c r="C52" s="46"/>
      <c r="D52" s="10"/>
      <c r="E52" s="32"/>
      <c r="F52" s="27"/>
      <c r="G52" s="18">
        <f t="shared" si="0"/>
        <v>739</v>
      </c>
      <c r="H52" s="18"/>
      <c r="I52" s="7"/>
      <c r="L52" s="199"/>
      <c r="Q52" s="200"/>
    </row>
    <row r="53" spans="1:17" ht="18" customHeight="1" x14ac:dyDescent="0.25">
      <c r="A53" s="14">
        <f t="shared" si="1"/>
        <v>44</v>
      </c>
      <c r="B53" s="37"/>
      <c r="C53" s="46"/>
      <c r="D53" s="10"/>
      <c r="E53" s="32"/>
      <c r="F53" s="27"/>
      <c r="G53" s="18">
        <f t="shared" si="0"/>
        <v>739</v>
      </c>
      <c r="H53" s="18"/>
      <c r="I53" s="7"/>
      <c r="L53" s="26"/>
      <c r="Q53" s="199"/>
    </row>
    <row r="54" spans="1:17" ht="18" customHeight="1" x14ac:dyDescent="0.25">
      <c r="A54" s="14">
        <f t="shared" si="1"/>
        <v>45</v>
      </c>
      <c r="B54" s="37"/>
      <c r="C54" s="46"/>
      <c r="D54" s="10"/>
      <c r="E54" s="32"/>
      <c r="F54" s="27"/>
      <c r="G54" s="18">
        <f t="shared" si="0"/>
        <v>739</v>
      </c>
      <c r="H54" s="18"/>
      <c r="I54" s="7"/>
      <c r="L54" s="26"/>
      <c r="Q54" s="199"/>
    </row>
    <row r="55" spans="1:17" ht="18" customHeight="1" x14ac:dyDescent="0.25">
      <c r="A55" s="14">
        <f t="shared" si="1"/>
        <v>46</v>
      </c>
      <c r="B55" s="37"/>
      <c r="C55" s="46"/>
      <c r="D55" s="10"/>
      <c r="E55" s="32"/>
      <c r="F55" s="27"/>
      <c r="G55" s="18">
        <f t="shared" si="0"/>
        <v>739</v>
      </c>
      <c r="H55" s="18"/>
      <c r="I55" s="7"/>
      <c r="L55" s="26"/>
      <c r="Q55" s="199"/>
    </row>
    <row r="56" spans="1:17" ht="18" customHeight="1" x14ac:dyDescent="0.25">
      <c r="A56" s="14">
        <f t="shared" si="1"/>
        <v>47</v>
      </c>
      <c r="B56" s="37"/>
      <c r="C56" s="46"/>
      <c r="D56" s="10"/>
      <c r="E56" s="32"/>
      <c r="F56" s="27"/>
      <c r="G56" s="18">
        <f t="shared" si="0"/>
        <v>739</v>
      </c>
      <c r="H56" s="18"/>
      <c r="I56" s="7"/>
      <c r="L56" s="26"/>
      <c r="Q56" s="199"/>
    </row>
    <row r="57" spans="1:17" ht="18" customHeight="1" x14ac:dyDescent="0.25">
      <c r="A57" s="14">
        <f t="shared" si="1"/>
        <v>48</v>
      </c>
      <c r="C57" s="46"/>
      <c r="D57" s="10"/>
      <c r="E57" s="32"/>
      <c r="F57" s="27"/>
      <c r="G57" s="18">
        <f t="shared" si="0"/>
        <v>739</v>
      </c>
      <c r="H57" s="18"/>
      <c r="I57" s="7"/>
      <c r="L57" s="26"/>
      <c r="Q57" s="199"/>
    </row>
    <row r="58" spans="1:17" ht="18" customHeight="1" x14ac:dyDescent="0.25">
      <c r="A58" s="14">
        <f t="shared" si="1"/>
        <v>49</v>
      </c>
      <c r="B58" s="37"/>
      <c r="C58" s="37"/>
      <c r="D58" s="10"/>
      <c r="E58" s="32"/>
      <c r="F58" s="27"/>
      <c r="G58" s="18">
        <f t="shared" si="0"/>
        <v>739</v>
      </c>
      <c r="H58" s="18"/>
      <c r="I58" s="7"/>
      <c r="L58" s="26"/>
      <c r="Q58" s="199"/>
    </row>
    <row r="59" spans="1:17" ht="18" customHeight="1" x14ac:dyDescent="0.25">
      <c r="A59" s="14">
        <f t="shared" si="1"/>
        <v>50</v>
      </c>
      <c r="B59" s="37"/>
      <c r="C59" s="46"/>
      <c r="D59" s="10"/>
      <c r="E59" s="32"/>
      <c r="F59" s="27"/>
      <c r="G59" s="18">
        <f t="shared" si="0"/>
        <v>739</v>
      </c>
      <c r="H59" s="18"/>
      <c r="I59" s="7"/>
      <c r="L59" s="26"/>
      <c r="Q59" s="199"/>
    </row>
    <row r="60" spans="1:17" ht="18" customHeight="1" x14ac:dyDescent="0.25">
      <c r="A60" s="14">
        <f t="shared" si="1"/>
        <v>51</v>
      </c>
      <c r="B60" s="37"/>
      <c r="C60" s="46"/>
      <c r="D60" s="10"/>
      <c r="E60" s="32"/>
      <c r="F60" s="27"/>
      <c r="G60" s="18">
        <f t="shared" si="0"/>
        <v>739</v>
      </c>
      <c r="H60" s="18"/>
      <c r="I60" s="7"/>
      <c r="L60" s="26"/>
      <c r="Q60" s="199"/>
    </row>
    <row r="61" spans="1:17" ht="18" customHeight="1" x14ac:dyDescent="0.25">
      <c r="A61" s="14">
        <f t="shared" si="1"/>
        <v>52</v>
      </c>
      <c r="B61" s="37"/>
      <c r="C61" s="46"/>
      <c r="D61" s="10"/>
      <c r="E61" s="32"/>
      <c r="F61" s="27"/>
      <c r="G61" s="18">
        <f t="shared" si="0"/>
        <v>739</v>
      </c>
      <c r="H61" s="18"/>
      <c r="I61" s="7"/>
      <c r="L61" s="26"/>
      <c r="Q61" s="199"/>
    </row>
    <row r="62" spans="1:17" ht="18" customHeight="1" x14ac:dyDescent="0.25">
      <c r="A62" s="14">
        <f t="shared" si="1"/>
        <v>53</v>
      </c>
      <c r="B62" s="37"/>
      <c r="C62" s="46"/>
      <c r="D62" s="10"/>
      <c r="E62" s="32"/>
      <c r="F62" s="27"/>
      <c r="G62" s="18">
        <f t="shared" si="0"/>
        <v>739</v>
      </c>
      <c r="H62" s="18"/>
      <c r="I62" s="7"/>
      <c r="L62" s="26"/>
      <c r="Q62" s="199"/>
    </row>
    <row r="63" spans="1:17" ht="18" customHeight="1" x14ac:dyDescent="0.25">
      <c r="A63" s="14">
        <f t="shared" si="1"/>
        <v>54</v>
      </c>
      <c r="B63" s="37"/>
      <c r="C63" s="46"/>
      <c r="D63" s="10"/>
      <c r="E63" s="32"/>
      <c r="F63" s="27"/>
      <c r="G63" s="18">
        <f t="shared" si="0"/>
        <v>739</v>
      </c>
      <c r="H63" s="18"/>
      <c r="I63" s="7"/>
      <c r="L63" s="26"/>
      <c r="Q63" s="199"/>
    </row>
    <row r="64" spans="1:17" ht="18" customHeight="1" x14ac:dyDescent="0.25">
      <c r="A64" s="14">
        <f t="shared" si="1"/>
        <v>55</v>
      </c>
      <c r="B64" s="37"/>
      <c r="C64" s="46"/>
      <c r="D64" s="10"/>
      <c r="E64" s="32"/>
      <c r="F64" s="27"/>
      <c r="G64" s="18">
        <f t="shared" si="0"/>
        <v>739</v>
      </c>
      <c r="H64" s="18"/>
      <c r="I64" s="7"/>
      <c r="L64" s="26"/>
      <c r="Q64" s="199"/>
    </row>
    <row r="65" spans="1:17" ht="18" customHeight="1" x14ac:dyDescent="0.25">
      <c r="A65" s="14">
        <f t="shared" si="1"/>
        <v>56</v>
      </c>
      <c r="B65" s="37"/>
      <c r="C65" s="46"/>
      <c r="D65" s="10"/>
      <c r="E65" s="32"/>
      <c r="F65" s="27"/>
      <c r="G65" s="18">
        <f t="shared" si="0"/>
        <v>739</v>
      </c>
      <c r="H65" s="18"/>
      <c r="I65" s="7"/>
      <c r="L65" s="26"/>
      <c r="Q65" s="199"/>
    </row>
    <row r="66" spans="1:17" ht="18" customHeight="1" x14ac:dyDescent="0.25">
      <c r="A66" s="14">
        <f t="shared" si="1"/>
        <v>57</v>
      </c>
      <c r="B66" s="37"/>
      <c r="C66" s="46"/>
      <c r="D66" s="10"/>
      <c r="E66" s="32"/>
      <c r="F66" s="27"/>
      <c r="G66" s="18">
        <f t="shared" si="0"/>
        <v>739</v>
      </c>
      <c r="H66" s="18"/>
      <c r="I66" s="7"/>
      <c r="L66" s="26"/>
      <c r="Q66" s="199"/>
    </row>
    <row r="67" spans="1:17" ht="18" customHeight="1" x14ac:dyDescent="0.25">
      <c r="A67" s="14">
        <f t="shared" si="1"/>
        <v>58</v>
      </c>
      <c r="B67" s="37"/>
      <c r="C67" s="46"/>
      <c r="D67" s="10"/>
      <c r="E67" s="32"/>
      <c r="F67" s="27"/>
      <c r="G67" s="18">
        <f t="shared" si="0"/>
        <v>739</v>
      </c>
      <c r="H67" s="47"/>
      <c r="I67" s="7"/>
      <c r="L67" s="26"/>
      <c r="Q67" s="199"/>
    </row>
    <row r="68" spans="1:17" ht="18" customHeight="1" x14ac:dyDescent="0.25">
      <c r="A68" s="14">
        <f t="shared" si="1"/>
        <v>59</v>
      </c>
      <c r="B68" s="37"/>
      <c r="C68" s="46"/>
      <c r="D68" s="10"/>
      <c r="E68" s="32"/>
      <c r="F68" s="27"/>
      <c r="G68" s="18">
        <f t="shared" si="0"/>
        <v>739</v>
      </c>
      <c r="H68" s="47"/>
      <c r="I68" s="7"/>
      <c r="L68" s="26"/>
      <c r="Q68" s="199"/>
    </row>
    <row r="69" spans="1:17" ht="18" customHeight="1" x14ac:dyDescent="0.25">
      <c r="A69" s="14">
        <f t="shared" si="1"/>
        <v>60</v>
      </c>
      <c r="B69" s="37"/>
      <c r="C69" s="46"/>
      <c r="D69" s="10"/>
      <c r="E69" s="32"/>
      <c r="F69" s="27"/>
      <c r="G69" s="18">
        <f t="shared" si="0"/>
        <v>739</v>
      </c>
      <c r="H69" s="47"/>
      <c r="I69" s="7"/>
      <c r="L69" s="26"/>
      <c r="Q69" s="199"/>
    </row>
    <row r="70" spans="1:17" ht="18" customHeight="1" x14ac:dyDescent="0.25">
      <c r="A70" s="14">
        <f t="shared" si="1"/>
        <v>61</v>
      </c>
      <c r="B70" s="37"/>
      <c r="C70" s="46"/>
      <c r="D70" s="10"/>
      <c r="E70" s="32"/>
      <c r="F70" s="27"/>
      <c r="G70" s="18">
        <f t="shared" si="0"/>
        <v>739</v>
      </c>
      <c r="H70" s="47"/>
      <c r="I70" s="7"/>
      <c r="J70" s="26"/>
      <c r="L70" s="26"/>
      <c r="Q70" s="199"/>
    </row>
    <row r="71" spans="1:17" ht="18" customHeight="1" x14ac:dyDescent="0.25">
      <c r="A71" s="14">
        <f t="shared" si="1"/>
        <v>62</v>
      </c>
      <c r="B71" s="37"/>
      <c r="C71" s="46"/>
      <c r="D71" s="10"/>
      <c r="E71" s="32"/>
      <c r="F71" s="27"/>
      <c r="G71" s="18">
        <f t="shared" si="0"/>
        <v>739</v>
      </c>
      <c r="H71" s="47"/>
      <c r="I71" s="7"/>
      <c r="L71" s="26"/>
      <c r="Q71" s="199"/>
    </row>
    <row r="72" spans="1:17" ht="18" customHeight="1" x14ac:dyDescent="0.25">
      <c r="A72" s="14">
        <f t="shared" si="1"/>
        <v>63</v>
      </c>
      <c r="B72" s="37"/>
      <c r="C72" s="46"/>
      <c r="D72" s="10"/>
      <c r="E72" s="32"/>
      <c r="F72" s="27"/>
      <c r="G72" s="18">
        <f t="shared" si="0"/>
        <v>739</v>
      </c>
      <c r="H72" s="47"/>
      <c r="I72" s="7"/>
      <c r="J72" s="26"/>
      <c r="L72" s="26"/>
      <c r="Q72" s="199"/>
    </row>
    <row r="73" spans="1:17" ht="18" customHeight="1" x14ac:dyDescent="0.25">
      <c r="A73" s="14">
        <f t="shared" si="1"/>
        <v>64</v>
      </c>
      <c r="B73" s="37"/>
      <c r="C73" s="46"/>
      <c r="D73" s="10"/>
      <c r="E73" s="32"/>
      <c r="F73" s="27"/>
      <c r="G73" s="18">
        <f t="shared" si="0"/>
        <v>739</v>
      </c>
      <c r="H73" s="47"/>
      <c r="I73" s="7"/>
      <c r="L73" s="26"/>
      <c r="Q73" s="199"/>
    </row>
    <row r="74" spans="1:17" ht="18" customHeight="1" x14ac:dyDescent="0.25">
      <c r="A74" s="14">
        <f t="shared" si="1"/>
        <v>65</v>
      </c>
      <c r="B74" s="37"/>
      <c r="C74" s="46"/>
      <c r="D74" s="10"/>
      <c r="E74" s="32"/>
      <c r="F74" s="27"/>
      <c r="G74" s="18">
        <f t="shared" ref="G74:G100" si="2">+G73+E74-F74</f>
        <v>739</v>
      </c>
      <c r="H74" s="47"/>
      <c r="I74" s="7"/>
      <c r="L74" s="26"/>
      <c r="Q74" s="199"/>
    </row>
    <row r="75" spans="1:17" ht="18" customHeight="1" x14ac:dyDescent="0.25">
      <c r="A75" s="14">
        <f t="shared" ref="A75:A100" si="3">+A74+1</f>
        <v>66</v>
      </c>
      <c r="B75" s="37"/>
      <c r="C75" s="46"/>
      <c r="D75" s="10"/>
      <c r="E75" s="32"/>
      <c r="F75" s="27"/>
      <c r="G75" s="18">
        <f t="shared" si="2"/>
        <v>739</v>
      </c>
      <c r="H75" s="47"/>
      <c r="I75" s="7"/>
      <c r="J75" s="26"/>
      <c r="L75" s="26"/>
      <c r="Q75" s="199"/>
    </row>
    <row r="76" spans="1:17" ht="18" customHeight="1" x14ac:dyDescent="0.25">
      <c r="A76" s="14">
        <f t="shared" si="3"/>
        <v>67</v>
      </c>
      <c r="B76" s="37"/>
      <c r="C76" s="46"/>
      <c r="D76" s="10"/>
      <c r="E76" s="32"/>
      <c r="F76" s="27"/>
      <c r="G76" s="18">
        <f t="shared" si="2"/>
        <v>739</v>
      </c>
      <c r="H76" s="47"/>
      <c r="I76" s="7"/>
      <c r="L76" s="26"/>
      <c r="Q76" s="199"/>
    </row>
    <row r="77" spans="1:17" ht="18" customHeight="1" x14ac:dyDescent="0.25">
      <c r="A77" s="14">
        <f t="shared" si="3"/>
        <v>68</v>
      </c>
      <c r="B77" s="37"/>
      <c r="C77" s="46"/>
      <c r="D77" s="10"/>
      <c r="E77" s="32"/>
      <c r="F77" s="27"/>
      <c r="G77" s="18">
        <f t="shared" si="2"/>
        <v>739</v>
      </c>
      <c r="H77" s="47"/>
      <c r="I77" s="7"/>
      <c r="L77" s="26"/>
      <c r="Q77" s="199"/>
    </row>
    <row r="78" spans="1:17" ht="18" customHeight="1" x14ac:dyDescent="0.25">
      <c r="A78" s="14">
        <f t="shared" si="3"/>
        <v>69</v>
      </c>
      <c r="B78" s="37"/>
      <c r="C78" s="46"/>
      <c r="D78" s="10"/>
      <c r="E78" s="32"/>
      <c r="F78" s="27"/>
      <c r="G78" s="18">
        <f t="shared" si="2"/>
        <v>739</v>
      </c>
      <c r="H78" s="47"/>
      <c r="I78" s="7"/>
      <c r="L78" s="26"/>
      <c r="Q78" s="199"/>
    </row>
    <row r="79" spans="1:17" ht="18" customHeight="1" x14ac:dyDescent="0.25">
      <c r="A79" s="14">
        <f t="shared" si="3"/>
        <v>70</v>
      </c>
      <c r="B79" s="37"/>
      <c r="C79" s="46"/>
      <c r="D79" s="10"/>
      <c r="E79" s="32"/>
      <c r="F79" s="27"/>
      <c r="G79" s="18">
        <f t="shared" si="2"/>
        <v>739</v>
      </c>
      <c r="H79" s="47"/>
      <c r="I79" s="7"/>
      <c r="L79" s="26"/>
      <c r="Q79" s="199"/>
    </row>
    <row r="80" spans="1:17" ht="18" customHeight="1" x14ac:dyDescent="0.25">
      <c r="A80" s="14">
        <f t="shared" si="3"/>
        <v>71</v>
      </c>
      <c r="B80" s="37"/>
      <c r="C80" s="46"/>
      <c r="D80" s="10"/>
      <c r="E80" s="32"/>
      <c r="F80" s="27"/>
      <c r="G80" s="18">
        <f t="shared" si="2"/>
        <v>739</v>
      </c>
      <c r="H80" s="47"/>
      <c r="I80" s="7"/>
      <c r="L80" s="26"/>
      <c r="Q80" s="199"/>
    </row>
    <row r="81" spans="1:17" ht="18" customHeight="1" x14ac:dyDescent="0.25">
      <c r="A81" s="14">
        <f t="shared" si="3"/>
        <v>72</v>
      </c>
      <c r="B81" s="37"/>
      <c r="C81" s="46"/>
      <c r="D81" s="10"/>
      <c r="E81" s="32"/>
      <c r="F81" s="27"/>
      <c r="G81" s="18">
        <f t="shared" si="2"/>
        <v>739</v>
      </c>
      <c r="H81" s="47"/>
      <c r="I81" s="7"/>
      <c r="L81" s="26"/>
      <c r="Q81" s="199"/>
    </row>
    <row r="82" spans="1:17" ht="18" customHeight="1" x14ac:dyDescent="0.25">
      <c r="A82" s="14">
        <f t="shared" si="3"/>
        <v>73</v>
      </c>
      <c r="B82" s="37"/>
      <c r="C82" s="46"/>
      <c r="D82" s="10"/>
      <c r="E82" s="32"/>
      <c r="F82" s="27"/>
      <c r="G82" s="18">
        <f t="shared" si="2"/>
        <v>739</v>
      </c>
      <c r="H82" s="47"/>
      <c r="I82" s="7"/>
      <c r="L82" s="26"/>
      <c r="Q82" s="199"/>
    </row>
    <row r="83" spans="1:17" ht="18" customHeight="1" x14ac:dyDescent="0.25">
      <c r="A83" s="14">
        <f t="shared" si="3"/>
        <v>74</v>
      </c>
      <c r="B83" s="37"/>
      <c r="C83" s="46"/>
      <c r="D83" s="10"/>
      <c r="E83" s="32"/>
      <c r="F83" s="27"/>
      <c r="G83" s="18">
        <f t="shared" si="2"/>
        <v>739</v>
      </c>
      <c r="H83" s="47"/>
      <c r="I83" s="7"/>
      <c r="L83" s="26"/>
      <c r="Q83" s="199"/>
    </row>
    <row r="84" spans="1:17" ht="18" customHeight="1" x14ac:dyDescent="0.25">
      <c r="A84" s="14">
        <f t="shared" si="3"/>
        <v>75</v>
      </c>
      <c r="B84" s="37"/>
      <c r="C84" s="46"/>
      <c r="D84" s="10"/>
      <c r="E84" s="32"/>
      <c r="F84" s="27"/>
      <c r="G84" s="18">
        <f t="shared" si="2"/>
        <v>739</v>
      </c>
      <c r="H84" s="47"/>
      <c r="I84" s="7"/>
      <c r="L84" s="26"/>
      <c r="Q84" s="199"/>
    </row>
    <row r="85" spans="1:17" ht="18" customHeight="1" x14ac:dyDescent="0.25">
      <c r="A85" s="14">
        <f t="shared" si="3"/>
        <v>76</v>
      </c>
      <c r="B85" s="37"/>
      <c r="C85" s="46"/>
      <c r="D85" s="10"/>
      <c r="E85" s="32"/>
      <c r="F85" s="27"/>
      <c r="G85" s="18">
        <f t="shared" si="2"/>
        <v>739</v>
      </c>
      <c r="H85" s="47"/>
      <c r="I85" s="7"/>
      <c r="L85" s="26"/>
      <c r="Q85" s="199"/>
    </row>
    <row r="86" spans="1:17" ht="18" customHeight="1" x14ac:dyDescent="0.25">
      <c r="A86" s="14">
        <f t="shared" si="3"/>
        <v>77</v>
      </c>
      <c r="B86" s="37"/>
      <c r="C86" s="46"/>
      <c r="D86" s="10"/>
      <c r="E86" s="32"/>
      <c r="F86" s="27"/>
      <c r="G86" s="18">
        <f t="shared" si="2"/>
        <v>739</v>
      </c>
      <c r="H86" s="47"/>
      <c r="I86" s="7"/>
      <c r="L86" s="26"/>
      <c r="Q86" s="199"/>
    </row>
    <row r="87" spans="1:17" ht="18" customHeight="1" x14ac:dyDescent="0.25">
      <c r="A87" s="14">
        <f t="shared" si="3"/>
        <v>78</v>
      </c>
      <c r="B87" s="37"/>
      <c r="C87" s="46"/>
      <c r="D87" s="10"/>
      <c r="E87" s="32"/>
      <c r="F87" s="27"/>
      <c r="G87" s="18">
        <f t="shared" si="2"/>
        <v>739</v>
      </c>
      <c r="H87" s="47"/>
      <c r="I87" s="7"/>
      <c r="L87" s="26"/>
      <c r="Q87" s="199"/>
    </row>
    <row r="88" spans="1:17" ht="18" customHeight="1" x14ac:dyDescent="0.25">
      <c r="A88" s="14">
        <f t="shared" si="3"/>
        <v>79</v>
      </c>
      <c r="B88" s="37"/>
      <c r="C88" s="46"/>
      <c r="D88" s="10"/>
      <c r="E88" s="32"/>
      <c r="F88" s="27"/>
      <c r="G88" s="18">
        <f t="shared" si="2"/>
        <v>739</v>
      </c>
      <c r="H88" s="18"/>
      <c r="I88" s="7"/>
      <c r="L88" s="26"/>
      <c r="Q88" s="199"/>
    </row>
    <row r="89" spans="1:17" ht="18" customHeight="1" x14ac:dyDescent="0.25">
      <c r="A89" s="14">
        <f t="shared" si="3"/>
        <v>80</v>
      </c>
      <c r="B89" s="37"/>
      <c r="C89" s="46"/>
      <c r="D89" s="10"/>
      <c r="E89" s="32"/>
      <c r="F89" s="27"/>
      <c r="G89" s="18">
        <f t="shared" si="2"/>
        <v>739</v>
      </c>
      <c r="H89" s="18"/>
      <c r="I89" s="7"/>
      <c r="L89" s="26"/>
      <c r="Q89" s="199"/>
    </row>
    <row r="90" spans="1:17" ht="18" customHeight="1" x14ac:dyDescent="0.25">
      <c r="A90" s="14">
        <f t="shared" si="3"/>
        <v>81</v>
      </c>
      <c r="B90" s="37"/>
      <c r="C90" s="46"/>
      <c r="D90" s="10"/>
      <c r="E90" s="32"/>
      <c r="F90" s="27"/>
      <c r="G90" s="18">
        <f t="shared" si="2"/>
        <v>739</v>
      </c>
      <c r="H90" s="18"/>
      <c r="I90" s="7"/>
      <c r="L90" s="26"/>
      <c r="Q90" s="199"/>
    </row>
    <row r="91" spans="1:17" ht="18" customHeight="1" x14ac:dyDescent="0.25">
      <c r="A91" s="14">
        <f t="shared" si="3"/>
        <v>82</v>
      </c>
      <c r="B91" s="37"/>
      <c r="C91" s="46"/>
      <c r="D91" s="10"/>
      <c r="E91" s="32"/>
      <c r="F91" s="27"/>
      <c r="G91" s="18">
        <f t="shared" si="2"/>
        <v>739</v>
      </c>
      <c r="H91" s="18"/>
      <c r="I91" s="7"/>
      <c r="L91" s="26"/>
      <c r="Q91" s="199"/>
    </row>
    <row r="92" spans="1:17" ht="18" customHeight="1" x14ac:dyDescent="0.25">
      <c r="A92" s="14">
        <f t="shared" si="3"/>
        <v>83</v>
      </c>
      <c r="B92" s="37"/>
      <c r="C92" s="46"/>
      <c r="D92" s="10"/>
      <c r="E92" s="32"/>
      <c r="F92" s="27"/>
      <c r="G92" s="18">
        <f t="shared" si="2"/>
        <v>739</v>
      </c>
      <c r="H92" s="18"/>
      <c r="I92" s="7"/>
      <c r="L92" s="26"/>
      <c r="Q92" s="199"/>
    </row>
    <row r="93" spans="1:17" ht="18" customHeight="1" x14ac:dyDescent="0.25">
      <c r="A93" s="14">
        <f t="shared" si="3"/>
        <v>84</v>
      </c>
      <c r="B93" s="37"/>
      <c r="C93" s="46"/>
      <c r="D93" s="10"/>
      <c r="E93" s="32"/>
      <c r="F93" s="27"/>
      <c r="G93" s="18">
        <f t="shared" si="2"/>
        <v>739</v>
      </c>
      <c r="H93" s="18"/>
      <c r="I93" s="7"/>
      <c r="L93" s="26"/>
      <c r="Q93" s="199"/>
    </row>
    <row r="94" spans="1:17" ht="18" customHeight="1" x14ac:dyDescent="0.25">
      <c r="A94" s="14">
        <f t="shared" si="3"/>
        <v>85</v>
      </c>
      <c r="B94" s="37"/>
      <c r="C94" s="46"/>
      <c r="D94" s="10"/>
      <c r="E94" s="32"/>
      <c r="F94" s="27"/>
      <c r="G94" s="18">
        <f t="shared" si="2"/>
        <v>739</v>
      </c>
      <c r="H94" s="18"/>
      <c r="I94" s="7"/>
      <c r="L94" s="26"/>
      <c r="Q94" s="199"/>
    </row>
    <row r="95" spans="1:17" ht="18" customHeight="1" x14ac:dyDescent="0.25">
      <c r="A95" s="14">
        <f t="shared" si="3"/>
        <v>86</v>
      </c>
      <c r="B95" s="37"/>
      <c r="C95" s="46"/>
      <c r="D95" s="10"/>
      <c r="E95" s="32"/>
      <c r="F95" s="27"/>
      <c r="G95" s="18">
        <f t="shared" si="2"/>
        <v>739</v>
      </c>
      <c r="H95" s="18"/>
      <c r="I95" s="7"/>
      <c r="L95" s="26"/>
      <c r="Q95" s="199"/>
    </row>
    <row r="96" spans="1:17" ht="18" customHeight="1" x14ac:dyDescent="0.25">
      <c r="A96" s="14">
        <f t="shared" si="3"/>
        <v>87</v>
      </c>
      <c r="B96" s="37"/>
      <c r="C96" s="46"/>
      <c r="D96" s="10"/>
      <c r="E96" s="32"/>
      <c r="F96" s="27"/>
      <c r="G96" s="18">
        <f t="shared" si="2"/>
        <v>739</v>
      </c>
      <c r="H96" s="18"/>
      <c r="I96" s="7"/>
      <c r="L96" s="26"/>
      <c r="Q96" s="199"/>
    </row>
    <row r="97" spans="1:17" ht="18" customHeight="1" x14ac:dyDescent="0.25">
      <c r="A97" s="14">
        <f t="shared" si="3"/>
        <v>88</v>
      </c>
      <c r="B97" s="37"/>
      <c r="C97" s="46"/>
      <c r="D97" s="10"/>
      <c r="E97" s="32"/>
      <c r="F97" s="27"/>
      <c r="G97" s="18">
        <f t="shared" si="2"/>
        <v>739</v>
      </c>
      <c r="H97" s="18"/>
      <c r="I97" s="7"/>
      <c r="L97" s="26"/>
      <c r="Q97" s="199"/>
    </row>
    <row r="98" spans="1:17" ht="18" customHeight="1" x14ac:dyDescent="0.25">
      <c r="A98" s="14">
        <f t="shared" si="3"/>
        <v>89</v>
      </c>
      <c r="B98" s="37"/>
      <c r="C98" s="7"/>
      <c r="D98" s="10"/>
      <c r="E98" s="140"/>
      <c r="F98" s="141"/>
      <c r="G98" s="18">
        <f t="shared" si="2"/>
        <v>739</v>
      </c>
      <c r="H98" s="18"/>
      <c r="I98" s="7"/>
      <c r="Q98" s="26"/>
    </row>
    <row r="99" spans="1:17" ht="18" customHeight="1" x14ac:dyDescent="0.25">
      <c r="A99" s="14">
        <f t="shared" si="3"/>
        <v>90</v>
      </c>
      <c r="B99" s="37"/>
      <c r="C99" s="7"/>
      <c r="D99" s="14"/>
      <c r="E99" s="140"/>
      <c r="F99" s="141"/>
      <c r="G99" s="18">
        <f t="shared" si="2"/>
        <v>739</v>
      </c>
      <c r="H99" s="18"/>
      <c r="I99" s="7"/>
    </row>
    <row r="100" spans="1:17" ht="18" customHeight="1" x14ac:dyDescent="0.25">
      <c r="A100" s="14">
        <f t="shared" si="3"/>
        <v>91</v>
      </c>
      <c r="B100" s="134"/>
      <c r="C100" s="7"/>
      <c r="D100" s="14"/>
      <c r="E100" s="140"/>
      <c r="F100" s="141"/>
      <c r="G100" s="18">
        <f t="shared" si="2"/>
        <v>739</v>
      </c>
      <c r="H100" s="18"/>
      <c r="I100" s="7"/>
    </row>
    <row r="101" spans="1:17" ht="18" customHeight="1" x14ac:dyDescent="0.25">
      <c r="A101" s="7"/>
      <c r="B101" s="7"/>
      <c r="C101" s="34" t="s">
        <v>13</v>
      </c>
      <c r="D101" s="7"/>
      <c r="E101" s="35">
        <f>SUM(E8:E100)</f>
        <v>0</v>
      </c>
      <c r="F101" s="35">
        <f>SUM(F8:F100)</f>
        <v>49</v>
      </c>
      <c r="G101" s="35">
        <f>+E101-F101+G8</f>
        <v>739</v>
      </c>
      <c r="H101" s="35"/>
      <c r="I101" s="36"/>
    </row>
    <row r="102" spans="1:17" ht="18" customHeight="1" x14ac:dyDescent="0.25"/>
    <row r="105" spans="1:17" x14ac:dyDescent="0.25">
      <c r="E105" s="201"/>
      <c r="F105" s="201"/>
      <c r="G105" s="201"/>
      <c r="H105" s="201"/>
    </row>
    <row r="106" spans="1:17" x14ac:dyDescent="0.25">
      <c r="F106" s="26"/>
    </row>
    <row r="107" spans="1:17" x14ac:dyDescent="0.25">
      <c r="E107" s="26"/>
      <c r="F107" s="26"/>
      <c r="G107" s="26"/>
      <c r="H107" s="26"/>
      <c r="I107" s="26"/>
    </row>
    <row r="108" spans="1:17" x14ac:dyDescent="0.25">
      <c r="I108" s="202"/>
    </row>
    <row r="109" spans="1:17" x14ac:dyDescent="0.25">
      <c r="E109" s="199"/>
    </row>
    <row r="110" spans="1:17" x14ac:dyDescent="0.25">
      <c r="E110" s="26"/>
      <c r="F110" s="26"/>
    </row>
    <row r="111" spans="1:17" x14ac:dyDescent="0.25">
      <c r="E111" s="203"/>
      <c r="F111" s="204"/>
      <c r="G111" s="203"/>
      <c r="H111" s="203"/>
    </row>
    <row r="112" spans="1:17" x14ac:dyDescent="0.25">
      <c r="F112" s="26"/>
    </row>
    <row r="1047959" spans="43:43" x14ac:dyDescent="0.25">
      <c r="AQ1047959" t="s">
        <v>34</v>
      </c>
    </row>
    <row r="1048056" spans="2:2" x14ac:dyDescent="0.25">
      <c r="B1048056" t="s">
        <v>35</v>
      </c>
    </row>
    <row r="1048135" spans="2:2" x14ac:dyDescent="0.25">
      <c r="B1048135" t="s">
        <v>36</v>
      </c>
    </row>
    <row r="1048474" spans="1:1" x14ac:dyDescent="0.25">
      <c r="A1048474" t="s">
        <v>36</v>
      </c>
    </row>
  </sheetData>
  <mergeCells count="1">
    <mergeCell ref="A4:I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2"/>
  <dimension ref="A1:J151"/>
  <sheetViews>
    <sheetView topLeftCell="A7"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691</v>
      </c>
      <c r="H8" s="7"/>
      <c r="I8" s="7"/>
    </row>
    <row r="9" spans="1:10" ht="18" customHeight="1" x14ac:dyDescent="0.25">
      <c r="A9" s="14">
        <v>1</v>
      </c>
      <c r="B9" s="39">
        <v>45674</v>
      </c>
      <c r="C9" s="15" t="s">
        <v>38</v>
      </c>
      <c r="D9" s="10" t="s">
        <v>12</v>
      </c>
      <c r="E9" s="51"/>
      <c r="F9" s="27">
        <v>5</v>
      </c>
      <c r="G9" s="18">
        <f>+G8+E9-F9</f>
        <v>686</v>
      </c>
      <c r="H9" s="28" t="s">
        <v>89</v>
      </c>
      <c r="I9" s="7" t="s">
        <v>14</v>
      </c>
    </row>
    <row r="10" spans="1:10" ht="18" customHeight="1" x14ac:dyDescent="0.25">
      <c r="A10" s="14">
        <f t="shared" ref="A10:A73" si="0">+A9+1</f>
        <v>2</v>
      </c>
      <c r="B10" s="39">
        <v>45675</v>
      </c>
      <c r="C10" s="15" t="s">
        <v>38</v>
      </c>
      <c r="D10" s="10" t="s">
        <v>12</v>
      </c>
      <c r="E10" s="16"/>
      <c r="F10" s="27">
        <v>27</v>
      </c>
      <c r="G10" s="18">
        <f>+G9+E10-F10</f>
        <v>659</v>
      </c>
      <c r="H10" s="28" t="s">
        <v>89</v>
      </c>
      <c r="I10" s="7" t="s">
        <v>14</v>
      </c>
    </row>
    <row r="11" spans="1:10" ht="18" customHeight="1" x14ac:dyDescent="0.25">
      <c r="A11" s="14">
        <f t="shared" si="0"/>
        <v>3</v>
      </c>
      <c r="B11" s="8">
        <v>45765</v>
      </c>
      <c r="C11" s="15" t="s">
        <v>38</v>
      </c>
      <c r="D11" s="10" t="s">
        <v>12</v>
      </c>
      <c r="E11" s="16"/>
      <c r="F11" s="27">
        <v>7</v>
      </c>
      <c r="G11" s="18">
        <f t="shared" ref="G11:G72" si="1">+G10+E11-F11</f>
        <v>652</v>
      </c>
      <c r="H11" s="28" t="s">
        <v>89</v>
      </c>
      <c r="I11" s="7" t="s">
        <v>14</v>
      </c>
    </row>
    <row r="12" spans="1:10" ht="18" customHeight="1" x14ac:dyDescent="0.25">
      <c r="A12" s="14">
        <f t="shared" si="0"/>
        <v>4</v>
      </c>
      <c r="B12" s="8">
        <v>45776</v>
      </c>
      <c r="C12" s="15" t="s">
        <v>38</v>
      </c>
      <c r="D12" s="10" t="s">
        <v>12</v>
      </c>
      <c r="E12" s="16"/>
      <c r="F12" s="27">
        <v>24</v>
      </c>
      <c r="G12" s="18">
        <f t="shared" si="1"/>
        <v>628</v>
      </c>
      <c r="H12" s="28" t="s">
        <v>89</v>
      </c>
      <c r="I12" s="7" t="s">
        <v>14</v>
      </c>
    </row>
    <row r="13" spans="1:10" ht="18" customHeight="1" x14ac:dyDescent="0.25">
      <c r="A13" s="14">
        <f t="shared" si="0"/>
        <v>5</v>
      </c>
      <c r="B13" s="205">
        <v>45804</v>
      </c>
      <c r="C13" s="15" t="s">
        <v>38</v>
      </c>
      <c r="D13" s="10" t="s">
        <v>12</v>
      </c>
      <c r="E13" s="16"/>
      <c r="F13" s="17">
        <v>6</v>
      </c>
      <c r="G13" s="18">
        <f t="shared" si="1"/>
        <v>622</v>
      </c>
      <c r="H13" s="28" t="s">
        <v>89</v>
      </c>
      <c r="I13" s="7" t="s">
        <v>14</v>
      </c>
    </row>
    <row r="14" spans="1:10" ht="18" customHeight="1" x14ac:dyDescent="0.25">
      <c r="A14" s="14">
        <f t="shared" si="0"/>
        <v>6</v>
      </c>
      <c r="B14" s="205">
        <v>45867</v>
      </c>
      <c r="C14" s="15" t="s">
        <v>38</v>
      </c>
      <c r="D14" s="10" t="s">
        <v>12</v>
      </c>
      <c r="E14" s="16"/>
      <c r="F14" s="27">
        <v>4</v>
      </c>
      <c r="G14" s="18">
        <f t="shared" si="1"/>
        <v>618</v>
      </c>
      <c r="H14" s="28" t="s">
        <v>89</v>
      </c>
      <c r="I14" s="7" t="s">
        <v>14</v>
      </c>
      <c r="J14" s="26"/>
    </row>
    <row r="15" spans="1:10" ht="18" customHeight="1" x14ac:dyDescent="0.25">
      <c r="A15" s="14">
        <f t="shared" si="0"/>
        <v>7</v>
      </c>
      <c r="B15" s="205">
        <v>45868</v>
      </c>
      <c r="C15" s="15" t="s">
        <v>38</v>
      </c>
      <c r="D15" s="10" t="s">
        <v>12</v>
      </c>
      <c r="E15" s="16"/>
      <c r="F15" s="17">
        <v>23</v>
      </c>
      <c r="G15" s="18">
        <f t="shared" si="1"/>
        <v>595</v>
      </c>
      <c r="H15" s="28" t="s">
        <v>129</v>
      </c>
      <c r="I15" s="7" t="s">
        <v>14</v>
      </c>
    </row>
    <row r="16" spans="1:10" ht="18" customHeight="1" x14ac:dyDescent="0.25">
      <c r="A16" s="14">
        <f t="shared" si="0"/>
        <v>8</v>
      </c>
      <c r="B16" s="206">
        <v>45869</v>
      </c>
      <c r="C16" s="15" t="s">
        <v>38</v>
      </c>
      <c r="D16" s="10" t="s">
        <v>12</v>
      </c>
      <c r="E16" s="16"/>
      <c r="F16" s="27">
        <v>23</v>
      </c>
      <c r="G16" s="18">
        <f t="shared" si="1"/>
        <v>572</v>
      </c>
      <c r="H16" s="28" t="s">
        <v>89</v>
      </c>
      <c r="I16" s="7" t="s">
        <v>14</v>
      </c>
    </row>
    <row r="17" spans="1:9" ht="18" customHeight="1" x14ac:dyDescent="0.25">
      <c r="A17" s="14">
        <f t="shared" si="0"/>
        <v>9</v>
      </c>
      <c r="B17" s="205">
        <v>45870</v>
      </c>
      <c r="C17" s="15" t="s">
        <v>38</v>
      </c>
      <c r="D17" s="10" t="s">
        <v>12</v>
      </c>
      <c r="E17" s="16"/>
      <c r="F17" s="27">
        <v>7</v>
      </c>
      <c r="G17" s="18">
        <f t="shared" si="1"/>
        <v>565</v>
      </c>
      <c r="H17" s="28" t="s">
        <v>89</v>
      </c>
      <c r="I17" s="7" t="s">
        <v>14</v>
      </c>
    </row>
    <row r="18" spans="1:9" ht="18" customHeight="1" x14ac:dyDescent="0.25">
      <c r="A18" s="14">
        <f t="shared" si="0"/>
        <v>10</v>
      </c>
      <c r="B18" s="8">
        <v>45898</v>
      </c>
      <c r="C18" s="15" t="s">
        <v>38</v>
      </c>
      <c r="D18" s="10" t="s">
        <v>12</v>
      </c>
      <c r="E18" s="16"/>
      <c r="F18" s="27">
        <v>7</v>
      </c>
      <c r="G18" s="18">
        <f t="shared" si="1"/>
        <v>558</v>
      </c>
      <c r="H18" s="28" t="s">
        <v>89</v>
      </c>
      <c r="I18" s="7" t="s">
        <v>14</v>
      </c>
    </row>
    <row r="19" spans="1:9" ht="18" customHeight="1" x14ac:dyDescent="0.25">
      <c r="A19" s="14">
        <f t="shared" si="0"/>
        <v>11</v>
      </c>
      <c r="B19" s="8">
        <v>45899</v>
      </c>
      <c r="C19" s="15" t="s">
        <v>38</v>
      </c>
      <c r="D19" s="10" t="s">
        <v>12</v>
      </c>
      <c r="E19" s="16"/>
      <c r="F19" s="27">
        <v>23</v>
      </c>
      <c r="G19" s="18">
        <f t="shared" si="1"/>
        <v>535</v>
      </c>
      <c r="H19" s="28" t="s">
        <v>89</v>
      </c>
      <c r="I19" s="7" t="s">
        <v>14</v>
      </c>
    </row>
    <row r="20" spans="1:9" ht="18" customHeight="1" x14ac:dyDescent="0.25">
      <c r="A20" s="14">
        <f t="shared" si="0"/>
        <v>12</v>
      </c>
      <c r="B20" s="44"/>
      <c r="C20" s="15" t="s">
        <v>38</v>
      </c>
      <c r="D20" s="10" t="s">
        <v>12</v>
      </c>
      <c r="E20" s="16"/>
      <c r="F20" s="17"/>
      <c r="G20" s="18">
        <f t="shared" si="1"/>
        <v>535</v>
      </c>
      <c r="H20" s="28" t="s">
        <v>89</v>
      </c>
      <c r="I20" s="7" t="s">
        <v>14</v>
      </c>
    </row>
    <row r="21" spans="1:9" ht="18" customHeight="1" x14ac:dyDescent="0.25">
      <c r="A21" s="14">
        <f t="shared" si="0"/>
        <v>13</v>
      </c>
      <c r="B21" s="44"/>
      <c r="C21" s="15" t="s">
        <v>38</v>
      </c>
      <c r="D21" s="10" t="s">
        <v>12</v>
      </c>
      <c r="E21" s="16"/>
      <c r="F21" s="17"/>
      <c r="G21" s="18">
        <f t="shared" si="1"/>
        <v>535</v>
      </c>
      <c r="H21" s="28" t="s">
        <v>89</v>
      </c>
      <c r="I21" s="7" t="s">
        <v>14</v>
      </c>
    </row>
    <row r="22" spans="1:9" ht="18" customHeight="1" x14ac:dyDescent="0.25">
      <c r="A22" s="14">
        <f t="shared" si="0"/>
        <v>14</v>
      </c>
      <c r="B22" s="44"/>
      <c r="C22" s="15" t="s">
        <v>38</v>
      </c>
      <c r="D22" s="10" t="s">
        <v>12</v>
      </c>
      <c r="E22" s="16"/>
      <c r="F22" s="17"/>
      <c r="G22" s="18">
        <f t="shared" si="1"/>
        <v>535</v>
      </c>
      <c r="H22" s="28" t="s">
        <v>89</v>
      </c>
      <c r="I22" s="7" t="s">
        <v>14</v>
      </c>
    </row>
    <row r="23" spans="1:9" ht="18" customHeight="1" x14ac:dyDescent="0.25">
      <c r="A23" s="14">
        <f t="shared" si="0"/>
        <v>15</v>
      </c>
      <c r="B23" s="8"/>
      <c r="C23" s="15" t="s">
        <v>38</v>
      </c>
      <c r="D23" s="10" t="s">
        <v>12</v>
      </c>
      <c r="E23" s="32"/>
      <c r="F23" s="17"/>
      <c r="G23" s="18">
        <f t="shared" si="1"/>
        <v>535</v>
      </c>
      <c r="H23" s="28"/>
      <c r="I23" s="7"/>
    </row>
    <row r="24" spans="1:9" ht="18" customHeight="1" x14ac:dyDescent="0.25">
      <c r="A24" s="14">
        <f t="shared" si="0"/>
        <v>16</v>
      </c>
      <c r="B24" s="8"/>
      <c r="C24" s="15" t="s">
        <v>38</v>
      </c>
      <c r="D24" s="10" t="s">
        <v>12</v>
      </c>
      <c r="E24" s="32"/>
      <c r="F24" s="17"/>
      <c r="G24" s="18">
        <f t="shared" si="1"/>
        <v>535</v>
      </c>
      <c r="H24" s="28"/>
      <c r="I24" s="7"/>
    </row>
    <row r="25" spans="1:9" ht="18" customHeight="1" x14ac:dyDescent="0.25">
      <c r="A25" s="14">
        <f t="shared" si="0"/>
        <v>17</v>
      </c>
      <c r="B25" s="8"/>
      <c r="C25" s="15" t="s">
        <v>38</v>
      </c>
      <c r="D25" s="10" t="s">
        <v>12</v>
      </c>
      <c r="E25" s="32"/>
      <c r="F25" s="17"/>
      <c r="G25" s="18">
        <f t="shared" si="1"/>
        <v>535</v>
      </c>
      <c r="H25" s="28"/>
      <c r="I25" s="7"/>
    </row>
    <row r="26" spans="1:9" ht="18" customHeight="1" x14ac:dyDescent="0.25">
      <c r="A26" s="14">
        <f t="shared" si="0"/>
        <v>18</v>
      </c>
      <c r="B26" s="8"/>
      <c r="C26" s="15" t="s">
        <v>38</v>
      </c>
      <c r="D26" s="10" t="s">
        <v>12</v>
      </c>
      <c r="E26" s="32"/>
      <c r="F26" s="17"/>
      <c r="G26" s="18">
        <f t="shared" si="1"/>
        <v>535</v>
      </c>
      <c r="H26" s="28"/>
      <c r="I26" s="7"/>
    </row>
    <row r="27" spans="1:9" ht="18" customHeight="1" x14ac:dyDescent="0.25">
      <c r="A27" s="14">
        <f t="shared" si="0"/>
        <v>19</v>
      </c>
      <c r="B27" s="8"/>
      <c r="C27" s="15" t="s">
        <v>38</v>
      </c>
      <c r="D27" s="10" t="s">
        <v>12</v>
      </c>
      <c r="E27" s="32"/>
      <c r="F27" s="17"/>
      <c r="G27" s="18">
        <f t="shared" si="1"/>
        <v>535</v>
      </c>
      <c r="H27" s="28"/>
      <c r="I27" s="7"/>
    </row>
    <row r="28" spans="1:9" ht="18" customHeight="1" x14ac:dyDescent="0.25">
      <c r="A28" s="14">
        <f t="shared" si="0"/>
        <v>20</v>
      </c>
      <c r="B28" s="8"/>
      <c r="C28" s="15" t="s">
        <v>38</v>
      </c>
      <c r="D28" s="10" t="s">
        <v>12</v>
      </c>
      <c r="E28" s="32"/>
      <c r="F28" s="17"/>
      <c r="G28" s="18">
        <f t="shared" si="1"/>
        <v>535</v>
      </c>
      <c r="H28" s="28"/>
      <c r="I28" s="7"/>
    </row>
    <row r="29" spans="1:9" ht="18" customHeight="1" x14ac:dyDescent="0.25">
      <c r="A29" s="14">
        <f t="shared" si="0"/>
        <v>21</v>
      </c>
      <c r="B29" s="8"/>
      <c r="C29" s="15" t="s">
        <v>38</v>
      </c>
      <c r="D29" s="10" t="s">
        <v>12</v>
      </c>
      <c r="E29" s="32"/>
      <c r="F29" s="17"/>
      <c r="G29" s="18">
        <f>+G28+E29-F29</f>
        <v>535</v>
      </c>
      <c r="H29" s="28"/>
      <c r="I29" s="7"/>
    </row>
    <row r="30" spans="1:9" ht="18" customHeight="1" x14ac:dyDescent="0.25">
      <c r="A30" s="14">
        <f t="shared" si="0"/>
        <v>22</v>
      </c>
      <c r="B30" s="8"/>
      <c r="C30" s="15" t="s">
        <v>38</v>
      </c>
      <c r="D30" s="10" t="s">
        <v>12</v>
      </c>
      <c r="E30" s="32"/>
      <c r="F30" s="27"/>
      <c r="G30" s="18">
        <f t="shared" si="1"/>
        <v>535</v>
      </c>
      <c r="H30" s="28"/>
      <c r="I30" s="7"/>
    </row>
    <row r="31" spans="1:9" ht="18" customHeight="1" x14ac:dyDescent="0.25">
      <c r="A31" s="14">
        <f t="shared" si="0"/>
        <v>23</v>
      </c>
      <c r="B31" s="8"/>
      <c r="C31" s="15" t="s">
        <v>38</v>
      </c>
      <c r="D31" s="10" t="s">
        <v>12</v>
      </c>
      <c r="E31" s="32"/>
      <c r="F31" s="27"/>
      <c r="G31" s="18">
        <f t="shared" si="1"/>
        <v>535</v>
      </c>
      <c r="H31" s="28"/>
      <c r="I31" s="7"/>
    </row>
    <row r="32" spans="1:9" ht="18" customHeight="1" x14ac:dyDescent="0.25">
      <c r="A32" s="14">
        <f t="shared" si="0"/>
        <v>24</v>
      </c>
      <c r="B32" s="8"/>
      <c r="C32" s="15" t="s">
        <v>38</v>
      </c>
      <c r="D32" s="10" t="s">
        <v>12</v>
      </c>
      <c r="E32" s="32"/>
      <c r="F32" s="27"/>
      <c r="G32" s="18">
        <f t="shared" si="1"/>
        <v>535</v>
      </c>
      <c r="H32" s="28"/>
      <c r="I32" s="7"/>
    </row>
    <row r="33" spans="1:9" ht="18" customHeight="1" x14ac:dyDescent="0.25">
      <c r="A33" s="14">
        <f t="shared" si="0"/>
        <v>25</v>
      </c>
      <c r="B33" s="8"/>
      <c r="C33" s="15" t="s">
        <v>38</v>
      </c>
      <c r="D33" s="10" t="s">
        <v>12</v>
      </c>
      <c r="E33" s="32"/>
      <c r="F33" s="27"/>
      <c r="G33" s="18">
        <f t="shared" si="1"/>
        <v>535</v>
      </c>
      <c r="H33" s="28"/>
      <c r="I33" s="7"/>
    </row>
    <row r="34" spans="1:9" ht="18" customHeight="1" x14ac:dyDescent="0.25">
      <c r="A34" s="14">
        <f t="shared" si="0"/>
        <v>26</v>
      </c>
      <c r="B34" s="8"/>
      <c r="C34" s="15" t="s">
        <v>38</v>
      </c>
      <c r="D34" s="10" t="s">
        <v>12</v>
      </c>
      <c r="E34" s="32"/>
      <c r="F34" s="27"/>
      <c r="G34" s="18">
        <f t="shared" si="1"/>
        <v>535</v>
      </c>
      <c r="H34" s="28"/>
      <c r="I34" s="7"/>
    </row>
    <row r="35" spans="1:9" ht="18" customHeight="1" x14ac:dyDescent="0.25">
      <c r="A35" s="14">
        <f t="shared" si="0"/>
        <v>27</v>
      </c>
      <c r="B35" s="8"/>
      <c r="C35" s="15" t="s">
        <v>38</v>
      </c>
      <c r="D35" s="10" t="s">
        <v>12</v>
      </c>
      <c r="E35" s="32"/>
      <c r="F35" s="27"/>
      <c r="G35" s="18">
        <f t="shared" si="1"/>
        <v>535</v>
      </c>
      <c r="H35" s="28"/>
      <c r="I35" s="7"/>
    </row>
    <row r="36" spans="1:9" ht="18" customHeight="1" x14ac:dyDescent="0.25">
      <c r="A36" s="14">
        <f t="shared" si="0"/>
        <v>28</v>
      </c>
      <c r="B36" s="8"/>
      <c r="C36" s="15" t="s">
        <v>38</v>
      </c>
      <c r="D36" s="10" t="s">
        <v>12</v>
      </c>
      <c r="E36" s="32"/>
      <c r="F36" s="27"/>
      <c r="G36" s="18">
        <f t="shared" si="1"/>
        <v>535</v>
      </c>
      <c r="H36" s="28"/>
      <c r="I36" s="7"/>
    </row>
    <row r="37" spans="1:9" ht="18" customHeight="1" x14ac:dyDescent="0.25">
      <c r="A37" s="14">
        <f t="shared" si="0"/>
        <v>29</v>
      </c>
      <c r="B37" s="8"/>
      <c r="C37" s="15" t="s">
        <v>38</v>
      </c>
      <c r="D37" s="10" t="s">
        <v>12</v>
      </c>
      <c r="E37" s="32"/>
      <c r="F37" s="27"/>
      <c r="G37" s="18">
        <f t="shared" si="1"/>
        <v>535</v>
      </c>
      <c r="H37" s="28"/>
      <c r="I37" s="7"/>
    </row>
    <row r="38" spans="1:9" ht="18" customHeight="1" x14ac:dyDescent="0.25">
      <c r="A38" s="14">
        <f t="shared" si="0"/>
        <v>30</v>
      </c>
      <c r="B38" s="8"/>
      <c r="C38" s="15" t="s">
        <v>38</v>
      </c>
      <c r="D38" s="10" t="s">
        <v>12</v>
      </c>
      <c r="E38" s="32"/>
      <c r="F38" s="40"/>
      <c r="G38" s="18">
        <f t="shared" si="1"/>
        <v>535</v>
      </c>
      <c r="H38" s="28"/>
      <c r="I38" s="7"/>
    </row>
    <row r="39" spans="1:9" ht="18" customHeight="1" x14ac:dyDescent="0.25">
      <c r="A39" s="14">
        <f t="shared" si="0"/>
        <v>31</v>
      </c>
      <c r="B39" s="8"/>
      <c r="C39" s="15" t="s">
        <v>38</v>
      </c>
      <c r="D39" s="10" t="s">
        <v>12</v>
      </c>
      <c r="E39" s="32"/>
      <c r="F39" s="27"/>
      <c r="G39" s="18">
        <f t="shared" si="1"/>
        <v>535</v>
      </c>
      <c r="H39" s="28"/>
      <c r="I39" s="7"/>
    </row>
    <row r="40" spans="1:9" ht="18" customHeight="1" x14ac:dyDescent="0.25">
      <c r="A40" s="14">
        <f t="shared" si="0"/>
        <v>32</v>
      </c>
      <c r="B40" s="33"/>
      <c r="C40" s="15" t="s">
        <v>38</v>
      </c>
      <c r="D40" s="10" t="s">
        <v>12</v>
      </c>
      <c r="E40" s="126"/>
      <c r="F40" s="126"/>
      <c r="G40" s="18">
        <f t="shared" si="1"/>
        <v>535</v>
      </c>
      <c r="H40" s="28"/>
      <c r="I40" s="7"/>
    </row>
    <row r="41" spans="1:9" ht="18" customHeight="1" x14ac:dyDescent="0.25">
      <c r="A41" s="14">
        <f t="shared" si="0"/>
        <v>33</v>
      </c>
      <c r="B41" s="33"/>
      <c r="C41" s="15" t="s">
        <v>38</v>
      </c>
      <c r="D41" s="10" t="s">
        <v>12</v>
      </c>
      <c r="E41" s="126"/>
      <c r="F41" s="207"/>
      <c r="G41" s="18">
        <f t="shared" si="1"/>
        <v>535</v>
      </c>
      <c r="H41" s="28"/>
      <c r="I41" s="7"/>
    </row>
    <row r="42" spans="1:9" ht="18" customHeight="1" x14ac:dyDescent="0.25">
      <c r="A42" s="14">
        <f t="shared" si="0"/>
        <v>34</v>
      </c>
      <c r="B42" s="33"/>
      <c r="C42" s="15" t="s">
        <v>38</v>
      </c>
      <c r="D42" s="10" t="s">
        <v>12</v>
      </c>
      <c r="E42" s="126"/>
      <c r="F42" s="207"/>
      <c r="G42" s="18">
        <f t="shared" si="1"/>
        <v>535</v>
      </c>
      <c r="H42" s="28"/>
      <c r="I42" s="7"/>
    </row>
    <row r="43" spans="1:9" ht="18" customHeight="1" x14ac:dyDescent="0.25">
      <c r="A43" s="14">
        <f t="shared" si="0"/>
        <v>35</v>
      </c>
      <c r="B43" s="33"/>
      <c r="C43" s="15" t="s">
        <v>38</v>
      </c>
      <c r="D43" s="10" t="s">
        <v>12</v>
      </c>
      <c r="E43" s="126"/>
      <c r="F43" s="207"/>
      <c r="G43" s="18">
        <f t="shared" si="1"/>
        <v>535</v>
      </c>
      <c r="H43" s="28"/>
      <c r="I43" s="7"/>
    </row>
    <row r="44" spans="1:9" ht="18" customHeight="1" x14ac:dyDescent="0.25">
      <c r="A44" s="14">
        <f t="shared" si="0"/>
        <v>36</v>
      </c>
      <c r="B44" s="33"/>
      <c r="C44" s="15" t="s">
        <v>38</v>
      </c>
      <c r="D44" s="10" t="s">
        <v>12</v>
      </c>
      <c r="E44" s="126"/>
      <c r="F44" s="207"/>
      <c r="G44" s="18">
        <f t="shared" si="1"/>
        <v>535</v>
      </c>
      <c r="H44" s="28"/>
      <c r="I44" s="7"/>
    </row>
    <row r="45" spans="1:9" ht="18" customHeight="1" x14ac:dyDescent="0.25">
      <c r="A45" s="14">
        <f t="shared" si="0"/>
        <v>37</v>
      </c>
      <c r="B45" s="33"/>
      <c r="C45" s="15" t="s">
        <v>38</v>
      </c>
      <c r="D45" s="10" t="s">
        <v>12</v>
      </c>
      <c r="E45" s="126"/>
      <c r="F45" s="207"/>
      <c r="G45" s="18">
        <f t="shared" si="1"/>
        <v>535</v>
      </c>
      <c r="H45" s="28"/>
      <c r="I45" s="7"/>
    </row>
    <row r="46" spans="1:9" ht="18" customHeight="1" x14ac:dyDescent="0.25">
      <c r="A46" s="14">
        <f t="shared" si="0"/>
        <v>38</v>
      </c>
      <c r="B46" s="33"/>
      <c r="C46" s="15" t="s">
        <v>38</v>
      </c>
      <c r="D46" s="10" t="s">
        <v>12</v>
      </c>
      <c r="E46" s="126"/>
      <c r="F46" s="207"/>
      <c r="G46" s="18">
        <f t="shared" si="1"/>
        <v>535</v>
      </c>
      <c r="H46" s="28"/>
      <c r="I46" s="7"/>
    </row>
    <row r="47" spans="1:9" ht="18" customHeight="1" x14ac:dyDescent="0.25">
      <c r="A47" s="14">
        <f t="shared" si="0"/>
        <v>39</v>
      </c>
      <c r="B47" s="33"/>
      <c r="C47" s="15" t="s">
        <v>38</v>
      </c>
      <c r="D47" s="10" t="s">
        <v>12</v>
      </c>
      <c r="E47" s="126"/>
      <c r="F47" s="207"/>
      <c r="G47" s="18">
        <f t="shared" si="1"/>
        <v>535</v>
      </c>
      <c r="H47" s="28"/>
      <c r="I47" s="7"/>
    </row>
    <row r="48" spans="1:9" ht="18" customHeight="1" x14ac:dyDescent="0.25">
      <c r="A48" s="14">
        <f t="shared" si="0"/>
        <v>40</v>
      </c>
      <c r="B48" s="33"/>
      <c r="C48" s="15" t="s">
        <v>38</v>
      </c>
      <c r="D48" s="10" t="s">
        <v>12</v>
      </c>
      <c r="E48" s="126"/>
      <c r="F48" s="207"/>
      <c r="G48" s="18">
        <f t="shared" si="1"/>
        <v>535</v>
      </c>
      <c r="H48" s="28"/>
      <c r="I48" s="7"/>
    </row>
    <row r="49" spans="1:9" ht="18" customHeight="1" x14ac:dyDescent="0.25">
      <c r="A49" s="14">
        <f t="shared" si="0"/>
        <v>41</v>
      </c>
      <c r="B49" s="33"/>
      <c r="C49" s="15" t="s">
        <v>38</v>
      </c>
      <c r="D49" s="10" t="s">
        <v>12</v>
      </c>
      <c r="E49" s="126"/>
      <c r="F49" s="207"/>
      <c r="G49" s="18">
        <f t="shared" si="1"/>
        <v>535</v>
      </c>
      <c r="H49" s="28"/>
      <c r="I49" s="7"/>
    </row>
    <row r="50" spans="1:9" ht="18" customHeight="1" x14ac:dyDescent="0.25">
      <c r="A50" s="14">
        <f t="shared" si="0"/>
        <v>42</v>
      </c>
      <c r="B50" s="33"/>
      <c r="C50" s="15" t="s">
        <v>38</v>
      </c>
      <c r="D50" s="10" t="s">
        <v>12</v>
      </c>
      <c r="E50" s="126"/>
      <c r="F50" s="207"/>
      <c r="G50" s="18">
        <f t="shared" si="1"/>
        <v>535</v>
      </c>
      <c r="H50" s="28"/>
      <c r="I50" s="137"/>
    </row>
    <row r="51" spans="1:9" ht="18" customHeight="1" x14ac:dyDescent="0.25">
      <c r="A51" s="14">
        <f t="shared" si="0"/>
        <v>43</v>
      </c>
      <c r="B51" s="33"/>
      <c r="C51" s="15" t="s">
        <v>38</v>
      </c>
      <c r="D51" s="10" t="s">
        <v>12</v>
      </c>
      <c r="E51" s="126"/>
      <c r="F51" s="207"/>
      <c r="G51" s="18">
        <f t="shared" si="1"/>
        <v>535</v>
      </c>
      <c r="H51" s="28"/>
      <c r="I51" s="137"/>
    </row>
    <row r="52" spans="1:9" ht="18" customHeight="1" x14ac:dyDescent="0.25">
      <c r="A52" s="14">
        <f t="shared" si="0"/>
        <v>44</v>
      </c>
      <c r="B52" s="33"/>
      <c r="C52" s="15" t="s">
        <v>38</v>
      </c>
      <c r="D52" s="10" t="s">
        <v>12</v>
      </c>
      <c r="E52" s="126"/>
      <c r="F52" s="207"/>
      <c r="G52" s="18">
        <f t="shared" si="1"/>
        <v>535</v>
      </c>
      <c r="H52" s="28"/>
      <c r="I52" s="137"/>
    </row>
    <row r="53" spans="1:9" ht="18" customHeight="1" x14ac:dyDescent="0.25">
      <c r="A53" s="14">
        <f t="shared" si="0"/>
        <v>45</v>
      </c>
      <c r="B53" s="33"/>
      <c r="C53" s="15" t="s">
        <v>38</v>
      </c>
      <c r="D53" s="10" t="s">
        <v>12</v>
      </c>
      <c r="E53" s="126"/>
      <c r="F53" s="207"/>
      <c r="G53" s="18">
        <f t="shared" si="1"/>
        <v>535</v>
      </c>
      <c r="H53" s="28"/>
      <c r="I53" s="137"/>
    </row>
    <row r="54" spans="1:9" ht="18" customHeight="1" x14ac:dyDescent="0.25">
      <c r="A54" s="14">
        <f t="shared" si="0"/>
        <v>46</v>
      </c>
      <c r="B54" s="33"/>
      <c r="C54" s="15" t="s">
        <v>38</v>
      </c>
      <c r="D54" s="10" t="s">
        <v>12</v>
      </c>
      <c r="E54" s="126"/>
      <c r="F54" s="207"/>
      <c r="G54" s="18">
        <f t="shared" si="1"/>
        <v>535</v>
      </c>
      <c r="H54" s="28"/>
      <c r="I54" s="137"/>
    </row>
    <row r="55" spans="1:9" ht="18" customHeight="1" x14ac:dyDescent="0.25">
      <c r="A55" s="14">
        <f t="shared" si="0"/>
        <v>47</v>
      </c>
      <c r="B55" s="33"/>
      <c r="C55" s="15" t="s">
        <v>38</v>
      </c>
      <c r="D55" s="10" t="s">
        <v>12</v>
      </c>
      <c r="E55" s="126"/>
      <c r="F55" s="207"/>
      <c r="G55" s="18">
        <f t="shared" si="1"/>
        <v>535</v>
      </c>
      <c r="H55" s="28"/>
      <c r="I55" s="137"/>
    </row>
    <row r="56" spans="1:9" ht="18" customHeight="1" x14ac:dyDescent="0.25">
      <c r="A56" s="14">
        <f t="shared" si="0"/>
        <v>48</v>
      </c>
      <c r="B56" s="33"/>
      <c r="C56" s="15" t="s">
        <v>38</v>
      </c>
      <c r="D56" s="10" t="s">
        <v>12</v>
      </c>
      <c r="E56" s="126"/>
      <c r="F56" s="207"/>
      <c r="G56" s="18">
        <f t="shared" si="1"/>
        <v>535</v>
      </c>
      <c r="H56" s="28"/>
      <c r="I56" s="137"/>
    </row>
    <row r="57" spans="1:9" ht="18" customHeight="1" x14ac:dyDescent="0.25">
      <c r="A57" s="14">
        <f t="shared" si="0"/>
        <v>49</v>
      </c>
      <c r="B57" s="33"/>
      <c r="C57" s="15" t="s">
        <v>38</v>
      </c>
      <c r="D57" s="10" t="s">
        <v>12</v>
      </c>
      <c r="E57" s="126"/>
      <c r="F57" s="207"/>
      <c r="G57" s="18">
        <f t="shared" si="1"/>
        <v>535</v>
      </c>
      <c r="H57" s="28"/>
      <c r="I57" s="137"/>
    </row>
    <row r="58" spans="1:9" ht="18" customHeight="1" x14ac:dyDescent="0.25">
      <c r="A58" s="14">
        <f t="shared" si="0"/>
        <v>50</v>
      </c>
      <c r="B58" s="33"/>
      <c r="C58" s="15" t="s">
        <v>38</v>
      </c>
      <c r="D58" s="10" t="s">
        <v>12</v>
      </c>
      <c r="E58" s="126"/>
      <c r="F58" s="207"/>
      <c r="G58" s="18">
        <f t="shared" si="1"/>
        <v>535</v>
      </c>
      <c r="H58" s="28"/>
      <c r="I58" s="137"/>
    </row>
    <row r="59" spans="1:9" ht="18" customHeight="1" x14ac:dyDescent="0.25">
      <c r="A59" s="14">
        <f t="shared" si="0"/>
        <v>51</v>
      </c>
      <c r="B59" s="33"/>
      <c r="C59" s="15" t="s">
        <v>38</v>
      </c>
      <c r="D59" s="10" t="s">
        <v>12</v>
      </c>
      <c r="E59" s="126"/>
      <c r="F59" s="207"/>
      <c r="G59" s="18">
        <f t="shared" si="1"/>
        <v>535</v>
      </c>
      <c r="H59" s="28"/>
      <c r="I59" s="137"/>
    </row>
    <row r="60" spans="1:9" ht="18" customHeight="1" x14ac:dyDescent="0.25">
      <c r="A60" s="14">
        <f t="shared" si="0"/>
        <v>52</v>
      </c>
      <c r="B60" s="33"/>
      <c r="C60" s="15" t="s">
        <v>38</v>
      </c>
      <c r="D60" s="10" t="s">
        <v>12</v>
      </c>
      <c r="E60" s="126"/>
      <c r="F60" s="207"/>
      <c r="G60" s="18">
        <f t="shared" si="1"/>
        <v>535</v>
      </c>
      <c r="H60" s="28"/>
      <c r="I60" s="137"/>
    </row>
    <row r="61" spans="1:9" ht="18" customHeight="1" x14ac:dyDescent="0.25">
      <c r="A61" s="14">
        <f t="shared" si="0"/>
        <v>53</v>
      </c>
      <c r="B61" s="33"/>
      <c r="C61" s="15" t="s">
        <v>38</v>
      </c>
      <c r="D61" s="10" t="s">
        <v>12</v>
      </c>
      <c r="E61" s="126"/>
      <c r="F61" s="207"/>
      <c r="G61" s="18">
        <f t="shared" si="1"/>
        <v>535</v>
      </c>
      <c r="H61" s="28"/>
      <c r="I61" s="137"/>
    </row>
    <row r="62" spans="1:9" ht="18" customHeight="1" x14ac:dyDescent="0.25">
      <c r="A62" s="14">
        <f t="shared" si="0"/>
        <v>54</v>
      </c>
      <c r="B62" s="33"/>
      <c r="C62" s="15" t="s">
        <v>38</v>
      </c>
      <c r="D62" s="10" t="s">
        <v>12</v>
      </c>
      <c r="E62" s="126"/>
      <c r="F62" s="207"/>
      <c r="G62" s="18">
        <f t="shared" si="1"/>
        <v>535</v>
      </c>
      <c r="H62" s="28"/>
      <c r="I62" s="137"/>
    </row>
    <row r="63" spans="1:9" ht="18" customHeight="1" x14ac:dyDescent="0.25">
      <c r="A63" s="14">
        <f t="shared" si="0"/>
        <v>55</v>
      </c>
      <c r="B63" s="8"/>
      <c r="C63" s="15" t="s">
        <v>38</v>
      </c>
      <c r="D63" s="10" t="s">
        <v>12</v>
      </c>
      <c r="E63" s="32"/>
      <c r="F63" s="27"/>
      <c r="G63" s="18">
        <f t="shared" si="1"/>
        <v>535</v>
      </c>
      <c r="H63" s="28"/>
      <c r="I63" s="137"/>
    </row>
    <row r="64" spans="1:9" ht="18" customHeight="1" x14ac:dyDescent="0.25">
      <c r="A64" s="14">
        <f t="shared" si="0"/>
        <v>56</v>
      </c>
      <c r="B64" s="8"/>
      <c r="C64" s="15" t="s">
        <v>38</v>
      </c>
      <c r="D64" s="10" t="s">
        <v>12</v>
      </c>
      <c r="E64" s="32"/>
      <c r="F64" s="27"/>
      <c r="G64" s="18">
        <f t="shared" si="1"/>
        <v>535</v>
      </c>
      <c r="H64" s="28"/>
      <c r="I64" s="137"/>
    </row>
    <row r="65" spans="1:9" ht="18" customHeight="1" x14ac:dyDescent="0.25">
      <c r="A65" s="14">
        <f t="shared" si="0"/>
        <v>57</v>
      </c>
      <c r="B65" s="8"/>
      <c r="C65" s="15" t="s">
        <v>38</v>
      </c>
      <c r="D65" s="10" t="s">
        <v>12</v>
      </c>
      <c r="E65" s="32"/>
      <c r="F65" s="27"/>
      <c r="G65" s="18">
        <f t="shared" si="1"/>
        <v>535</v>
      </c>
      <c r="H65" s="28"/>
      <c r="I65" s="137"/>
    </row>
    <row r="66" spans="1:9" ht="18" customHeight="1" x14ac:dyDescent="0.25">
      <c r="A66" s="14">
        <f t="shared" si="0"/>
        <v>58</v>
      </c>
      <c r="B66" s="8"/>
      <c r="C66" s="15" t="s">
        <v>38</v>
      </c>
      <c r="D66" s="10" t="s">
        <v>12</v>
      </c>
      <c r="E66" s="32"/>
      <c r="F66" s="27"/>
      <c r="G66" s="18">
        <f t="shared" si="1"/>
        <v>535</v>
      </c>
      <c r="H66" s="28"/>
      <c r="I66" s="137"/>
    </row>
    <row r="67" spans="1:9" ht="18" customHeight="1" x14ac:dyDescent="0.25">
      <c r="A67" s="14">
        <f t="shared" si="0"/>
        <v>59</v>
      </c>
      <c r="B67" s="8"/>
      <c r="C67" s="15" t="s">
        <v>38</v>
      </c>
      <c r="D67" s="10" t="s">
        <v>12</v>
      </c>
      <c r="E67" s="32"/>
      <c r="F67" s="27"/>
      <c r="G67" s="18">
        <f t="shared" si="1"/>
        <v>535</v>
      </c>
      <c r="H67" s="28"/>
      <c r="I67" s="137"/>
    </row>
    <row r="68" spans="1:9" ht="18" customHeight="1" x14ac:dyDescent="0.25">
      <c r="A68" s="14">
        <f t="shared" si="0"/>
        <v>60</v>
      </c>
      <c r="B68" s="8"/>
      <c r="C68" s="15" t="s">
        <v>38</v>
      </c>
      <c r="D68" s="10" t="s">
        <v>12</v>
      </c>
      <c r="E68" s="32"/>
      <c r="F68" s="27"/>
      <c r="G68" s="18">
        <f t="shared" si="1"/>
        <v>535</v>
      </c>
      <c r="H68" s="28"/>
      <c r="I68" s="137"/>
    </row>
    <row r="69" spans="1:9" ht="18" customHeight="1" x14ac:dyDescent="0.25">
      <c r="A69" s="14">
        <f t="shared" si="0"/>
        <v>61</v>
      </c>
      <c r="B69" s="8"/>
      <c r="C69" s="15" t="s">
        <v>38</v>
      </c>
      <c r="D69" s="10" t="s">
        <v>12</v>
      </c>
      <c r="E69" s="32"/>
      <c r="F69" s="27"/>
      <c r="G69" s="18">
        <f t="shared" si="1"/>
        <v>535</v>
      </c>
      <c r="H69" s="28"/>
      <c r="I69" s="137"/>
    </row>
    <row r="70" spans="1:9" ht="18" customHeight="1" x14ac:dyDescent="0.25">
      <c r="A70" s="14">
        <f t="shared" si="0"/>
        <v>62</v>
      </c>
      <c r="B70" s="8"/>
      <c r="C70" s="15" t="s">
        <v>38</v>
      </c>
      <c r="D70" s="10" t="s">
        <v>12</v>
      </c>
      <c r="E70" s="32"/>
      <c r="F70" s="27"/>
      <c r="G70" s="18">
        <f t="shared" si="1"/>
        <v>535</v>
      </c>
      <c r="H70" s="28"/>
      <c r="I70" s="137"/>
    </row>
    <row r="71" spans="1:9" ht="18" customHeight="1" x14ac:dyDescent="0.25">
      <c r="A71" s="14">
        <f t="shared" si="0"/>
        <v>63</v>
      </c>
      <c r="B71" s="8"/>
      <c r="C71" s="15" t="s">
        <v>38</v>
      </c>
      <c r="D71" s="10" t="s">
        <v>12</v>
      </c>
      <c r="E71" s="32"/>
      <c r="F71" s="27"/>
      <c r="G71" s="18">
        <f t="shared" si="1"/>
        <v>535</v>
      </c>
      <c r="H71" s="28"/>
      <c r="I71" s="137"/>
    </row>
    <row r="72" spans="1:9" ht="18" customHeight="1" x14ac:dyDescent="0.25">
      <c r="A72" s="14">
        <f t="shared" si="0"/>
        <v>64</v>
      </c>
      <c r="B72" s="8"/>
      <c r="C72" s="15" t="s">
        <v>38</v>
      </c>
      <c r="D72" s="10" t="s">
        <v>12</v>
      </c>
      <c r="E72" s="32"/>
      <c r="F72" s="27"/>
      <c r="G72" s="18">
        <f t="shared" si="1"/>
        <v>535</v>
      </c>
      <c r="H72" s="28"/>
      <c r="I72" s="137"/>
    </row>
    <row r="73" spans="1:9" ht="18" customHeight="1" x14ac:dyDescent="0.25">
      <c r="A73" s="14">
        <f t="shared" si="0"/>
        <v>65</v>
      </c>
      <c r="B73" s="8"/>
      <c r="C73" s="15" t="s">
        <v>38</v>
      </c>
      <c r="D73" s="10" t="s">
        <v>12</v>
      </c>
      <c r="E73" s="32"/>
      <c r="F73" s="27"/>
      <c r="G73" s="18">
        <f t="shared" ref="G73:G117" si="2">+G72+E73-F73</f>
        <v>535</v>
      </c>
      <c r="H73" s="28"/>
      <c r="I73" s="137"/>
    </row>
    <row r="74" spans="1:9" ht="18" customHeight="1" x14ac:dyDescent="0.25">
      <c r="A74" s="14">
        <f t="shared" ref="A74:A116" si="3">+A73+1</f>
        <v>66</v>
      </c>
      <c r="B74" s="8"/>
      <c r="C74" s="15" t="s">
        <v>38</v>
      </c>
      <c r="D74" s="10" t="s">
        <v>12</v>
      </c>
      <c r="E74" s="32"/>
      <c r="F74" s="27"/>
      <c r="G74" s="18">
        <f t="shared" si="2"/>
        <v>535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 t="s">
        <v>38</v>
      </c>
      <c r="D75" s="10" t="s">
        <v>12</v>
      </c>
      <c r="E75" s="32"/>
      <c r="F75" s="27"/>
      <c r="G75" s="18">
        <f t="shared" si="2"/>
        <v>535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 t="s">
        <v>38</v>
      </c>
      <c r="D76" s="10" t="s">
        <v>12</v>
      </c>
      <c r="E76" s="32"/>
      <c r="F76" s="27"/>
      <c r="G76" s="18">
        <f t="shared" si="2"/>
        <v>535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 t="s">
        <v>38</v>
      </c>
      <c r="D77" s="10" t="s">
        <v>12</v>
      </c>
      <c r="E77" s="32"/>
      <c r="F77" s="27"/>
      <c r="G77" s="18">
        <f t="shared" si="2"/>
        <v>535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 t="s">
        <v>38</v>
      </c>
      <c r="D78" s="10" t="s">
        <v>12</v>
      </c>
      <c r="E78" s="32"/>
      <c r="F78" s="27"/>
      <c r="G78" s="18">
        <f t="shared" si="2"/>
        <v>535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 t="s">
        <v>38</v>
      </c>
      <c r="D79" s="10" t="s">
        <v>12</v>
      </c>
      <c r="E79" s="32"/>
      <c r="F79" s="27"/>
      <c r="G79" s="18">
        <f t="shared" si="2"/>
        <v>535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 t="s">
        <v>38</v>
      </c>
      <c r="D80" s="10" t="s">
        <v>12</v>
      </c>
      <c r="E80" s="32"/>
      <c r="F80" s="27"/>
      <c r="G80" s="18">
        <f t="shared" si="2"/>
        <v>535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 t="s">
        <v>38</v>
      </c>
      <c r="D81" s="10" t="s">
        <v>12</v>
      </c>
      <c r="E81" s="32"/>
      <c r="F81" s="27"/>
      <c r="G81" s="18">
        <f t="shared" si="2"/>
        <v>535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 t="s">
        <v>38</v>
      </c>
      <c r="D82" s="10" t="s">
        <v>12</v>
      </c>
      <c r="E82" s="32"/>
      <c r="F82" s="27"/>
      <c r="G82" s="18">
        <f t="shared" si="2"/>
        <v>535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 t="s">
        <v>38</v>
      </c>
      <c r="D83" s="10" t="s">
        <v>12</v>
      </c>
      <c r="E83" s="32"/>
      <c r="F83" s="27"/>
      <c r="G83" s="18">
        <f t="shared" si="2"/>
        <v>535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 t="s">
        <v>38</v>
      </c>
      <c r="D84" s="10" t="s">
        <v>12</v>
      </c>
      <c r="E84" s="32"/>
      <c r="F84" s="27"/>
      <c r="G84" s="18">
        <f t="shared" si="2"/>
        <v>535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 t="s">
        <v>38</v>
      </c>
      <c r="D85" s="10" t="s">
        <v>12</v>
      </c>
      <c r="E85" s="32"/>
      <c r="F85" s="27"/>
      <c r="G85" s="18">
        <f t="shared" si="2"/>
        <v>535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 t="s">
        <v>38</v>
      </c>
      <c r="D86" s="10" t="s">
        <v>12</v>
      </c>
      <c r="E86" s="32"/>
      <c r="F86" s="27"/>
      <c r="G86" s="18">
        <f t="shared" si="2"/>
        <v>535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 t="s">
        <v>38</v>
      </c>
      <c r="D87" s="10" t="s">
        <v>12</v>
      </c>
      <c r="E87" s="32"/>
      <c r="F87" s="27"/>
      <c r="G87" s="18">
        <f t="shared" si="2"/>
        <v>535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 t="s">
        <v>38</v>
      </c>
      <c r="D88" s="10" t="s">
        <v>12</v>
      </c>
      <c r="E88" s="32"/>
      <c r="F88" s="27"/>
      <c r="G88" s="18">
        <f t="shared" si="2"/>
        <v>535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 t="s">
        <v>38</v>
      </c>
      <c r="D89" s="10" t="s">
        <v>12</v>
      </c>
      <c r="E89" s="32"/>
      <c r="F89" s="27"/>
      <c r="G89" s="18">
        <f t="shared" si="2"/>
        <v>535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 t="s">
        <v>38</v>
      </c>
      <c r="D90" s="10" t="s">
        <v>12</v>
      </c>
      <c r="E90" s="32"/>
      <c r="F90" s="27"/>
      <c r="G90" s="18">
        <f t="shared" si="2"/>
        <v>535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 t="s">
        <v>38</v>
      </c>
      <c r="D91" s="10" t="s">
        <v>12</v>
      </c>
      <c r="E91" s="32"/>
      <c r="F91" s="27"/>
      <c r="G91" s="18">
        <f t="shared" si="2"/>
        <v>535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 t="s">
        <v>38</v>
      </c>
      <c r="D92" s="10" t="s">
        <v>12</v>
      </c>
      <c r="E92" s="32"/>
      <c r="F92" s="27"/>
      <c r="G92" s="18">
        <f t="shared" si="2"/>
        <v>535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 t="s">
        <v>38</v>
      </c>
      <c r="D93" s="10" t="s">
        <v>12</v>
      </c>
      <c r="E93" s="32"/>
      <c r="F93" s="27"/>
      <c r="G93" s="18">
        <f t="shared" si="2"/>
        <v>535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 t="s">
        <v>38</v>
      </c>
      <c r="D94" s="10" t="s">
        <v>12</v>
      </c>
      <c r="E94" s="32"/>
      <c r="F94" s="27"/>
      <c r="G94" s="18">
        <f t="shared" si="2"/>
        <v>535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 t="s">
        <v>38</v>
      </c>
      <c r="D95" s="10" t="s">
        <v>12</v>
      </c>
      <c r="E95" s="32"/>
      <c r="F95" s="27"/>
      <c r="G95" s="18">
        <f t="shared" si="2"/>
        <v>535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 t="s">
        <v>38</v>
      </c>
      <c r="D96" s="10" t="s">
        <v>12</v>
      </c>
      <c r="E96" s="32"/>
      <c r="F96" s="27"/>
      <c r="G96" s="18">
        <f t="shared" si="2"/>
        <v>535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 t="s">
        <v>38</v>
      </c>
      <c r="D97" s="10" t="s">
        <v>12</v>
      </c>
      <c r="E97" s="32"/>
      <c r="F97" s="27"/>
      <c r="G97" s="18">
        <f t="shared" si="2"/>
        <v>535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 t="s">
        <v>38</v>
      </c>
      <c r="D98" s="10" t="s">
        <v>12</v>
      </c>
      <c r="E98" s="32"/>
      <c r="F98" s="27"/>
      <c r="G98" s="18">
        <f t="shared" si="2"/>
        <v>535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 t="s">
        <v>38</v>
      </c>
      <c r="D99" s="10" t="s">
        <v>12</v>
      </c>
      <c r="E99" s="32"/>
      <c r="F99" s="27"/>
      <c r="G99" s="18">
        <f t="shared" si="2"/>
        <v>535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 t="s">
        <v>38</v>
      </c>
      <c r="D100" s="10" t="s">
        <v>12</v>
      </c>
      <c r="E100" s="32"/>
      <c r="F100" s="27"/>
      <c r="G100" s="18">
        <f t="shared" si="2"/>
        <v>535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535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535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535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535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535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535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535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535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535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535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535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535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535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535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535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535</v>
      </c>
      <c r="H116" s="18"/>
      <c r="I116" s="7"/>
    </row>
    <row r="117" spans="1:9" x14ac:dyDescent="0.25">
      <c r="A117" s="14">
        <f t="shared" ref="A117" si="4">+A116+1</f>
        <v>109</v>
      </c>
      <c r="B117" s="33"/>
      <c r="C117" s="7"/>
      <c r="D117" s="14"/>
      <c r="E117" s="140"/>
      <c r="F117" s="141"/>
      <c r="G117" s="18">
        <f t="shared" si="2"/>
        <v>535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156</v>
      </c>
      <c r="G118" s="35">
        <f>+E118-F118+G8</f>
        <v>535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E88A-48B2-4C22-A38E-4E048508CB77}">
  <sheetPr codeName="Sheet53"/>
  <dimension ref="A1:J152"/>
  <sheetViews>
    <sheetView workbookViewId="0">
      <selection activeCell="E9" sqref="E9:F16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853</v>
      </c>
      <c r="H8" s="7"/>
      <c r="I8" s="7"/>
    </row>
    <row r="9" spans="1:10" ht="18" customHeight="1" x14ac:dyDescent="0.25">
      <c r="A9" s="14">
        <v>1</v>
      </c>
      <c r="B9" s="39"/>
      <c r="C9" s="15" t="s">
        <v>207</v>
      </c>
      <c r="D9" s="10" t="s">
        <v>12</v>
      </c>
      <c r="E9" s="51"/>
      <c r="F9" s="27"/>
      <c r="G9" s="18">
        <f t="shared" ref="G9:G73" si="0">+G8+E9-F9</f>
        <v>853</v>
      </c>
      <c r="H9" s="28" t="s">
        <v>129</v>
      </c>
      <c r="I9" s="7" t="s">
        <v>90</v>
      </c>
    </row>
    <row r="10" spans="1:10" ht="18" customHeight="1" x14ac:dyDescent="0.25">
      <c r="A10" s="14"/>
      <c r="B10" s="39"/>
      <c r="C10" s="15" t="s">
        <v>207</v>
      </c>
      <c r="D10" s="10"/>
      <c r="E10" s="51"/>
      <c r="F10" s="27"/>
      <c r="G10" s="18">
        <f t="shared" si="0"/>
        <v>853</v>
      </c>
      <c r="H10" s="28"/>
      <c r="I10" s="7"/>
    </row>
    <row r="11" spans="1:10" ht="18" customHeight="1" x14ac:dyDescent="0.25">
      <c r="A11" s="14">
        <f>+A9+1</f>
        <v>2</v>
      </c>
      <c r="B11" s="39"/>
      <c r="C11" s="15" t="s">
        <v>207</v>
      </c>
      <c r="D11" s="10" t="s">
        <v>12</v>
      </c>
      <c r="E11" s="16"/>
      <c r="F11" s="27"/>
      <c r="G11" s="18">
        <f t="shared" si="0"/>
        <v>853</v>
      </c>
      <c r="H11" s="28" t="s">
        <v>129</v>
      </c>
      <c r="I11" s="7" t="s">
        <v>90</v>
      </c>
    </row>
    <row r="12" spans="1:10" ht="18" customHeight="1" x14ac:dyDescent="0.25">
      <c r="A12" s="14">
        <f t="shared" ref="A12:A74" si="1">+A11+1</f>
        <v>3</v>
      </c>
      <c r="B12" s="8"/>
      <c r="C12" s="15" t="s">
        <v>207</v>
      </c>
      <c r="D12" s="10" t="s">
        <v>12</v>
      </c>
      <c r="E12" s="16"/>
      <c r="F12" s="27"/>
      <c r="G12" s="18">
        <f t="shared" si="0"/>
        <v>853</v>
      </c>
      <c r="H12" s="28" t="s">
        <v>129</v>
      </c>
      <c r="I12" s="7" t="s">
        <v>90</v>
      </c>
    </row>
    <row r="13" spans="1:10" ht="18" customHeight="1" x14ac:dyDescent="0.25">
      <c r="A13" s="14">
        <f t="shared" si="1"/>
        <v>4</v>
      </c>
      <c r="B13" s="8"/>
      <c r="C13" s="15" t="s">
        <v>207</v>
      </c>
      <c r="D13" s="10" t="s">
        <v>12</v>
      </c>
      <c r="E13" s="16"/>
      <c r="F13" s="27"/>
      <c r="G13" s="18">
        <f t="shared" si="0"/>
        <v>853</v>
      </c>
      <c r="H13" s="28" t="s">
        <v>129</v>
      </c>
      <c r="I13" s="7" t="s">
        <v>90</v>
      </c>
    </row>
    <row r="14" spans="1:10" ht="18" customHeight="1" x14ac:dyDescent="0.25">
      <c r="A14" s="14">
        <f t="shared" si="1"/>
        <v>5</v>
      </c>
      <c r="B14" s="205"/>
      <c r="C14" s="15" t="s">
        <v>207</v>
      </c>
      <c r="D14" s="10" t="s">
        <v>12</v>
      </c>
      <c r="E14" s="16"/>
      <c r="F14" s="17"/>
      <c r="G14" s="18">
        <f t="shared" si="0"/>
        <v>853</v>
      </c>
      <c r="H14" s="28" t="s">
        <v>129</v>
      </c>
      <c r="I14" s="7" t="s">
        <v>90</v>
      </c>
    </row>
    <row r="15" spans="1:10" ht="18" customHeight="1" x14ac:dyDescent="0.25">
      <c r="A15" s="14">
        <f t="shared" si="1"/>
        <v>6</v>
      </c>
      <c r="B15" s="205"/>
      <c r="C15" s="15" t="s">
        <v>207</v>
      </c>
      <c r="D15" s="10" t="s">
        <v>12</v>
      </c>
      <c r="E15" s="16"/>
      <c r="F15" s="27"/>
      <c r="G15" s="18">
        <f t="shared" si="0"/>
        <v>853</v>
      </c>
      <c r="H15" s="28" t="s">
        <v>129</v>
      </c>
      <c r="I15" s="7" t="s">
        <v>90</v>
      </c>
      <c r="J15" s="26"/>
    </row>
    <row r="16" spans="1:10" ht="18" customHeight="1" x14ac:dyDescent="0.25">
      <c r="A16" s="14">
        <f t="shared" si="1"/>
        <v>7</v>
      </c>
      <c r="B16" s="205"/>
      <c r="C16" s="15"/>
      <c r="D16" s="10" t="s">
        <v>12</v>
      </c>
      <c r="E16" s="16"/>
      <c r="F16" s="17"/>
      <c r="G16" s="18">
        <f t="shared" si="0"/>
        <v>853</v>
      </c>
      <c r="H16" s="28"/>
      <c r="I16" s="7"/>
    </row>
    <row r="17" spans="1:9" ht="18" customHeight="1" x14ac:dyDescent="0.25">
      <c r="A17" s="14">
        <f t="shared" si="1"/>
        <v>8</v>
      </c>
      <c r="B17" s="206"/>
      <c r="C17" s="15"/>
      <c r="D17" s="10" t="s">
        <v>12</v>
      </c>
      <c r="E17" s="16"/>
      <c r="F17" s="27"/>
      <c r="G17" s="18">
        <f t="shared" si="0"/>
        <v>853</v>
      </c>
      <c r="H17" s="28"/>
      <c r="I17" s="7"/>
    </row>
    <row r="18" spans="1:9" ht="18" customHeight="1" x14ac:dyDescent="0.25">
      <c r="A18" s="14">
        <f t="shared" si="1"/>
        <v>9</v>
      </c>
      <c r="B18" s="205"/>
      <c r="C18" s="15"/>
      <c r="D18" s="10" t="s">
        <v>12</v>
      </c>
      <c r="E18" s="16"/>
      <c r="F18" s="27"/>
      <c r="G18" s="18">
        <f t="shared" si="0"/>
        <v>853</v>
      </c>
      <c r="H18" s="28"/>
      <c r="I18" s="7"/>
    </row>
    <row r="19" spans="1:9" ht="18" customHeight="1" x14ac:dyDescent="0.25">
      <c r="A19" s="14">
        <f t="shared" si="1"/>
        <v>10</v>
      </c>
      <c r="B19" s="8"/>
      <c r="C19" s="15"/>
      <c r="D19" s="10" t="s">
        <v>12</v>
      </c>
      <c r="E19" s="16"/>
      <c r="F19" s="27"/>
      <c r="G19" s="18">
        <f t="shared" si="0"/>
        <v>853</v>
      </c>
      <c r="H19" s="28"/>
      <c r="I19" s="7"/>
    </row>
    <row r="20" spans="1:9" ht="18" customHeight="1" x14ac:dyDescent="0.25">
      <c r="A20" s="14">
        <f t="shared" si="1"/>
        <v>11</v>
      </c>
      <c r="B20" s="8"/>
      <c r="C20" s="15"/>
      <c r="D20" s="10" t="s">
        <v>12</v>
      </c>
      <c r="E20" s="16"/>
      <c r="F20" s="27"/>
      <c r="G20" s="18">
        <f t="shared" si="0"/>
        <v>853</v>
      </c>
      <c r="H20" s="28"/>
      <c r="I20" s="7"/>
    </row>
    <row r="21" spans="1:9" ht="18" customHeight="1" x14ac:dyDescent="0.25">
      <c r="A21" s="14">
        <f t="shared" si="1"/>
        <v>12</v>
      </c>
      <c r="B21" s="8"/>
      <c r="C21" s="15"/>
      <c r="D21" s="10" t="s">
        <v>12</v>
      </c>
      <c r="E21" s="16"/>
      <c r="F21" s="17"/>
      <c r="G21" s="18">
        <f t="shared" si="0"/>
        <v>853</v>
      </c>
      <c r="H21" s="28"/>
      <c r="I21" s="7"/>
    </row>
    <row r="22" spans="1:9" ht="18" customHeight="1" x14ac:dyDescent="0.25">
      <c r="A22" s="14">
        <f t="shared" si="1"/>
        <v>13</v>
      </c>
      <c r="B22" s="8"/>
      <c r="C22" s="15"/>
      <c r="D22" s="10" t="s">
        <v>12</v>
      </c>
      <c r="E22" s="16"/>
      <c r="F22" s="17"/>
      <c r="G22" s="18">
        <f t="shared" si="0"/>
        <v>853</v>
      </c>
      <c r="H22" s="28"/>
      <c r="I22" s="7"/>
    </row>
    <row r="23" spans="1:9" ht="18" customHeight="1" x14ac:dyDescent="0.25">
      <c r="A23" s="14">
        <f t="shared" si="1"/>
        <v>14</v>
      </c>
      <c r="B23" s="8"/>
      <c r="C23" s="15"/>
      <c r="D23" s="10" t="s">
        <v>12</v>
      </c>
      <c r="E23" s="16"/>
      <c r="F23" s="17"/>
      <c r="G23" s="18">
        <f t="shared" si="0"/>
        <v>853</v>
      </c>
      <c r="H23" s="28"/>
      <c r="I23" s="7"/>
    </row>
    <row r="24" spans="1:9" ht="18" customHeight="1" x14ac:dyDescent="0.25">
      <c r="A24" s="14">
        <f t="shared" si="1"/>
        <v>15</v>
      </c>
      <c r="B24" s="8"/>
      <c r="C24" s="15"/>
      <c r="D24" s="10" t="s">
        <v>12</v>
      </c>
      <c r="E24" s="32"/>
      <c r="F24" s="17"/>
      <c r="G24" s="18">
        <f t="shared" si="0"/>
        <v>853</v>
      </c>
      <c r="H24" s="28"/>
      <c r="I24" s="7"/>
    </row>
    <row r="25" spans="1:9" ht="18" customHeight="1" x14ac:dyDescent="0.25">
      <c r="A25" s="14">
        <f t="shared" si="1"/>
        <v>16</v>
      </c>
      <c r="B25" s="8"/>
      <c r="C25" s="15"/>
      <c r="D25" s="10" t="s">
        <v>12</v>
      </c>
      <c r="E25" s="32"/>
      <c r="F25" s="17"/>
      <c r="G25" s="18">
        <f t="shared" si="0"/>
        <v>853</v>
      </c>
      <c r="H25" s="28"/>
      <c r="I25" s="7"/>
    </row>
    <row r="26" spans="1:9" ht="18" customHeight="1" x14ac:dyDescent="0.25">
      <c r="A26" s="14">
        <f t="shared" si="1"/>
        <v>17</v>
      </c>
      <c r="B26" s="8"/>
      <c r="C26" s="15"/>
      <c r="D26" s="10" t="s">
        <v>12</v>
      </c>
      <c r="E26" s="32"/>
      <c r="F26" s="17"/>
      <c r="G26" s="18">
        <f t="shared" si="0"/>
        <v>853</v>
      </c>
      <c r="H26" s="28"/>
      <c r="I26" s="7"/>
    </row>
    <row r="27" spans="1:9" ht="18" customHeight="1" x14ac:dyDescent="0.25">
      <c r="A27" s="14">
        <f t="shared" si="1"/>
        <v>18</v>
      </c>
      <c r="B27" s="8"/>
      <c r="C27" s="15"/>
      <c r="D27" s="10" t="s">
        <v>12</v>
      </c>
      <c r="E27" s="32"/>
      <c r="F27" s="17"/>
      <c r="G27" s="18">
        <f t="shared" si="0"/>
        <v>853</v>
      </c>
      <c r="H27" s="28"/>
      <c r="I27" s="7"/>
    </row>
    <row r="28" spans="1:9" ht="18" customHeight="1" x14ac:dyDescent="0.25">
      <c r="A28" s="14">
        <f t="shared" si="1"/>
        <v>19</v>
      </c>
      <c r="B28" s="8"/>
      <c r="C28" s="15"/>
      <c r="D28" s="10" t="s">
        <v>12</v>
      </c>
      <c r="E28" s="32"/>
      <c r="F28" s="17"/>
      <c r="G28" s="18">
        <f t="shared" si="0"/>
        <v>853</v>
      </c>
      <c r="H28" s="28"/>
      <c r="I28" s="7"/>
    </row>
    <row r="29" spans="1:9" ht="18" customHeight="1" x14ac:dyDescent="0.25">
      <c r="A29" s="14">
        <f t="shared" si="1"/>
        <v>20</v>
      </c>
      <c r="B29" s="8"/>
      <c r="C29" s="15"/>
      <c r="D29" s="10" t="s">
        <v>12</v>
      </c>
      <c r="E29" s="32"/>
      <c r="F29" s="17"/>
      <c r="G29" s="18">
        <f t="shared" si="0"/>
        <v>853</v>
      </c>
      <c r="H29" s="28"/>
      <c r="I29" s="7"/>
    </row>
    <row r="30" spans="1:9" ht="18" customHeight="1" x14ac:dyDescent="0.25">
      <c r="A30" s="14">
        <f t="shared" si="1"/>
        <v>21</v>
      </c>
      <c r="B30" s="8"/>
      <c r="C30" s="15"/>
      <c r="D30" s="10" t="s">
        <v>12</v>
      </c>
      <c r="E30" s="32"/>
      <c r="F30" s="17"/>
      <c r="G30" s="18">
        <f>+G29+E30-F30</f>
        <v>853</v>
      </c>
      <c r="H30" s="28"/>
      <c r="I30" s="7"/>
    </row>
    <row r="31" spans="1:9" ht="18" customHeight="1" x14ac:dyDescent="0.25">
      <c r="A31" s="14">
        <f t="shared" si="1"/>
        <v>22</v>
      </c>
      <c r="B31" s="8"/>
      <c r="C31" s="15"/>
      <c r="D31" s="10" t="s">
        <v>12</v>
      </c>
      <c r="E31" s="32"/>
      <c r="F31" s="27"/>
      <c r="G31" s="18">
        <f t="shared" si="0"/>
        <v>853</v>
      </c>
      <c r="H31" s="28"/>
      <c r="I31" s="7"/>
    </row>
    <row r="32" spans="1:9" ht="18" customHeight="1" x14ac:dyDescent="0.25">
      <c r="A32" s="14">
        <f t="shared" si="1"/>
        <v>23</v>
      </c>
      <c r="B32" s="8"/>
      <c r="C32" s="15"/>
      <c r="D32" s="10" t="s">
        <v>12</v>
      </c>
      <c r="E32" s="32"/>
      <c r="F32" s="27"/>
      <c r="G32" s="18">
        <f t="shared" si="0"/>
        <v>853</v>
      </c>
      <c r="H32" s="28"/>
      <c r="I32" s="7"/>
    </row>
    <row r="33" spans="1:9" ht="18" customHeight="1" x14ac:dyDescent="0.25">
      <c r="A33" s="14">
        <f t="shared" si="1"/>
        <v>24</v>
      </c>
      <c r="B33" s="8"/>
      <c r="C33" s="15"/>
      <c r="D33" s="10" t="s">
        <v>12</v>
      </c>
      <c r="E33" s="32"/>
      <c r="F33" s="27"/>
      <c r="G33" s="18">
        <f t="shared" si="0"/>
        <v>853</v>
      </c>
      <c r="H33" s="28"/>
      <c r="I33" s="7"/>
    </row>
    <row r="34" spans="1:9" ht="18" customHeight="1" x14ac:dyDescent="0.25">
      <c r="A34" s="14">
        <f t="shared" si="1"/>
        <v>25</v>
      </c>
      <c r="B34" s="8"/>
      <c r="C34" s="15"/>
      <c r="D34" s="10" t="s">
        <v>12</v>
      </c>
      <c r="E34" s="32"/>
      <c r="F34" s="27"/>
      <c r="G34" s="18">
        <f t="shared" si="0"/>
        <v>853</v>
      </c>
      <c r="H34" s="28"/>
      <c r="I34" s="7"/>
    </row>
    <row r="35" spans="1:9" ht="18" customHeight="1" x14ac:dyDescent="0.25">
      <c r="A35" s="14">
        <f t="shared" si="1"/>
        <v>26</v>
      </c>
      <c r="B35" s="8"/>
      <c r="C35" s="15"/>
      <c r="D35" s="10" t="s">
        <v>12</v>
      </c>
      <c r="E35" s="32"/>
      <c r="F35" s="27"/>
      <c r="G35" s="18">
        <f t="shared" si="0"/>
        <v>853</v>
      </c>
      <c r="H35" s="28"/>
      <c r="I35" s="7"/>
    </row>
    <row r="36" spans="1:9" ht="18" customHeight="1" x14ac:dyDescent="0.25">
      <c r="A36" s="14">
        <f t="shared" si="1"/>
        <v>27</v>
      </c>
      <c r="B36" s="8"/>
      <c r="C36" s="15"/>
      <c r="D36" s="10" t="s">
        <v>12</v>
      </c>
      <c r="E36" s="32"/>
      <c r="F36" s="27"/>
      <c r="G36" s="18">
        <f t="shared" si="0"/>
        <v>853</v>
      </c>
      <c r="H36" s="28"/>
      <c r="I36" s="7"/>
    </row>
    <row r="37" spans="1:9" ht="18" customHeight="1" x14ac:dyDescent="0.25">
      <c r="A37" s="14">
        <f t="shared" si="1"/>
        <v>28</v>
      </c>
      <c r="B37" s="8"/>
      <c r="C37" s="15"/>
      <c r="D37" s="10" t="s">
        <v>12</v>
      </c>
      <c r="E37" s="32"/>
      <c r="F37" s="27"/>
      <c r="G37" s="18">
        <f t="shared" si="0"/>
        <v>853</v>
      </c>
      <c r="H37" s="28"/>
      <c r="I37" s="7"/>
    </row>
    <row r="38" spans="1:9" ht="18" customHeight="1" x14ac:dyDescent="0.25">
      <c r="A38" s="14">
        <f t="shared" si="1"/>
        <v>29</v>
      </c>
      <c r="B38" s="8"/>
      <c r="C38" s="15"/>
      <c r="D38" s="10" t="s">
        <v>12</v>
      </c>
      <c r="E38" s="32"/>
      <c r="F38" s="27"/>
      <c r="G38" s="18">
        <f t="shared" si="0"/>
        <v>853</v>
      </c>
      <c r="H38" s="28"/>
      <c r="I38" s="7"/>
    </row>
    <row r="39" spans="1:9" ht="18" customHeight="1" x14ac:dyDescent="0.25">
      <c r="A39" s="14">
        <f t="shared" si="1"/>
        <v>30</v>
      </c>
      <c r="B39" s="8"/>
      <c r="C39" s="15"/>
      <c r="D39" s="10" t="s">
        <v>12</v>
      </c>
      <c r="E39" s="32"/>
      <c r="F39" s="40"/>
      <c r="G39" s="18">
        <f t="shared" si="0"/>
        <v>853</v>
      </c>
      <c r="H39" s="28"/>
      <c r="I39" s="7"/>
    </row>
    <row r="40" spans="1:9" ht="18" customHeight="1" x14ac:dyDescent="0.25">
      <c r="A40" s="14">
        <f t="shared" si="1"/>
        <v>31</v>
      </c>
      <c r="B40" s="8"/>
      <c r="C40" s="15"/>
      <c r="D40" s="10" t="s">
        <v>12</v>
      </c>
      <c r="E40" s="32"/>
      <c r="F40" s="27"/>
      <c r="G40" s="18">
        <f t="shared" si="0"/>
        <v>853</v>
      </c>
      <c r="H40" s="28"/>
      <c r="I40" s="7"/>
    </row>
    <row r="41" spans="1:9" ht="18" customHeight="1" x14ac:dyDescent="0.25">
      <c r="A41" s="14">
        <f t="shared" si="1"/>
        <v>32</v>
      </c>
      <c r="B41" s="33"/>
      <c r="C41" s="15"/>
      <c r="D41" s="10" t="s">
        <v>12</v>
      </c>
      <c r="E41" s="126"/>
      <c r="F41" s="126"/>
      <c r="G41" s="18">
        <f t="shared" si="0"/>
        <v>853</v>
      </c>
      <c r="H41" s="28"/>
      <c r="I41" s="7"/>
    </row>
    <row r="42" spans="1:9" ht="18" customHeight="1" x14ac:dyDescent="0.25">
      <c r="A42" s="14">
        <f t="shared" si="1"/>
        <v>33</v>
      </c>
      <c r="B42" s="33"/>
      <c r="C42" s="15"/>
      <c r="D42" s="10" t="s">
        <v>12</v>
      </c>
      <c r="E42" s="126"/>
      <c r="F42" s="207"/>
      <c r="G42" s="18">
        <f t="shared" si="0"/>
        <v>853</v>
      </c>
      <c r="H42" s="28"/>
      <c r="I42" s="7"/>
    </row>
    <row r="43" spans="1:9" ht="18" customHeight="1" x14ac:dyDescent="0.25">
      <c r="A43" s="14">
        <f t="shared" si="1"/>
        <v>34</v>
      </c>
      <c r="B43" s="33"/>
      <c r="C43" s="15"/>
      <c r="D43" s="10" t="s">
        <v>12</v>
      </c>
      <c r="E43" s="126"/>
      <c r="F43" s="207"/>
      <c r="G43" s="18">
        <f t="shared" si="0"/>
        <v>853</v>
      </c>
      <c r="H43" s="28"/>
      <c r="I43" s="7"/>
    </row>
    <row r="44" spans="1:9" ht="18" customHeight="1" x14ac:dyDescent="0.25">
      <c r="A44" s="14">
        <f t="shared" si="1"/>
        <v>35</v>
      </c>
      <c r="B44" s="33"/>
      <c r="C44" s="15"/>
      <c r="D44" s="10" t="s">
        <v>12</v>
      </c>
      <c r="E44" s="126"/>
      <c r="F44" s="207"/>
      <c r="G44" s="18">
        <f t="shared" si="0"/>
        <v>853</v>
      </c>
      <c r="H44" s="28"/>
      <c r="I44" s="7"/>
    </row>
    <row r="45" spans="1:9" ht="18" customHeight="1" x14ac:dyDescent="0.25">
      <c r="A45" s="14">
        <f t="shared" si="1"/>
        <v>36</v>
      </c>
      <c r="B45" s="33"/>
      <c r="C45" s="15"/>
      <c r="D45" s="10" t="s">
        <v>12</v>
      </c>
      <c r="E45" s="126"/>
      <c r="F45" s="207"/>
      <c r="G45" s="18">
        <f t="shared" si="0"/>
        <v>853</v>
      </c>
      <c r="H45" s="28"/>
      <c r="I45" s="7"/>
    </row>
    <row r="46" spans="1:9" ht="18" customHeight="1" x14ac:dyDescent="0.25">
      <c r="A46" s="14">
        <f t="shared" si="1"/>
        <v>37</v>
      </c>
      <c r="B46" s="33"/>
      <c r="C46" s="15"/>
      <c r="D46" s="10" t="s">
        <v>12</v>
      </c>
      <c r="E46" s="126"/>
      <c r="F46" s="207"/>
      <c r="G46" s="18">
        <f t="shared" si="0"/>
        <v>853</v>
      </c>
      <c r="H46" s="28"/>
      <c r="I46" s="7"/>
    </row>
    <row r="47" spans="1:9" ht="18" customHeight="1" x14ac:dyDescent="0.25">
      <c r="A47" s="14">
        <f t="shared" si="1"/>
        <v>38</v>
      </c>
      <c r="B47" s="33"/>
      <c r="C47" s="15"/>
      <c r="D47" s="10" t="s">
        <v>12</v>
      </c>
      <c r="E47" s="126"/>
      <c r="F47" s="207"/>
      <c r="G47" s="18">
        <f t="shared" si="0"/>
        <v>853</v>
      </c>
      <c r="H47" s="28"/>
      <c r="I47" s="7"/>
    </row>
    <row r="48" spans="1:9" ht="18" customHeight="1" x14ac:dyDescent="0.25">
      <c r="A48" s="14">
        <f t="shared" si="1"/>
        <v>39</v>
      </c>
      <c r="B48" s="33"/>
      <c r="C48" s="15"/>
      <c r="D48" s="10" t="s">
        <v>12</v>
      </c>
      <c r="E48" s="126"/>
      <c r="F48" s="207"/>
      <c r="G48" s="18">
        <f t="shared" si="0"/>
        <v>853</v>
      </c>
      <c r="H48" s="28"/>
      <c r="I48" s="7"/>
    </row>
    <row r="49" spans="1:9" ht="18" customHeight="1" x14ac:dyDescent="0.25">
      <c r="A49" s="14">
        <f t="shared" si="1"/>
        <v>40</v>
      </c>
      <c r="B49" s="33"/>
      <c r="C49" s="15"/>
      <c r="D49" s="10" t="s">
        <v>12</v>
      </c>
      <c r="E49" s="126"/>
      <c r="F49" s="207"/>
      <c r="G49" s="18">
        <f t="shared" si="0"/>
        <v>853</v>
      </c>
      <c r="H49" s="28"/>
      <c r="I49" s="7"/>
    </row>
    <row r="50" spans="1:9" ht="18" customHeight="1" x14ac:dyDescent="0.25">
      <c r="A50" s="14">
        <f t="shared" si="1"/>
        <v>41</v>
      </c>
      <c r="B50" s="33"/>
      <c r="C50" s="15"/>
      <c r="D50" s="10" t="s">
        <v>12</v>
      </c>
      <c r="E50" s="126"/>
      <c r="F50" s="207"/>
      <c r="G50" s="18">
        <f t="shared" si="0"/>
        <v>853</v>
      </c>
      <c r="H50" s="28"/>
      <c r="I50" s="7"/>
    </row>
    <row r="51" spans="1:9" ht="18" customHeight="1" x14ac:dyDescent="0.25">
      <c r="A51" s="14">
        <f t="shared" si="1"/>
        <v>42</v>
      </c>
      <c r="B51" s="33"/>
      <c r="C51" s="15"/>
      <c r="D51" s="10" t="s">
        <v>12</v>
      </c>
      <c r="E51" s="126"/>
      <c r="F51" s="207"/>
      <c r="G51" s="18">
        <f t="shared" si="0"/>
        <v>853</v>
      </c>
      <c r="H51" s="28"/>
      <c r="I51" s="137"/>
    </row>
    <row r="52" spans="1:9" ht="18" customHeight="1" x14ac:dyDescent="0.25">
      <c r="A52" s="14">
        <f t="shared" si="1"/>
        <v>43</v>
      </c>
      <c r="B52" s="33"/>
      <c r="C52" s="15"/>
      <c r="D52" s="10" t="s">
        <v>12</v>
      </c>
      <c r="E52" s="126"/>
      <c r="F52" s="207"/>
      <c r="G52" s="18">
        <f t="shared" si="0"/>
        <v>853</v>
      </c>
      <c r="H52" s="28"/>
      <c r="I52" s="137"/>
    </row>
    <row r="53" spans="1:9" ht="18" customHeight="1" x14ac:dyDescent="0.25">
      <c r="A53" s="14">
        <f t="shared" si="1"/>
        <v>44</v>
      </c>
      <c r="B53" s="33"/>
      <c r="C53" s="15"/>
      <c r="D53" s="10" t="s">
        <v>12</v>
      </c>
      <c r="E53" s="126"/>
      <c r="F53" s="207"/>
      <c r="G53" s="18">
        <f t="shared" si="0"/>
        <v>853</v>
      </c>
      <c r="H53" s="28"/>
      <c r="I53" s="137"/>
    </row>
    <row r="54" spans="1:9" ht="18" customHeight="1" x14ac:dyDescent="0.25">
      <c r="A54" s="14">
        <f t="shared" si="1"/>
        <v>45</v>
      </c>
      <c r="B54" s="33"/>
      <c r="C54" s="15"/>
      <c r="D54" s="10" t="s">
        <v>12</v>
      </c>
      <c r="E54" s="126"/>
      <c r="F54" s="207"/>
      <c r="G54" s="18">
        <f t="shared" si="0"/>
        <v>853</v>
      </c>
      <c r="H54" s="28"/>
      <c r="I54" s="137"/>
    </row>
    <row r="55" spans="1:9" ht="18" customHeight="1" x14ac:dyDescent="0.25">
      <c r="A55" s="14">
        <f t="shared" si="1"/>
        <v>46</v>
      </c>
      <c r="B55" s="33"/>
      <c r="C55" s="15"/>
      <c r="D55" s="10" t="s">
        <v>12</v>
      </c>
      <c r="E55" s="126"/>
      <c r="F55" s="207"/>
      <c r="G55" s="18">
        <f t="shared" si="0"/>
        <v>853</v>
      </c>
      <c r="H55" s="28"/>
      <c r="I55" s="137"/>
    </row>
    <row r="56" spans="1:9" ht="18" customHeight="1" x14ac:dyDescent="0.25">
      <c r="A56" s="14">
        <f t="shared" si="1"/>
        <v>47</v>
      </c>
      <c r="B56" s="33"/>
      <c r="C56" s="15"/>
      <c r="D56" s="10" t="s">
        <v>12</v>
      </c>
      <c r="E56" s="126"/>
      <c r="F56" s="207"/>
      <c r="G56" s="18">
        <f t="shared" si="0"/>
        <v>853</v>
      </c>
      <c r="H56" s="28"/>
      <c r="I56" s="137"/>
    </row>
    <row r="57" spans="1:9" ht="18" customHeight="1" x14ac:dyDescent="0.25">
      <c r="A57" s="14">
        <f t="shared" si="1"/>
        <v>48</v>
      </c>
      <c r="B57" s="33"/>
      <c r="C57" s="15"/>
      <c r="D57" s="10" t="s">
        <v>12</v>
      </c>
      <c r="E57" s="126"/>
      <c r="F57" s="207"/>
      <c r="G57" s="18">
        <f t="shared" si="0"/>
        <v>853</v>
      </c>
      <c r="H57" s="28"/>
      <c r="I57" s="137"/>
    </row>
    <row r="58" spans="1:9" ht="18" customHeight="1" x14ac:dyDescent="0.25">
      <c r="A58" s="14">
        <f t="shared" si="1"/>
        <v>49</v>
      </c>
      <c r="B58" s="33"/>
      <c r="C58" s="15"/>
      <c r="D58" s="10" t="s">
        <v>12</v>
      </c>
      <c r="E58" s="126"/>
      <c r="F58" s="207"/>
      <c r="G58" s="18">
        <f t="shared" si="0"/>
        <v>853</v>
      </c>
      <c r="H58" s="28"/>
      <c r="I58" s="137"/>
    </row>
    <row r="59" spans="1:9" ht="18" customHeight="1" x14ac:dyDescent="0.25">
      <c r="A59" s="14">
        <f t="shared" si="1"/>
        <v>50</v>
      </c>
      <c r="B59" s="33"/>
      <c r="C59" s="15"/>
      <c r="D59" s="10" t="s">
        <v>12</v>
      </c>
      <c r="E59" s="126"/>
      <c r="F59" s="207"/>
      <c r="G59" s="18">
        <f t="shared" si="0"/>
        <v>853</v>
      </c>
      <c r="H59" s="28"/>
      <c r="I59" s="137"/>
    </row>
    <row r="60" spans="1:9" ht="18" customHeight="1" x14ac:dyDescent="0.25">
      <c r="A60" s="14">
        <f t="shared" si="1"/>
        <v>51</v>
      </c>
      <c r="B60" s="33"/>
      <c r="C60" s="15"/>
      <c r="D60" s="10" t="s">
        <v>12</v>
      </c>
      <c r="E60" s="126"/>
      <c r="F60" s="207"/>
      <c r="G60" s="18">
        <f t="shared" si="0"/>
        <v>853</v>
      </c>
      <c r="H60" s="28"/>
      <c r="I60" s="137"/>
    </row>
    <row r="61" spans="1:9" ht="18" customHeight="1" x14ac:dyDescent="0.25">
      <c r="A61" s="14">
        <f t="shared" si="1"/>
        <v>52</v>
      </c>
      <c r="B61" s="33"/>
      <c r="C61" s="15"/>
      <c r="D61" s="10" t="s">
        <v>12</v>
      </c>
      <c r="E61" s="126"/>
      <c r="F61" s="207"/>
      <c r="G61" s="18">
        <f t="shared" si="0"/>
        <v>853</v>
      </c>
      <c r="H61" s="28"/>
      <c r="I61" s="137"/>
    </row>
    <row r="62" spans="1:9" ht="18" customHeight="1" x14ac:dyDescent="0.25">
      <c r="A62" s="14">
        <f t="shared" si="1"/>
        <v>53</v>
      </c>
      <c r="B62" s="33"/>
      <c r="C62" s="15"/>
      <c r="D62" s="10" t="s">
        <v>12</v>
      </c>
      <c r="E62" s="126"/>
      <c r="F62" s="207"/>
      <c r="G62" s="18">
        <f t="shared" si="0"/>
        <v>853</v>
      </c>
      <c r="H62" s="28"/>
      <c r="I62" s="137"/>
    </row>
    <row r="63" spans="1:9" ht="18" customHeight="1" x14ac:dyDescent="0.25">
      <c r="A63" s="14">
        <f t="shared" si="1"/>
        <v>54</v>
      </c>
      <c r="B63" s="33"/>
      <c r="C63" s="15"/>
      <c r="D63" s="10" t="s">
        <v>12</v>
      </c>
      <c r="E63" s="126"/>
      <c r="F63" s="207"/>
      <c r="G63" s="18">
        <f t="shared" si="0"/>
        <v>853</v>
      </c>
      <c r="H63" s="28"/>
      <c r="I63" s="137"/>
    </row>
    <row r="64" spans="1:9" ht="18" customHeight="1" x14ac:dyDescent="0.25">
      <c r="A64" s="14">
        <f t="shared" si="1"/>
        <v>55</v>
      </c>
      <c r="B64" s="8"/>
      <c r="C64" s="15"/>
      <c r="D64" s="10" t="s">
        <v>12</v>
      </c>
      <c r="E64" s="32"/>
      <c r="F64" s="27"/>
      <c r="G64" s="18">
        <f t="shared" si="0"/>
        <v>853</v>
      </c>
      <c r="H64" s="28"/>
      <c r="I64" s="137"/>
    </row>
    <row r="65" spans="1:9" ht="18" customHeight="1" x14ac:dyDescent="0.25">
      <c r="A65" s="14">
        <f t="shared" si="1"/>
        <v>56</v>
      </c>
      <c r="B65" s="8"/>
      <c r="C65" s="15"/>
      <c r="D65" s="10" t="s">
        <v>12</v>
      </c>
      <c r="E65" s="32"/>
      <c r="F65" s="27"/>
      <c r="G65" s="18">
        <f t="shared" si="0"/>
        <v>853</v>
      </c>
      <c r="H65" s="28"/>
      <c r="I65" s="137"/>
    </row>
    <row r="66" spans="1:9" ht="18" customHeight="1" x14ac:dyDescent="0.25">
      <c r="A66" s="14">
        <f t="shared" si="1"/>
        <v>57</v>
      </c>
      <c r="B66" s="8"/>
      <c r="C66" s="15"/>
      <c r="D66" s="10" t="s">
        <v>12</v>
      </c>
      <c r="E66" s="32"/>
      <c r="F66" s="27"/>
      <c r="G66" s="18">
        <f t="shared" si="0"/>
        <v>853</v>
      </c>
      <c r="H66" s="28"/>
      <c r="I66" s="137"/>
    </row>
    <row r="67" spans="1:9" ht="18" customHeight="1" x14ac:dyDescent="0.25">
      <c r="A67" s="14">
        <f t="shared" si="1"/>
        <v>58</v>
      </c>
      <c r="B67" s="8"/>
      <c r="C67" s="15"/>
      <c r="D67" s="10" t="s">
        <v>12</v>
      </c>
      <c r="E67" s="32"/>
      <c r="F67" s="27"/>
      <c r="G67" s="18">
        <f t="shared" si="0"/>
        <v>853</v>
      </c>
      <c r="H67" s="28"/>
      <c r="I67" s="137"/>
    </row>
    <row r="68" spans="1:9" ht="18" customHeight="1" x14ac:dyDescent="0.25">
      <c r="A68" s="14">
        <f t="shared" si="1"/>
        <v>59</v>
      </c>
      <c r="B68" s="8"/>
      <c r="C68" s="15"/>
      <c r="D68" s="10" t="s">
        <v>12</v>
      </c>
      <c r="E68" s="32"/>
      <c r="F68" s="27"/>
      <c r="G68" s="18">
        <f t="shared" si="0"/>
        <v>853</v>
      </c>
      <c r="H68" s="28"/>
      <c r="I68" s="137"/>
    </row>
    <row r="69" spans="1:9" ht="18" customHeight="1" x14ac:dyDescent="0.25">
      <c r="A69" s="14">
        <f t="shared" si="1"/>
        <v>60</v>
      </c>
      <c r="B69" s="8"/>
      <c r="C69" s="15"/>
      <c r="D69" s="10" t="s">
        <v>12</v>
      </c>
      <c r="E69" s="32"/>
      <c r="F69" s="27"/>
      <c r="G69" s="18">
        <f t="shared" si="0"/>
        <v>853</v>
      </c>
      <c r="H69" s="28"/>
      <c r="I69" s="137"/>
    </row>
    <row r="70" spans="1:9" ht="18" customHeight="1" x14ac:dyDescent="0.25">
      <c r="A70" s="14">
        <f t="shared" si="1"/>
        <v>61</v>
      </c>
      <c r="B70" s="8"/>
      <c r="C70" s="15"/>
      <c r="D70" s="10" t="s">
        <v>12</v>
      </c>
      <c r="E70" s="32"/>
      <c r="F70" s="27"/>
      <c r="G70" s="18">
        <f t="shared" si="0"/>
        <v>853</v>
      </c>
      <c r="H70" s="28"/>
      <c r="I70" s="137"/>
    </row>
    <row r="71" spans="1:9" ht="18" customHeight="1" x14ac:dyDescent="0.25">
      <c r="A71" s="14">
        <f t="shared" si="1"/>
        <v>62</v>
      </c>
      <c r="B71" s="8"/>
      <c r="C71" s="15"/>
      <c r="D71" s="10" t="s">
        <v>12</v>
      </c>
      <c r="E71" s="32"/>
      <c r="F71" s="27"/>
      <c r="G71" s="18">
        <f t="shared" si="0"/>
        <v>853</v>
      </c>
      <c r="H71" s="28"/>
      <c r="I71" s="137"/>
    </row>
    <row r="72" spans="1:9" ht="18" customHeight="1" x14ac:dyDescent="0.25">
      <c r="A72" s="14">
        <f t="shared" si="1"/>
        <v>63</v>
      </c>
      <c r="B72" s="8"/>
      <c r="C72" s="15"/>
      <c r="D72" s="10" t="s">
        <v>12</v>
      </c>
      <c r="E72" s="32"/>
      <c r="F72" s="27"/>
      <c r="G72" s="18">
        <f t="shared" si="0"/>
        <v>853</v>
      </c>
      <c r="H72" s="28"/>
      <c r="I72" s="137"/>
    </row>
    <row r="73" spans="1:9" ht="18" customHeight="1" x14ac:dyDescent="0.25">
      <c r="A73" s="14">
        <f t="shared" si="1"/>
        <v>64</v>
      </c>
      <c r="B73" s="8"/>
      <c r="C73" s="15"/>
      <c r="D73" s="10" t="s">
        <v>12</v>
      </c>
      <c r="E73" s="32"/>
      <c r="F73" s="27"/>
      <c r="G73" s="18">
        <f t="shared" si="0"/>
        <v>853</v>
      </c>
      <c r="H73" s="28"/>
      <c r="I73" s="137"/>
    </row>
    <row r="74" spans="1:9" ht="18" customHeight="1" x14ac:dyDescent="0.25">
      <c r="A74" s="14">
        <f t="shared" si="1"/>
        <v>65</v>
      </c>
      <c r="B74" s="8"/>
      <c r="C74" s="15"/>
      <c r="D74" s="10" t="s">
        <v>12</v>
      </c>
      <c r="E74" s="32"/>
      <c r="F74" s="27"/>
      <c r="G74" s="18">
        <f t="shared" ref="G74:G118" si="2">+G73+E74-F74</f>
        <v>853</v>
      </c>
      <c r="H74" s="28"/>
      <c r="I74" s="137"/>
    </row>
    <row r="75" spans="1:9" ht="18" customHeight="1" x14ac:dyDescent="0.25">
      <c r="A75" s="14">
        <f t="shared" ref="A75:A118" si="3">+A74+1</f>
        <v>66</v>
      </c>
      <c r="B75" s="8"/>
      <c r="C75" s="15"/>
      <c r="D75" s="10" t="s">
        <v>12</v>
      </c>
      <c r="E75" s="32"/>
      <c r="F75" s="27"/>
      <c r="G75" s="18">
        <f t="shared" si="2"/>
        <v>853</v>
      </c>
      <c r="H75" s="28"/>
      <c r="I75" s="137"/>
    </row>
    <row r="76" spans="1:9" ht="18" customHeight="1" x14ac:dyDescent="0.25">
      <c r="A76" s="14">
        <f t="shared" si="3"/>
        <v>67</v>
      </c>
      <c r="B76" s="8"/>
      <c r="C76" s="15"/>
      <c r="D76" s="10" t="s">
        <v>12</v>
      </c>
      <c r="E76" s="32"/>
      <c r="F76" s="27"/>
      <c r="G76" s="18">
        <f t="shared" si="2"/>
        <v>853</v>
      </c>
      <c r="H76" s="28"/>
      <c r="I76" s="137"/>
    </row>
    <row r="77" spans="1:9" ht="18" customHeight="1" x14ac:dyDescent="0.25">
      <c r="A77" s="14">
        <f t="shared" si="3"/>
        <v>68</v>
      </c>
      <c r="B77" s="8"/>
      <c r="C77" s="15"/>
      <c r="D77" s="10" t="s">
        <v>12</v>
      </c>
      <c r="E77" s="32"/>
      <c r="F77" s="27"/>
      <c r="G77" s="18">
        <f t="shared" si="2"/>
        <v>853</v>
      </c>
      <c r="H77" s="28"/>
      <c r="I77" s="137"/>
    </row>
    <row r="78" spans="1:9" ht="18" customHeight="1" x14ac:dyDescent="0.25">
      <c r="A78" s="14">
        <f t="shared" si="3"/>
        <v>69</v>
      </c>
      <c r="B78" s="8"/>
      <c r="C78" s="15"/>
      <c r="D78" s="10" t="s">
        <v>12</v>
      </c>
      <c r="E78" s="32"/>
      <c r="F78" s="27"/>
      <c r="G78" s="18">
        <f t="shared" si="2"/>
        <v>853</v>
      </c>
      <c r="H78" s="28"/>
      <c r="I78" s="137"/>
    </row>
    <row r="79" spans="1:9" ht="18" customHeight="1" x14ac:dyDescent="0.25">
      <c r="A79" s="14">
        <f t="shared" si="3"/>
        <v>70</v>
      </c>
      <c r="B79" s="8"/>
      <c r="C79" s="15"/>
      <c r="D79" s="10" t="s">
        <v>12</v>
      </c>
      <c r="E79" s="32"/>
      <c r="F79" s="27"/>
      <c r="G79" s="18">
        <f t="shared" si="2"/>
        <v>853</v>
      </c>
      <c r="H79" s="28"/>
      <c r="I79" s="137"/>
    </row>
    <row r="80" spans="1:9" ht="18" customHeight="1" x14ac:dyDescent="0.25">
      <c r="A80" s="14">
        <f t="shared" si="3"/>
        <v>71</v>
      </c>
      <c r="B80" s="8"/>
      <c r="C80" s="15"/>
      <c r="D80" s="10" t="s">
        <v>12</v>
      </c>
      <c r="E80" s="32"/>
      <c r="F80" s="27"/>
      <c r="G80" s="18">
        <f t="shared" si="2"/>
        <v>853</v>
      </c>
      <c r="H80" s="28"/>
      <c r="I80" s="137"/>
    </row>
    <row r="81" spans="1:9" ht="18" customHeight="1" x14ac:dyDescent="0.25">
      <c r="A81" s="14">
        <f t="shared" si="3"/>
        <v>72</v>
      </c>
      <c r="B81" s="8"/>
      <c r="C81" s="15"/>
      <c r="D81" s="10" t="s">
        <v>12</v>
      </c>
      <c r="E81" s="32"/>
      <c r="F81" s="27"/>
      <c r="G81" s="18">
        <f t="shared" si="2"/>
        <v>853</v>
      </c>
      <c r="H81" s="28"/>
      <c r="I81" s="137"/>
    </row>
    <row r="82" spans="1:9" ht="18" customHeight="1" x14ac:dyDescent="0.25">
      <c r="A82" s="14">
        <f t="shared" si="3"/>
        <v>73</v>
      </c>
      <c r="B82" s="8"/>
      <c r="C82" s="15"/>
      <c r="D82" s="10" t="s">
        <v>12</v>
      </c>
      <c r="E82" s="32"/>
      <c r="F82" s="27"/>
      <c r="G82" s="18">
        <f t="shared" si="2"/>
        <v>853</v>
      </c>
      <c r="H82" s="28"/>
      <c r="I82" s="137"/>
    </row>
    <row r="83" spans="1:9" ht="18" customHeight="1" x14ac:dyDescent="0.25">
      <c r="A83" s="14">
        <f t="shared" si="3"/>
        <v>74</v>
      </c>
      <c r="B83" s="8"/>
      <c r="C83" s="15"/>
      <c r="D83" s="10" t="s">
        <v>12</v>
      </c>
      <c r="E83" s="32"/>
      <c r="F83" s="27"/>
      <c r="G83" s="18">
        <f t="shared" si="2"/>
        <v>853</v>
      </c>
      <c r="H83" s="28"/>
      <c r="I83" s="137"/>
    </row>
    <row r="84" spans="1:9" ht="18" customHeight="1" x14ac:dyDescent="0.25">
      <c r="A84" s="14">
        <f t="shared" si="3"/>
        <v>75</v>
      </c>
      <c r="B84" s="8"/>
      <c r="C84" s="15"/>
      <c r="D84" s="10" t="s">
        <v>12</v>
      </c>
      <c r="E84" s="32"/>
      <c r="F84" s="27"/>
      <c r="G84" s="18">
        <f t="shared" si="2"/>
        <v>853</v>
      </c>
      <c r="H84" s="28"/>
      <c r="I84" s="137"/>
    </row>
    <row r="85" spans="1:9" ht="18" customHeight="1" x14ac:dyDescent="0.25">
      <c r="A85" s="14">
        <f t="shared" si="3"/>
        <v>76</v>
      </c>
      <c r="B85" s="8"/>
      <c r="C85" s="15"/>
      <c r="D85" s="10" t="s">
        <v>12</v>
      </c>
      <c r="E85" s="32"/>
      <c r="F85" s="27"/>
      <c r="G85" s="18">
        <f t="shared" si="2"/>
        <v>853</v>
      </c>
      <c r="H85" s="28"/>
      <c r="I85" s="137"/>
    </row>
    <row r="86" spans="1:9" ht="18" customHeight="1" x14ac:dyDescent="0.25">
      <c r="A86" s="14">
        <f t="shared" si="3"/>
        <v>77</v>
      </c>
      <c r="B86" s="8"/>
      <c r="C86" s="15"/>
      <c r="D86" s="10" t="s">
        <v>12</v>
      </c>
      <c r="E86" s="32"/>
      <c r="F86" s="27"/>
      <c r="G86" s="18">
        <f t="shared" si="2"/>
        <v>853</v>
      </c>
      <c r="H86" s="28"/>
      <c r="I86" s="137"/>
    </row>
    <row r="87" spans="1:9" ht="18" customHeight="1" x14ac:dyDescent="0.25">
      <c r="A87" s="14">
        <f t="shared" si="3"/>
        <v>78</v>
      </c>
      <c r="B87" s="8"/>
      <c r="C87" s="15"/>
      <c r="D87" s="10" t="s">
        <v>12</v>
      </c>
      <c r="E87" s="32"/>
      <c r="F87" s="27"/>
      <c r="G87" s="18">
        <f t="shared" si="2"/>
        <v>853</v>
      </c>
      <c r="H87" s="28"/>
      <c r="I87" s="137"/>
    </row>
    <row r="88" spans="1:9" ht="18" customHeight="1" x14ac:dyDescent="0.25">
      <c r="A88" s="14">
        <f t="shared" si="3"/>
        <v>79</v>
      </c>
      <c r="B88" s="8"/>
      <c r="C88" s="15"/>
      <c r="D88" s="10" t="s">
        <v>12</v>
      </c>
      <c r="E88" s="32"/>
      <c r="F88" s="27"/>
      <c r="G88" s="18">
        <f t="shared" si="2"/>
        <v>853</v>
      </c>
      <c r="H88" s="28"/>
      <c r="I88" s="137"/>
    </row>
    <row r="89" spans="1:9" ht="18" customHeight="1" x14ac:dyDescent="0.25">
      <c r="A89" s="14">
        <f t="shared" si="3"/>
        <v>80</v>
      </c>
      <c r="B89" s="8"/>
      <c r="C89" s="15"/>
      <c r="D89" s="10" t="s">
        <v>12</v>
      </c>
      <c r="E89" s="32"/>
      <c r="F89" s="27"/>
      <c r="G89" s="18">
        <f t="shared" si="2"/>
        <v>853</v>
      </c>
      <c r="H89" s="28"/>
      <c r="I89" s="137"/>
    </row>
    <row r="90" spans="1:9" ht="18" customHeight="1" x14ac:dyDescent="0.25">
      <c r="A90" s="14">
        <f t="shared" si="3"/>
        <v>81</v>
      </c>
      <c r="B90" s="8"/>
      <c r="C90" s="15"/>
      <c r="D90" s="10" t="s">
        <v>12</v>
      </c>
      <c r="E90" s="32"/>
      <c r="F90" s="27"/>
      <c r="G90" s="18">
        <f t="shared" si="2"/>
        <v>853</v>
      </c>
      <c r="H90" s="28"/>
      <c r="I90" s="137"/>
    </row>
    <row r="91" spans="1:9" ht="18" customHeight="1" x14ac:dyDescent="0.25">
      <c r="A91" s="14">
        <f t="shared" si="3"/>
        <v>82</v>
      </c>
      <c r="B91" s="8"/>
      <c r="C91" s="15"/>
      <c r="D91" s="10" t="s">
        <v>12</v>
      </c>
      <c r="E91" s="32"/>
      <c r="F91" s="27"/>
      <c r="G91" s="18">
        <f t="shared" si="2"/>
        <v>853</v>
      </c>
      <c r="H91" s="28"/>
      <c r="I91" s="137"/>
    </row>
    <row r="92" spans="1:9" ht="18" customHeight="1" x14ac:dyDescent="0.25">
      <c r="A92" s="14">
        <f t="shared" si="3"/>
        <v>83</v>
      </c>
      <c r="B92" s="8"/>
      <c r="C92" s="15"/>
      <c r="D92" s="10" t="s">
        <v>12</v>
      </c>
      <c r="E92" s="32"/>
      <c r="F92" s="27"/>
      <c r="G92" s="18">
        <f t="shared" si="2"/>
        <v>853</v>
      </c>
      <c r="H92" s="28"/>
      <c r="I92" s="137"/>
    </row>
    <row r="93" spans="1:9" ht="18" customHeight="1" x14ac:dyDescent="0.25">
      <c r="A93" s="14">
        <f t="shared" si="3"/>
        <v>84</v>
      </c>
      <c r="B93" s="8"/>
      <c r="C93" s="15"/>
      <c r="D93" s="10" t="s">
        <v>12</v>
      </c>
      <c r="E93" s="32"/>
      <c r="F93" s="27"/>
      <c r="G93" s="18">
        <f t="shared" si="2"/>
        <v>853</v>
      </c>
      <c r="H93" s="28"/>
      <c r="I93" s="137"/>
    </row>
    <row r="94" spans="1:9" ht="18" customHeight="1" x14ac:dyDescent="0.25">
      <c r="A94" s="14">
        <f t="shared" si="3"/>
        <v>85</v>
      </c>
      <c r="B94" s="8"/>
      <c r="C94" s="15"/>
      <c r="D94" s="10" t="s">
        <v>12</v>
      </c>
      <c r="E94" s="32"/>
      <c r="F94" s="27"/>
      <c r="G94" s="18">
        <f t="shared" si="2"/>
        <v>853</v>
      </c>
      <c r="H94" s="28"/>
      <c r="I94" s="137"/>
    </row>
    <row r="95" spans="1:9" ht="18" customHeight="1" x14ac:dyDescent="0.25">
      <c r="A95" s="14">
        <f t="shared" si="3"/>
        <v>86</v>
      </c>
      <c r="B95" s="8"/>
      <c r="C95" s="15"/>
      <c r="D95" s="10" t="s">
        <v>12</v>
      </c>
      <c r="E95" s="32"/>
      <c r="F95" s="27"/>
      <c r="G95" s="18">
        <f t="shared" si="2"/>
        <v>853</v>
      </c>
      <c r="H95" s="28"/>
      <c r="I95" s="137"/>
    </row>
    <row r="96" spans="1:9" ht="18" customHeight="1" x14ac:dyDescent="0.25">
      <c r="A96" s="14">
        <f t="shared" si="3"/>
        <v>87</v>
      </c>
      <c r="B96" s="8"/>
      <c r="C96" s="15"/>
      <c r="D96" s="10" t="s">
        <v>12</v>
      </c>
      <c r="E96" s="32"/>
      <c r="F96" s="27"/>
      <c r="G96" s="18">
        <f t="shared" si="2"/>
        <v>853</v>
      </c>
      <c r="H96" s="28"/>
      <c r="I96" s="137"/>
    </row>
    <row r="97" spans="1:9" ht="18" customHeight="1" x14ac:dyDescent="0.25">
      <c r="A97" s="14">
        <f t="shared" si="3"/>
        <v>88</v>
      </c>
      <c r="B97" s="8"/>
      <c r="C97" s="15"/>
      <c r="D97" s="10" t="s">
        <v>12</v>
      </c>
      <c r="E97" s="32"/>
      <c r="F97" s="27"/>
      <c r="G97" s="18">
        <f t="shared" si="2"/>
        <v>853</v>
      </c>
      <c r="H97" s="28"/>
      <c r="I97" s="137"/>
    </row>
    <row r="98" spans="1:9" ht="18" customHeight="1" x14ac:dyDescent="0.25">
      <c r="A98" s="14">
        <f t="shared" si="3"/>
        <v>89</v>
      </c>
      <c r="B98" s="8"/>
      <c r="C98" s="15"/>
      <c r="D98" s="10" t="s">
        <v>12</v>
      </c>
      <c r="E98" s="32"/>
      <c r="F98" s="27"/>
      <c r="G98" s="18">
        <f t="shared" si="2"/>
        <v>853</v>
      </c>
      <c r="H98" s="28"/>
      <c r="I98" s="137"/>
    </row>
    <row r="99" spans="1:9" ht="18" customHeight="1" x14ac:dyDescent="0.25">
      <c r="A99" s="14">
        <f t="shared" si="3"/>
        <v>90</v>
      </c>
      <c r="B99" s="8"/>
      <c r="C99" s="15"/>
      <c r="D99" s="10" t="s">
        <v>12</v>
      </c>
      <c r="E99" s="32"/>
      <c r="F99" s="27"/>
      <c r="G99" s="18">
        <f t="shared" si="2"/>
        <v>853</v>
      </c>
      <c r="H99" s="28"/>
      <c r="I99" s="137"/>
    </row>
    <row r="100" spans="1:9" ht="18" customHeight="1" x14ac:dyDescent="0.25">
      <c r="A100" s="14">
        <f t="shared" si="3"/>
        <v>91</v>
      </c>
      <c r="B100" s="8"/>
      <c r="C100" s="15"/>
      <c r="D100" s="10" t="s">
        <v>12</v>
      </c>
      <c r="E100" s="32"/>
      <c r="F100" s="27"/>
      <c r="G100" s="18">
        <f t="shared" si="2"/>
        <v>853</v>
      </c>
      <c r="H100" s="28"/>
      <c r="I100" s="137"/>
    </row>
    <row r="101" spans="1:9" ht="18" customHeight="1" x14ac:dyDescent="0.25">
      <c r="A101" s="14">
        <f t="shared" si="3"/>
        <v>92</v>
      </c>
      <c r="B101" s="8"/>
      <c r="C101" s="15"/>
      <c r="D101" s="10" t="s">
        <v>12</v>
      </c>
      <c r="E101" s="32"/>
      <c r="F101" s="27"/>
      <c r="G101" s="18">
        <f t="shared" si="2"/>
        <v>853</v>
      </c>
      <c r="H101" s="28"/>
      <c r="I101" s="137"/>
    </row>
    <row r="102" spans="1:9" ht="18" customHeight="1" x14ac:dyDescent="0.25">
      <c r="A102" s="14">
        <f t="shared" si="3"/>
        <v>93</v>
      </c>
      <c r="B102" s="8"/>
      <c r="C102" s="15"/>
      <c r="D102" s="10"/>
      <c r="E102" s="32"/>
      <c r="F102" s="27"/>
      <c r="G102" s="18">
        <f t="shared" si="2"/>
        <v>853</v>
      </c>
      <c r="H102" s="28"/>
      <c r="I102" s="137"/>
    </row>
    <row r="103" spans="1:9" ht="18" customHeight="1" x14ac:dyDescent="0.25">
      <c r="A103" s="14">
        <f t="shared" si="3"/>
        <v>94</v>
      </c>
      <c r="B103" s="8"/>
      <c r="C103" s="15"/>
      <c r="D103" s="10"/>
      <c r="E103" s="32"/>
      <c r="F103" s="27"/>
      <c r="G103" s="18">
        <f t="shared" si="2"/>
        <v>853</v>
      </c>
      <c r="H103" s="28"/>
      <c r="I103" s="137"/>
    </row>
    <row r="104" spans="1:9" ht="18" customHeight="1" x14ac:dyDescent="0.25">
      <c r="A104" s="14">
        <f t="shared" si="3"/>
        <v>95</v>
      </c>
      <c r="B104" s="8"/>
      <c r="C104" s="15"/>
      <c r="D104" s="10"/>
      <c r="E104" s="32"/>
      <c r="F104" s="27"/>
      <c r="G104" s="18">
        <f t="shared" si="2"/>
        <v>853</v>
      </c>
      <c r="H104" s="28"/>
      <c r="I104" s="137"/>
    </row>
    <row r="105" spans="1:9" ht="18" customHeight="1" x14ac:dyDescent="0.25">
      <c r="A105" s="14">
        <f t="shared" si="3"/>
        <v>96</v>
      </c>
      <c r="B105" s="8"/>
      <c r="C105" s="15"/>
      <c r="D105" s="10"/>
      <c r="E105" s="32"/>
      <c r="F105" s="27"/>
      <c r="G105" s="18">
        <f t="shared" si="2"/>
        <v>853</v>
      </c>
      <c r="H105" s="28"/>
      <c r="I105" s="137"/>
    </row>
    <row r="106" spans="1:9" ht="18" customHeight="1" x14ac:dyDescent="0.25">
      <c r="A106" s="14">
        <f t="shared" si="3"/>
        <v>97</v>
      </c>
      <c r="B106" s="8"/>
      <c r="C106" s="15"/>
      <c r="D106" s="10"/>
      <c r="E106" s="32"/>
      <c r="F106" s="27"/>
      <c r="G106" s="18">
        <f t="shared" si="2"/>
        <v>853</v>
      </c>
      <c r="H106" s="28"/>
      <c r="I106" s="137"/>
    </row>
    <row r="107" spans="1:9" ht="18" customHeight="1" x14ac:dyDescent="0.25">
      <c r="A107" s="14">
        <f t="shared" si="3"/>
        <v>98</v>
      </c>
      <c r="B107" s="8"/>
      <c r="C107" s="15"/>
      <c r="D107" s="10"/>
      <c r="E107" s="32"/>
      <c r="F107" s="27"/>
      <c r="G107" s="18">
        <f t="shared" si="2"/>
        <v>853</v>
      </c>
      <c r="H107" s="28"/>
      <c r="I107" s="137"/>
    </row>
    <row r="108" spans="1:9" ht="18" customHeight="1" x14ac:dyDescent="0.25">
      <c r="A108" s="14">
        <f t="shared" si="3"/>
        <v>99</v>
      </c>
      <c r="B108" s="8"/>
      <c r="C108" s="15"/>
      <c r="D108" s="10"/>
      <c r="E108" s="32"/>
      <c r="F108" s="27"/>
      <c r="G108" s="18">
        <f t="shared" si="2"/>
        <v>853</v>
      </c>
      <c r="H108" s="28"/>
      <c r="I108" s="137"/>
    </row>
    <row r="109" spans="1:9" ht="18" customHeight="1" x14ac:dyDescent="0.25">
      <c r="A109" s="14">
        <f t="shared" si="3"/>
        <v>100</v>
      </c>
      <c r="B109" s="8"/>
      <c r="C109" s="15"/>
      <c r="D109" s="10"/>
      <c r="E109" s="32"/>
      <c r="F109" s="27"/>
      <c r="G109" s="18">
        <f t="shared" si="2"/>
        <v>853</v>
      </c>
      <c r="H109" s="28"/>
      <c r="I109" s="137"/>
    </row>
    <row r="110" spans="1:9" ht="18" customHeight="1" x14ac:dyDescent="0.25">
      <c r="A110" s="14">
        <f t="shared" si="3"/>
        <v>101</v>
      </c>
      <c r="B110" s="8"/>
      <c r="C110" s="15"/>
      <c r="D110" s="10"/>
      <c r="E110" s="32"/>
      <c r="F110" s="27"/>
      <c r="G110" s="18">
        <f t="shared" si="2"/>
        <v>853</v>
      </c>
      <c r="H110" s="28"/>
      <c r="I110" s="137"/>
    </row>
    <row r="111" spans="1:9" ht="18" customHeight="1" x14ac:dyDescent="0.25">
      <c r="A111" s="14">
        <f t="shared" si="3"/>
        <v>102</v>
      </c>
      <c r="B111" s="8"/>
      <c r="C111" s="15"/>
      <c r="D111" s="10"/>
      <c r="E111" s="32"/>
      <c r="F111" s="27"/>
      <c r="G111" s="18">
        <f t="shared" si="2"/>
        <v>853</v>
      </c>
      <c r="H111" s="28"/>
      <c r="I111" s="137"/>
    </row>
    <row r="112" spans="1:9" ht="18" customHeight="1" x14ac:dyDescent="0.25">
      <c r="A112" s="14">
        <f t="shared" si="3"/>
        <v>103</v>
      </c>
      <c r="B112" s="8"/>
      <c r="C112" s="15"/>
      <c r="D112" s="10"/>
      <c r="E112" s="32"/>
      <c r="F112" s="27"/>
      <c r="G112" s="18">
        <f t="shared" si="2"/>
        <v>853</v>
      </c>
      <c r="H112" s="28"/>
      <c r="I112" s="137"/>
    </row>
    <row r="113" spans="1:9" ht="18" customHeight="1" x14ac:dyDescent="0.25">
      <c r="A113" s="14">
        <f t="shared" si="3"/>
        <v>104</v>
      </c>
      <c r="B113" s="8"/>
      <c r="C113" s="15"/>
      <c r="D113" s="10"/>
      <c r="E113" s="32"/>
      <c r="F113" s="27"/>
      <c r="G113" s="18">
        <f t="shared" si="2"/>
        <v>853</v>
      </c>
      <c r="H113" s="28"/>
      <c r="I113" s="137"/>
    </row>
    <row r="114" spans="1:9" ht="18" customHeight="1" x14ac:dyDescent="0.25">
      <c r="A114" s="14">
        <f t="shared" si="3"/>
        <v>105</v>
      </c>
      <c r="B114" s="8"/>
      <c r="C114" s="15"/>
      <c r="D114" s="10"/>
      <c r="E114" s="32"/>
      <c r="F114" s="27"/>
      <c r="G114" s="18">
        <f t="shared" si="2"/>
        <v>853</v>
      </c>
      <c r="H114" s="28"/>
      <c r="I114" s="137"/>
    </row>
    <row r="115" spans="1:9" ht="18" customHeight="1" x14ac:dyDescent="0.25">
      <c r="A115" s="14">
        <f t="shared" si="3"/>
        <v>106</v>
      </c>
      <c r="B115" s="8"/>
      <c r="C115" s="15"/>
      <c r="D115" s="10"/>
      <c r="E115" s="32"/>
      <c r="F115" s="27"/>
      <c r="G115" s="18">
        <f t="shared" si="2"/>
        <v>853</v>
      </c>
      <c r="H115" s="28"/>
      <c r="I115" s="137"/>
    </row>
    <row r="116" spans="1:9" ht="18" customHeight="1" x14ac:dyDescent="0.25">
      <c r="A116" s="14">
        <f t="shared" si="3"/>
        <v>107</v>
      </c>
      <c r="B116" s="8"/>
      <c r="C116" s="15"/>
      <c r="D116" s="10"/>
      <c r="E116" s="32"/>
      <c r="F116" s="27"/>
      <c r="G116" s="18">
        <f t="shared" si="2"/>
        <v>853</v>
      </c>
      <c r="H116" s="28"/>
      <c r="I116" s="137"/>
    </row>
    <row r="117" spans="1:9" x14ac:dyDescent="0.25">
      <c r="A117" s="14">
        <f t="shared" si="3"/>
        <v>108</v>
      </c>
      <c r="B117" s="8"/>
      <c r="C117" s="7"/>
      <c r="D117" s="14"/>
      <c r="E117" s="140"/>
      <c r="F117" s="141"/>
      <c r="G117" s="18">
        <f t="shared" si="2"/>
        <v>853</v>
      </c>
      <c r="H117" s="18"/>
      <c r="I117" s="7"/>
    </row>
    <row r="118" spans="1:9" x14ac:dyDescent="0.25">
      <c r="A118" s="14">
        <f t="shared" si="3"/>
        <v>109</v>
      </c>
      <c r="B118" s="33"/>
      <c r="C118" s="7"/>
      <c r="D118" s="14"/>
      <c r="E118" s="140"/>
      <c r="F118" s="141"/>
      <c r="G118" s="18">
        <f t="shared" si="2"/>
        <v>853</v>
      </c>
      <c r="H118" s="18"/>
      <c r="I118" s="7"/>
    </row>
    <row r="119" spans="1:9" x14ac:dyDescent="0.25">
      <c r="A119" s="7"/>
      <c r="B119" s="7"/>
      <c r="C119" s="34" t="s">
        <v>13</v>
      </c>
      <c r="D119" s="7"/>
      <c r="E119" s="35">
        <f>SUM(E9:E118)</f>
        <v>0</v>
      </c>
      <c r="F119" s="35">
        <f>SUM(F9:F118)</f>
        <v>0</v>
      </c>
      <c r="G119" s="35">
        <f>+E119-F119+G8</f>
        <v>853</v>
      </c>
      <c r="H119" s="35"/>
      <c r="I119" s="36"/>
    </row>
    <row r="151" spans="6:6" x14ac:dyDescent="0.25">
      <c r="F151">
        <f>3507+360</f>
        <v>3867</v>
      </c>
    </row>
    <row r="152" spans="6:6" x14ac:dyDescent="0.25">
      <c r="F152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8A40-5B3B-4AF0-9D10-8CA9E87CBCA8}">
  <sheetPr codeName="Sheet54"/>
  <dimension ref="A1:J151"/>
  <sheetViews>
    <sheetView workbookViewId="0">
      <selection activeCell="J11" sqref="J1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583</v>
      </c>
      <c r="H8" s="7"/>
      <c r="I8" s="7"/>
    </row>
    <row r="9" spans="1:10" ht="18" customHeight="1" x14ac:dyDescent="0.25">
      <c r="A9" s="14">
        <v>1</v>
      </c>
      <c r="B9" s="39" t="s">
        <v>385</v>
      </c>
      <c r="C9" s="15" t="s">
        <v>235</v>
      </c>
      <c r="D9" s="10" t="s">
        <v>12</v>
      </c>
      <c r="E9" s="51"/>
      <c r="F9" s="27">
        <v>37</v>
      </c>
      <c r="G9" s="18">
        <f t="shared" ref="G9:G72" si="0">+G8+E9-F9</f>
        <v>546</v>
      </c>
      <c r="H9" s="28" t="s">
        <v>129</v>
      </c>
      <c r="I9" s="7" t="s">
        <v>90</v>
      </c>
    </row>
    <row r="10" spans="1:10" ht="18" customHeight="1" x14ac:dyDescent="0.25">
      <c r="A10" s="14">
        <f t="shared" ref="A10:A73" si="1">+A9+1</f>
        <v>2</v>
      </c>
      <c r="B10" s="39">
        <v>45934</v>
      </c>
      <c r="C10" s="15" t="s">
        <v>235</v>
      </c>
      <c r="D10" s="10" t="s">
        <v>12</v>
      </c>
      <c r="E10" s="16"/>
      <c r="F10" s="27">
        <v>56</v>
      </c>
      <c r="G10" s="18">
        <f t="shared" si="0"/>
        <v>490</v>
      </c>
      <c r="H10" s="28" t="s">
        <v>129</v>
      </c>
      <c r="I10" s="7" t="s">
        <v>90</v>
      </c>
      <c r="J10" t="s">
        <v>453</v>
      </c>
    </row>
    <row r="11" spans="1:10" ht="18" customHeight="1" x14ac:dyDescent="0.25">
      <c r="A11" s="14">
        <f t="shared" si="1"/>
        <v>3</v>
      </c>
      <c r="B11" s="8"/>
      <c r="C11" s="15" t="s">
        <v>235</v>
      </c>
      <c r="D11" s="10" t="s">
        <v>12</v>
      </c>
      <c r="E11" s="16"/>
      <c r="F11" s="27"/>
      <c r="G11" s="18">
        <f t="shared" si="0"/>
        <v>490</v>
      </c>
      <c r="H11" s="28" t="s">
        <v>129</v>
      </c>
      <c r="I11" s="7" t="s">
        <v>90</v>
      </c>
    </row>
    <row r="12" spans="1:10" ht="18" customHeight="1" x14ac:dyDescent="0.25">
      <c r="A12" s="14">
        <f t="shared" si="1"/>
        <v>4</v>
      </c>
      <c r="B12" s="8"/>
      <c r="C12" s="15" t="s">
        <v>235</v>
      </c>
      <c r="D12" s="10" t="s">
        <v>12</v>
      </c>
      <c r="E12" s="16"/>
      <c r="F12" s="27"/>
      <c r="G12" s="18">
        <f t="shared" si="0"/>
        <v>490</v>
      </c>
      <c r="H12" s="28" t="s">
        <v>129</v>
      </c>
      <c r="I12" s="7" t="s">
        <v>90</v>
      </c>
    </row>
    <row r="13" spans="1:10" ht="18" customHeight="1" x14ac:dyDescent="0.25">
      <c r="A13" s="14">
        <f t="shared" si="1"/>
        <v>5</v>
      </c>
      <c r="B13" s="205"/>
      <c r="C13" s="15" t="s">
        <v>235</v>
      </c>
      <c r="D13" s="10" t="s">
        <v>12</v>
      </c>
      <c r="E13" s="16"/>
      <c r="F13" s="17"/>
      <c r="G13" s="18">
        <f t="shared" si="0"/>
        <v>490</v>
      </c>
      <c r="H13" s="28" t="s">
        <v>129</v>
      </c>
      <c r="I13" s="7" t="s">
        <v>90</v>
      </c>
    </row>
    <row r="14" spans="1:10" ht="18" customHeight="1" x14ac:dyDescent="0.25">
      <c r="A14" s="14">
        <f t="shared" si="1"/>
        <v>6</v>
      </c>
      <c r="B14" s="205"/>
      <c r="C14" s="15" t="s">
        <v>235</v>
      </c>
      <c r="D14" s="10" t="s">
        <v>12</v>
      </c>
      <c r="E14" s="16"/>
      <c r="F14" s="27"/>
      <c r="G14" s="18">
        <f t="shared" si="0"/>
        <v>490</v>
      </c>
      <c r="H14" s="28" t="s">
        <v>129</v>
      </c>
      <c r="I14" s="7" t="s">
        <v>90</v>
      </c>
      <c r="J14" s="26"/>
    </row>
    <row r="15" spans="1:10" ht="18" customHeight="1" x14ac:dyDescent="0.25">
      <c r="A15" s="14">
        <f t="shared" si="1"/>
        <v>7</v>
      </c>
      <c r="B15" s="205"/>
      <c r="C15" s="15" t="s">
        <v>235</v>
      </c>
      <c r="D15" s="10" t="s">
        <v>12</v>
      </c>
      <c r="E15" s="16"/>
      <c r="F15" s="17"/>
      <c r="G15" s="18">
        <f t="shared" si="0"/>
        <v>490</v>
      </c>
      <c r="H15" s="28"/>
      <c r="I15" s="7"/>
    </row>
    <row r="16" spans="1:10" ht="18" customHeight="1" x14ac:dyDescent="0.25">
      <c r="A16" s="14">
        <f t="shared" si="1"/>
        <v>8</v>
      </c>
      <c r="B16" s="206"/>
      <c r="C16" s="15"/>
      <c r="D16" s="10" t="s">
        <v>12</v>
      </c>
      <c r="E16" s="16"/>
      <c r="F16" s="27"/>
      <c r="G16" s="18">
        <f t="shared" si="0"/>
        <v>490</v>
      </c>
      <c r="H16" s="28"/>
      <c r="I16" s="7" t="s">
        <v>300</v>
      </c>
    </row>
    <row r="17" spans="1:9" ht="18" customHeight="1" x14ac:dyDescent="0.25">
      <c r="A17" s="14">
        <f t="shared" si="1"/>
        <v>9</v>
      </c>
      <c r="B17" s="205"/>
      <c r="C17" s="15"/>
      <c r="D17" s="10" t="s">
        <v>12</v>
      </c>
      <c r="E17" s="16"/>
      <c r="F17" s="27"/>
      <c r="G17" s="18">
        <f t="shared" si="0"/>
        <v>490</v>
      </c>
      <c r="H17" s="28"/>
      <c r="I17" s="7"/>
    </row>
    <row r="18" spans="1:9" ht="18" customHeight="1" x14ac:dyDescent="0.25">
      <c r="A18" s="14">
        <f t="shared" si="1"/>
        <v>10</v>
      </c>
      <c r="B18" s="8"/>
      <c r="C18" s="15"/>
      <c r="D18" s="10" t="s">
        <v>12</v>
      </c>
      <c r="E18" s="16"/>
      <c r="F18" s="27"/>
      <c r="G18" s="18">
        <f t="shared" si="0"/>
        <v>490</v>
      </c>
      <c r="H18" s="28"/>
      <c r="I18" s="7"/>
    </row>
    <row r="19" spans="1:9" ht="18" customHeight="1" x14ac:dyDescent="0.25">
      <c r="A19" s="14">
        <f t="shared" si="1"/>
        <v>11</v>
      </c>
      <c r="B19" s="8"/>
      <c r="C19" s="15"/>
      <c r="D19" s="10" t="s">
        <v>12</v>
      </c>
      <c r="E19" s="16"/>
      <c r="F19" s="27"/>
      <c r="G19" s="18">
        <f t="shared" si="0"/>
        <v>490</v>
      </c>
      <c r="H19" s="28"/>
      <c r="I19" s="7"/>
    </row>
    <row r="20" spans="1:9" ht="18" customHeight="1" x14ac:dyDescent="0.25">
      <c r="A20" s="14">
        <f t="shared" si="1"/>
        <v>12</v>
      </c>
      <c r="B20" s="8"/>
      <c r="C20" s="15"/>
      <c r="D20" s="10" t="s">
        <v>12</v>
      </c>
      <c r="E20" s="16"/>
      <c r="F20" s="17"/>
      <c r="G20" s="18">
        <f t="shared" si="0"/>
        <v>490</v>
      </c>
      <c r="H20" s="28"/>
      <c r="I20" s="7"/>
    </row>
    <row r="21" spans="1:9" ht="18" customHeight="1" x14ac:dyDescent="0.25">
      <c r="A21" s="14">
        <f t="shared" si="1"/>
        <v>13</v>
      </c>
      <c r="B21" s="8"/>
      <c r="C21" s="15"/>
      <c r="D21" s="10" t="s">
        <v>12</v>
      </c>
      <c r="E21" s="16"/>
      <c r="F21" s="17"/>
      <c r="G21" s="18">
        <f t="shared" si="0"/>
        <v>490</v>
      </c>
      <c r="H21" s="28"/>
      <c r="I21" s="7"/>
    </row>
    <row r="22" spans="1:9" ht="18" customHeight="1" x14ac:dyDescent="0.25">
      <c r="A22" s="14">
        <f t="shared" si="1"/>
        <v>14</v>
      </c>
      <c r="B22" s="8"/>
      <c r="C22" s="15"/>
      <c r="D22" s="10" t="s">
        <v>12</v>
      </c>
      <c r="E22" s="16"/>
      <c r="F22" s="17"/>
      <c r="G22" s="18">
        <f t="shared" si="0"/>
        <v>490</v>
      </c>
      <c r="H22" s="28"/>
      <c r="I22" s="7"/>
    </row>
    <row r="23" spans="1:9" ht="18" customHeight="1" x14ac:dyDescent="0.25">
      <c r="A23" s="14">
        <f t="shared" si="1"/>
        <v>15</v>
      </c>
      <c r="B23" s="8"/>
      <c r="C23" s="15"/>
      <c r="D23" s="10" t="s">
        <v>12</v>
      </c>
      <c r="E23" s="32"/>
      <c r="F23" s="17"/>
      <c r="G23" s="18">
        <f t="shared" si="0"/>
        <v>490</v>
      </c>
      <c r="H23" s="28"/>
      <c r="I23" s="7"/>
    </row>
    <row r="24" spans="1:9" ht="18" customHeight="1" x14ac:dyDescent="0.25">
      <c r="A24" s="14">
        <f t="shared" si="1"/>
        <v>16</v>
      </c>
      <c r="B24" s="8"/>
      <c r="C24" s="15"/>
      <c r="D24" s="10" t="s">
        <v>12</v>
      </c>
      <c r="E24" s="32"/>
      <c r="F24" s="17"/>
      <c r="G24" s="18">
        <f t="shared" si="0"/>
        <v>490</v>
      </c>
      <c r="H24" s="28"/>
      <c r="I24" s="7"/>
    </row>
    <row r="25" spans="1:9" ht="18" customHeight="1" x14ac:dyDescent="0.25">
      <c r="A25" s="14">
        <f t="shared" si="1"/>
        <v>17</v>
      </c>
      <c r="B25" s="8"/>
      <c r="C25" s="15"/>
      <c r="D25" s="10" t="s">
        <v>12</v>
      </c>
      <c r="E25" s="32"/>
      <c r="F25" s="17"/>
      <c r="G25" s="18">
        <f t="shared" si="0"/>
        <v>490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490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490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490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>+G28+E29-F29</f>
        <v>490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27"/>
      <c r="G30" s="18">
        <f t="shared" si="0"/>
        <v>490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490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490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490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490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490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490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490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40"/>
      <c r="G38" s="18">
        <f t="shared" si="0"/>
        <v>490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490</v>
      </c>
      <c r="H39" s="28"/>
      <c r="I39" s="7"/>
    </row>
    <row r="40" spans="1:9" ht="18" customHeight="1" x14ac:dyDescent="0.25">
      <c r="A40" s="14">
        <f t="shared" si="1"/>
        <v>32</v>
      </c>
      <c r="B40" s="33"/>
      <c r="C40" s="15"/>
      <c r="D40" s="10" t="s">
        <v>12</v>
      </c>
      <c r="E40" s="126"/>
      <c r="F40" s="126"/>
      <c r="G40" s="18">
        <f t="shared" si="0"/>
        <v>490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207"/>
      <c r="G41" s="18">
        <f t="shared" si="0"/>
        <v>490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490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490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490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490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490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490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490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490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490</v>
      </c>
      <c r="H50" s="28"/>
      <c r="I50" s="13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490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490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490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490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490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490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490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490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490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490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490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490</v>
      </c>
      <c r="H62" s="28"/>
      <c r="I62" s="137"/>
    </row>
    <row r="63" spans="1:9" ht="18" customHeight="1" x14ac:dyDescent="0.25">
      <c r="A63" s="14">
        <f t="shared" si="1"/>
        <v>55</v>
      </c>
      <c r="B63" s="8"/>
      <c r="C63" s="15"/>
      <c r="D63" s="10" t="s">
        <v>12</v>
      </c>
      <c r="E63" s="32"/>
      <c r="F63" s="27"/>
      <c r="G63" s="18">
        <f t="shared" si="0"/>
        <v>490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490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490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490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490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490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490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490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490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490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ref="G73:G117" si="2">+G72+E73-F73</f>
        <v>490</v>
      </c>
      <c r="H73" s="28"/>
      <c r="I73" s="137"/>
    </row>
    <row r="74" spans="1:9" ht="18" customHeight="1" x14ac:dyDescent="0.25">
      <c r="A74" s="14">
        <f t="shared" ref="A74:A117" si="3">+A73+1</f>
        <v>66</v>
      </c>
      <c r="B74" s="8"/>
      <c r="C74" s="15"/>
      <c r="D74" s="10" t="s">
        <v>12</v>
      </c>
      <c r="E74" s="32"/>
      <c r="F74" s="27"/>
      <c r="G74" s="18">
        <f t="shared" si="2"/>
        <v>490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/>
      <c r="D75" s="10" t="s">
        <v>12</v>
      </c>
      <c r="E75" s="32"/>
      <c r="F75" s="27"/>
      <c r="G75" s="18">
        <f t="shared" si="2"/>
        <v>490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490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490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490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490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490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490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490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490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490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490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490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490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490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490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490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490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490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490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490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490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490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490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490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490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490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490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490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490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490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490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490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490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490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490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490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490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490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490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490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490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490</v>
      </c>
      <c r="H116" s="18"/>
      <c r="I116" s="7"/>
    </row>
    <row r="117" spans="1:9" x14ac:dyDescent="0.25">
      <c r="A117" s="14">
        <f t="shared" si="3"/>
        <v>109</v>
      </c>
      <c r="B117" s="33"/>
      <c r="C117" s="7"/>
      <c r="D117" s="14"/>
      <c r="E117" s="140"/>
      <c r="F117" s="141"/>
      <c r="G117" s="18">
        <f t="shared" si="2"/>
        <v>490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93</v>
      </c>
      <c r="G118" s="35">
        <f>+E118-F118+G8</f>
        <v>490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158F-E4E9-4574-8577-97272B45345A}">
  <sheetPr codeName="Sheet55"/>
  <dimension ref="A1:J152"/>
  <sheetViews>
    <sheetView workbookViewId="0">
      <selection activeCell="G22" sqref="G22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831</v>
      </c>
      <c r="H8" s="7"/>
      <c r="I8" s="7"/>
    </row>
    <row r="9" spans="1:10" ht="18" customHeight="1" x14ac:dyDescent="0.25">
      <c r="A9" s="14">
        <v>1</v>
      </c>
      <c r="B9" s="39"/>
      <c r="C9" s="15" t="s">
        <v>206</v>
      </c>
      <c r="D9" s="10" t="s">
        <v>12</v>
      </c>
      <c r="E9" s="51"/>
      <c r="F9" s="27"/>
      <c r="G9" s="18">
        <f t="shared" ref="G9:G73" si="0">+G8+E9-F9</f>
        <v>831</v>
      </c>
      <c r="H9" s="28" t="s">
        <v>129</v>
      </c>
      <c r="I9" s="7" t="s">
        <v>14</v>
      </c>
    </row>
    <row r="10" spans="1:10" ht="18" customHeight="1" x14ac:dyDescent="0.25">
      <c r="A10" s="14">
        <v>2</v>
      </c>
      <c r="B10" s="39"/>
      <c r="C10" s="15" t="s">
        <v>206</v>
      </c>
      <c r="D10" s="10"/>
      <c r="E10" s="51"/>
      <c r="F10" s="27"/>
      <c r="G10" s="18">
        <f t="shared" si="0"/>
        <v>831</v>
      </c>
      <c r="H10" s="28"/>
      <c r="I10" s="7"/>
    </row>
    <row r="11" spans="1:10" ht="18" customHeight="1" x14ac:dyDescent="0.25">
      <c r="A11" s="14">
        <v>3</v>
      </c>
      <c r="B11" s="39"/>
      <c r="C11" s="15" t="s">
        <v>206</v>
      </c>
      <c r="D11" s="10" t="s">
        <v>12</v>
      </c>
      <c r="E11" s="16"/>
      <c r="F11" s="27"/>
      <c r="G11" s="18">
        <f t="shared" si="0"/>
        <v>831</v>
      </c>
      <c r="H11" s="28" t="s">
        <v>129</v>
      </c>
      <c r="I11" s="7" t="s">
        <v>14</v>
      </c>
    </row>
    <row r="12" spans="1:10" ht="18" customHeight="1" x14ac:dyDescent="0.25">
      <c r="A12" s="14">
        <v>4</v>
      </c>
      <c r="B12" s="8"/>
      <c r="C12" s="15" t="s">
        <v>206</v>
      </c>
      <c r="D12" s="10" t="s">
        <v>12</v>
      </c>
      <c r="E12" s="16"/>
      <c r="F12" s="27"/>
      <c r="G12" s="18">
        <f t="shared" si="0"/>
        <v>831</v>
      </c>
      <c r="H12" s="28" t="s">
        <v>129</v>
      </c>
      <c r="I12" s="7" t="s">
        <v>14</v>
      </c>
    </row>
    <row r="13" spans="1:10" ht="18" customHeight="1" x14ac:dyDescent="0.25">
      <c r="A13" s="14">
        <v>5</v>
      </c>
      <c r="B13" s="8"/>
      <c r="C13" s="15" t="s">
        <v>206</v>
      </c>
      <c r="D13" s="10" t="s">
        <v>12</v>
      </c>
      <c r="E13" s="16"/>
      <c r="F13" s="27"/>
      <c r="G13" s="18">
        <f t="shared" si="0"/>
        <v>831</v>
      </c>
      <c r="H13" s="28" t="s">
        <v>129</v>
      </c>
      <c r="I13" s="7" t="s">
        <v>14</v>
      </c>
    </row>
    <row r="14" spans="1:10" ht="18" customHeight="1" x14ac:dyDescent="0.25">
      <c r="A14" s="14">
        <v>6</v>
      </c>
      <c r="B14" s="205"/>
      <c r="C14" s="15" t="s">
        <v>206</v>
      </c>
      <c r="D14" s="10" t="s">
        <v>12</v>
      </c>
      <c r="E14" s="16"/>
      <c r="F14" s="17"/>
      <c r="G14" s="18">
        <f t="shared" si="0"/>
        <v>831</v>
      </c>
      <c r="H14" s="28" t="s">
        <v>129</v>
      </c>
      <c r="I14" s="7" t="s">
        <v>14</v>
      </c>
    </row>
    <row r="15" spans="1:10" ht="18" customHeight="1" x14ac:dyDescent="0.25">
      <c r="A15" s="14">
        <v>7</v>
      </c>
      <c r="B15" s="205"/>
      <c r="C15" s="15" t="s">
        <v>206</v>
      </c>
      <c r="D15" s="10" t="s">
        <v>12</v>
      </c>
      <c r="E15" s="16"/>
      <c r="F15" s="27"/>
      <c r="G15" s="18">
        <f t="shared" si="0"/>
        <v>831</v>
      </c>
      <c r="H15" s="28" t="s">
        <v>129</v>
      </c>
      <c r="I15" s="7" t="s">
        <v>14</v>
      </c>
      <c r="J15" s="26"/>
    </row>
    <row r="16" spans="1:10" ht="18" customHeight="1" x14ac:dyDescent="0.25">
      <c r="A16" s="14">
        <v>8</v>
      </c>
      <c r="B16" s="205"/>
      <c r="C16" s="15" t="s">
        <v>206</v>
      </c>
      <c r="D16" s="10" t="s">
        <v>12</v>
      </c>
      <c r="E16" s="16"/>
      <c r="F16" s="17"/>
      <c r="G16" s="18">
        <f t="shared" si="0"/>
        <v>831</v>
      </c>
      <c r="H16" s="28"/>
      <c r="I16" s="7" t="s">
        <v>14</v>
      </c>
    </row>
    <row r="17" spans="1:9" ht="18" customHeight="1" x14ac:dyDescent="0.25">
      <c r="A17" s="14">
        <v>9</v>
      </c>
      <c r="B17" s="206"/>
      <c r="C17" s="15"/>
      <c r="D17" s="10" t="s">
        <v>12</v>
      </c>
      <c r="E17" s="16"/>
      <c r="F17" s="27"/>
      <c r="G17" s="18">
        <f t="shared" si="0"/>
        <v>831</v>
      </c>
      <c r="H17" s="28"/>
      <c r="I17" s="7" t="s">
        <v>14</v>
      </c>
    </row>
    <row r="18" spans="1:9" ht="18" customHeight="1" x14ac:dyDescent="0.25">
      <c r="A18" s="14">
        <v>10</v>
      </c>
      <c r="B18" s="205"/>
      <c r="C18" s="15"/>
      <c r="D18" s="10" t="s">
        <v>12</v>
      </c>
      <c r="E18" s="16"/>
      <c r="F18" s="27"/>
      <c r="G18" s="18">
        <f t="shared" si="0"/>
        <v>831</v>
      </c>
      <c r="H18" s="28"/>
      <c r="I18" s="7" t="s">
        <v>14</v>
      </c>
    </row>
    <row r="19" spans="1:9" ht="18" customHeight="1" x14ac:dyDescent="0.25">
      <c r="A19" s="14">
        <v>11</v>
      </c>
      <c r="B19" s="8"/>
      <c r="C19" s="15"/>
      <c r="D19" s="10" t="s">
        <v>12</v>
      </c>
      <c r="E19" s="16"/>
      <c r="F19" s="27"/>
      <c r="G19" s="18">
        <f t="shared" si="0"/>
        <v>831</v>
      </c>
      <c r="H19" s="28"/>
      <c r="I19" s="7" t="s">
        <v>14</v>
      </c>
    </row>
    <row r="20" spans="1:9" ht="18" customHeight="1" x14ac:dyDescent="0.25">
      <c r="A20" s="14">
        <v>12</v>
      </c>
      <c r="B20" s="8"/>
      <c r="C20" s="15"/>
      <c r="D20" s="10" t="s">
        <v>12</v>
      </c>
      <c r="E20" s="16"/>
      <c r="F20" s="27"/>
      <c r="G20" s="18">
        <f t="shared" si="0"/>
        <v>831</v>
      </c>
      <c r="H20" s="28"/>
      <c r="I20" s="7" t="s">
        <v>14</v>
      </c>
    </row>
    <row r="21" spans="1:9" ht="18" customHeight="1" x14ac:dyDescent="0.25">
      <c r="A21" s="14">
        <v>13</v>
      </c>
      <c r="B21" s="8"/>
      <c r="C21" s="15"/>
      <c r="D21" s="10" t="s">
        <v>12</v>
      </c>
      <c r="E21" s="16"/>
      <c r="F21" s="17"/>
      <c r="G21" s="18">
        <f t="shared" si="0"/>
        <v>831</v>
      </c>
      <c r="H21" s="28"/>
      <c r="I21" s="7" t="s">
        <v>14</v>
      </c>
    </row>
    <row r="22" spans="1:9" ht="18" customHeight="1" x14ac:dyDescent="0.25">
      <c r="A22" s="14">
        <v>14</v>
      </c>
      <c r="B22" s="8"/>
      <c r="C22" s="15"/>
      <c r="D22" s="10" t="s">
        <v>12</v>
      </c>
      <c r="E22" s="16"/>
      <c r="F22" s="17"/>
      <c r="G22" s="18">
        <f t="shared" si="0"/>
        <v>831</v>
      </c>
      <c r="H22" s="28"/>
      <c r="I22" s="7"/>
    </row>
    <row r="23" spans="1:9" ht="18" customHeight="1" x14ac:dyDescent="0.25">
      <c r="A23" s="14">
        <v>15</v>
      </c>
      <c r="B23" s="8"/>
      <c r="C23" s="15"/>
      <c r="D23" s="10" t="s">
        <v>12</v>
      </c>
      <c r="E23" s="16"/>
      <c r="F23" s="17"/>
      <c r="G23" s="18">
        <f t="shared" si="0"/>
        <v>831</v>
      </c>
      <c r="H23" s="28"/>
      <c r="I23" s="7"/>
    </row>
    <row r="24" spans="1:9" ht="18" customHeight="1" x14ac:dyDescent="0.25">
      <c r="A24" s="14">
        <v>16</v>
      </c>
      <c r="B24" s="8"/>
      <c r="C24" s="15"/>
      <c r="D24" s="10" t="s">
        <v>12</v>
      </c>
      <c r="E24" s="32"/>
      <c r="F24" s="17"/>
      <c r="G24" s="18">
        <f t="shared" si="0"/>
        <v>831</v>
      </c>
      <c r="H24" s="28"/>
      <c r="I24" s="7"/>
    </row>
    <row r="25" spans="1:9" ht="18" customHeight="1" x14ac:dyDescent="0.25">
      <c r="A25" s="14">
        <v>17</v>
      </c>
      <c r="B25" s="8"/>
      <c r="C25" s="15"/>
      <c r="D25" s="10" t="s">
        <v>12</v>
      </c>
      <c r="E25" s="32"/>
      <c r="F25" s="17"/>
      <c r="G25" s="18">
        <f t="shared" si="0"/>
        <v>831</v>
      </c>
      <c r="H25" s="28"/>
      <c r="I25" s="7"/>
    </row>
    <row r="26" spans="1:9" ht="18" customHeight="1" x14ac:dyDescent="0.25">
      <c r="A26" s="14">
        <v>18</v>
      </c>
      <c r="B26" s="8"/>
      <c r="C26" s="15"/>
      <c r="D26" s="10" t="s">
        <v>12</v>
      </c>
      <c r="E26" s="32"/>
      <c r="F26" s="17"/>
      <c r="G26" s="18">
        <f t="shared" si="0"/>
        <v>831</v>
      </c>
      <c r="H26" s="28"/>
      <c r="I26" s="7"/>
    </row>
    <row r="27" spans="1:9" ht="18" customHeight="1" x14ac:dyDescent="0.25">
      <c r="A27" s="14">
        <v>19</v>
      </c>
      <c r="B27" s="8"/>
      <c r="C27" s="15"/>
      <c r="D27" s="10" t="s">
        <v>12</v>
      </c>
      <c r="E27" s="32"/>
      <c r="F27" s="17"/>
      <c r="G27" s="18">
        <f t="shared" si="0"/>
        <v>831</v>
      </c>
      <c r="H27" s="28"/>
      <c r="I27" s="7"/>
    </row>
    <row r="28" spans="1:9" ht="18" customHeight="1" x14ac:dyDescent="0.25">
      <c r="A28" s="14">
        <v>20</v>
      </c>
      <c r="B28" s="8"/>
      <c r="C28" s="15"/>
      <c r="D28" s="10" t="s">
        <v>12</v>
      </c>
      <c r="E28" s="32"/>
      <c r="F28" s="17"/>
      <c r="G28" s="18">
        <f t="shared" si="0"/>
        <v>831</v>
      </c>
      <c r="H28" s="28"/>
      <c r="I28" s="7"/>
    </row>
    <row r="29" spans="1:9" ht="18" customHeight="1" x14ac:dyDescent="0.25">
      <c r="A29" s="14">
        <v>21</v>
      </c>
      <c r="B29" s="8"/>
      <c r="C29" s="15"/>
      <c r="D29" s="10" t="s">
        <v>12</v>
      </c>
      <c r="E29" s="32"/>
      <c r="F29" s="17"/>
      <c r="G29" s="18">
        <f t="shared" si="0"/>
        <v>831</v>
      </c>
      <c r="H29" s="28"/>
      <c r="I29" s="7"/>
    </row>
    <row r="30" spans="1:9" ht="18" customHeight="1" x14ac:dyDescent="0.25">
      <c r="A30" s="14">
        <v>22</v>
      </c>
      <c r="B30" s="8"/>
      <c r="C30" s="15"/>
      <c r="D30" s="10" t="s">
        <v>12</v>
      </c>
      <c r="E30" s="32"/>
      <c r="F30" s="17"/>
      <c r="G30" s="18">
        <f>+G29+E30-F30</f>
        <v>831</v>
      </c>
      <c r="H30" s="28"/>
      <c r="I30" s="7"/>
    </row>
    <row r="31" spans="1:9" ht="18" customHeight="1" x14ac:dyDescent="0.25">
      <c r="A31" s="14">
        <v>23</v>
      </c>
      <c r="B31" s="8"/>
      <c r="C31" s="15"/>
      <c r="D31" s="10" t="s">
        <v>12</v>
      </c>
      <c r="E31" s="32"/>
      <c r="F31" s="27"/>
      <c r="G31" s="18">
        <f t="shared" si="0"/>
        <v>831</v>
      </c>
      <c r="H31" s="28"/>
      <c r="I31" s="7"/>
    </row>
    <row r="32" spans="1:9" ht="18" customHeight="1" x14ac:dyDescent="0.25">
      <c r="A32" s="14">
        <v>24</v>
      </c>
      <c r="B32" s="8"/>
      <c r="C32" s="15"/>
      <c r="D32" s="10" t="s">
        <v>12</v>
      </c>
      <c r="E32" s="32"/>
      <c r="F32" s="27"/>
      <c r="G32" s="18">
        <f t="shared" si="0"/>
        <v>831</v>
      </c>
      <c r="H32" s="28"/>
      <c r="I32" s="7"/>
    </row>
    <row r="33" spans="1:9" ht="18" customHeight="1" x14ac:dyDescent="0.25">
      <c r="A33" s="14">
        <v>25</v>
      </c>
      <c r="B33" s="8"/>
      <c r="C33" s="15"/>
      <c r="D33" s="10" t="s">
        <v>12</v>
      </c>
      <c r="E33" s="32"/>
      <c r="F33" s="27"/>
      <c r="G33" s="18">
        <f t="shared" si="0"/>
        <v>831</v>
      </c>
      <c r="H33" s="28"/>
      <c r="I33" s="7"/>
    </row>
    <row r="34" spans="1:9" ht="18" customHeight="1" x14ac:dyDescent="0.25">
      <c r="A34" s="14">
        <v>26</v>
      </c>
      <c r="B34" s="8"/>
      <c r="C34" s="15"/>
      <c r="D34" s="10" t="s">
        <v>12</v>
      </c>
      <c r="E34" s="32"/>
      <c r="F34" s="27"/>
      <c r="G34" s="18">
        <f t="shared" si="0"/>
        <v>831</v>
      </c>
      <c r="H34" s="28"/>
      <c r="I34" s="7"/>
    </row>
    <row r="35" spans="1:9" ht="18" customHeight="1" x14ac:dyDescent="0.25">
      <c r="A35" s="14">
        <v>27</v>
      </c>
      <c r="B35" s="8"/>
      <c r="C35" s="15"/>
      <c r="D35" s="10" t="s">
        <v>12</v>
      </c>
      <c r="E35" s="32"/>
      <c r="F35" s="27"/>
      <c r="G35" s="18">
        <f t="shared" si="0"/>
        <v>831</v>
      </c>
      <c r="H35" s="28"/>
      <c r="I35" s="7"/>
    </row>
    <row r="36" spans="1:9" ht="18" customHeight="1" x14ac:dyDescent="0.25">
      <c r="A36" s="14">
        <v>28</v>
      </c>
      <c r="B36" s="8"/>
      <c r="C36" s="15"/>
      <c r="D36" s="10" t="s">
        <v>12</v>
      </c>
      <c r="E36" s="32"/>
      <c r="F36" s="27"/>
      <c r="G36" s="18">
        <f t="shared" si="0"/>
        <v>831</v>
      </c>
      <c r="H36" s="28"/>
      <c r="I36" s="7"/>
    </row>
    <row r="37" spans="1:9" ht="18" customHeight="1" x14ac:dyDescent="0.25">
      <c r="A37" s="14">
        <v>29</v>
      </c>
      <c r="B37" s="8"/>
      <c r="C37" s="15"/>
      <c r="D37" s="10" t="s">
        <v>12</v>
      </c>
      <c r="E37" s="32"/>
      <c r="F37" s="27"/>
      <c r="G37" s="18">
        <f t="shared" si="0"/>
        <v>831</v>
      </c>
      <c r="H37" s="28"/>
      <c r="I37" s="7"/>
    </row>
    <row r="38" spans="1:9" ht="18" customHeight="1" x14ac:dyDescent="0.25">
      <c r="A38" s="14">
        <v>30</v>
      </c>
      <c r="B38" s="8"/>
      <c r="C38" s="15"/>
      <c r="D38" s="10" t="s">
        <v>12</v>
      </c>
      <c r="E38" s="32"/>
      <c r="F38" s="27"/>
      <c r="G38" s="18">
        <f t="shared" si="0"/>
        <v>831</v>
      </c>
      <c r="H38" s="28"/>
      <c r="I38" s="7"/>
    </row>
    <row r="39" spans="1:9" ht="18" customHeight="1" x14ac:dyDescent="0.25">
      <c r="A39" s="14">
        <v>31</v>
      </c>
      <c r="B39" s="8"/>
      <c r="C39" s="15"/>
      <c r="D39" s="10" t="s">
        <v>12</v>
      </c>
      <c r="E39" s="32"/>
      <c r="F39" s="40"/>
      <c r="G39" s="18">
        <f t="shared" si="0"/>
        <v>831</v>
      </c>
      <c r="H39" s="28"/>
      <c r="I39" s="7"/>
    </row>
    <row r="40" spans="1:9" ht="18" customHeight="1" x14ac:dyDescent="0.25">
      <c r="A40" s="14">
        <v>32</v>
      </c>
      <c r="B40" s="8"/>
      <c r="C40" s="15"/>
      <c r="D40" s="10" t="s">
        <v>12</v>
      </c>
      <c r="E40" s="32"/>
      <c r="F40" s="27"/>
      <c r="G40" s="18">
        <f t="shared" si="0"/>
        <v>831</v>
      </c>
      <c r="H40" s="28"/>
      <c r="I40" s="7"/>
    </row>
    <row r="41" spans="1:9" ht="18" customHeight="1" x14ac:dyDescent="0.25">
      <c r="A41" s="14">
        <v>33</v>
      </c>
      <c r="B41" s="33"/>
      <c r="C41" s="15"/>
      <c r="D41" s="10" t="s">
        <v>12</v>
      </c>
      <c r="E41" s="126"/>
      <c r="F41" s="126"/>
      <c r="G41" s="18">
        <f t="shared" si="0"/>
        <v>831</v>
      </c>
      <c r="H41" s="28"/>
      <c r="I41" s="7"/>
    </row>
    <row r="42" spans="1:9" ht="18" customHeight="1" x14ac:dyDescent="0.25">
      <c r="A42" s="14">
        <v>34</v>
      </c>
      <c r="B42" s="33"/>
      <c r="C42" s="15"/>
      <c r="D42" s="10" t="s">
        <v>12</v>
      </c>
      <c r="E42" s="126"/>
      <c r="F42" s="207"/>
      <c r="G42" s="18">
        <f t="shared" si="0"/>
        <v>831</v>
      </c>
      <c r="H42" s="28"/>
      <c r="I42" s="7"/>
    </row>
    <row r="43" spans="1:9" ht="18" customHeight="1" x14ac:dyDescent="0.25">
      <c r="A43" s="14">
        <v>35</v>
      </c>
      <c r="B43" s="33"/>
      <c r="C43" s="15"/>
      <c r="D43" s="10" t="s">
        <v>12</v>
      </c>
      <c r="E43" s="126"/>
      <c r="F43" s="207"/>
      <c r="G43" s="18">
        <f t="shared" si="0"/>
        <v>831</v>
      </c>
      <c r="H43" s="28"/>
      <c r="I43" s="7"/>
    </row>
    <row r="44" spans="1:9" ht="18" customHeight="1" x14ac:dyDescent="0.25">
      <c r="A44" s="14">
        <v>36</v>
      </c>
      <c r="B44" s="33"/>
      <c r="C44" s="15"/>
      <c r="D44" s="10" t="s">
        <v>12</v>
      </c>
      <c r="E44" s="126"/>
      <c r="F44" s="207"/>
      <c r="G44" s="18">
        <f t="shared" si="0"/>
        <v>831</v>
      </c>
      <c r="H44" s="28"/>
      <c r="I44" s="7"/>
    </row>
    <row r="45" spans="1:9" ht="18" customHeight="1" x14ac:dyDescent="0.25">
      <c r="A45" s="14">
        <v>37</v>
      </c>
      <c r="B45" s="33"/>
      <c r="C45" s="15"/>
      <c r="D45" s="10" t="s">
        <v>12</v>
      </c>
      <c r="E45" s="126"/>
      <c r="F45" s="207"/>
      <c r="G45" s="18">
        <f t="shared" si="0"/>
        <v>831</v>
      </c>
      <c r="H45" s="28"/>
      <c r="I45" s="7"/>
    </row>
    <row r="46" spans="1:9" ht="18" customHeight="1" x14ac:dyDescent="0.25">
      <c r="A46" s="14">
        <v>38</v>
      </c>
      <c r="B46" s="33"/>
      <c r="C46" s="15"/>
      <c r="D46" s="10" t="s">
        <v>12</v>
      </c>
      <c r="E46" s="126"/>
      <c r="F46" s="207"/>
      <c r="G46" s="18">
        <f t="shared" si="0"/>
        <v>831</v>
      </c>
      <c r="H46" s="28"/>
      <c r="I46" s="7"/>
    </row>
    <row r="47" spans="1:9" ht="18" customHeight="1" x14ac:dyDescent="0.25">
      <c r="A47" s="14">
        <v>39</v>
      </c>
      <c r="B47" s="33"/>
      <c r="C47" s="15"/>
      <c r="D47" s="10" t="s">
        <v>12</v>
      </c>
      <c r="E47" s="126"/>
      <c r="F47" s="207"/>
      <c r="G47" s="18">
        <f t="shared" si="0"/>
        <v>831</v>
      </c>
      <c r="H47" s="28"/>
      <c r="I47" s="7"/>
    </row>
    <row r="48" spans="1:9" ht="18" customHeight="1" x14ac:dyDescent="0.25">
      <c r="A48" s="14">
        <v>40</v>
      </c>
      <c r="B48" s="33"/>
      <c r="C48" s="15"/>
      <c r="D48" s="10" t="s">
        <v>12</v>
      </c>
      <c r="E48" s="126"/>
      <c r="F48" s="207"/>
      <c r="G48" s="18">
        <f t="shared" si="0"/>
        <v>831</v>
      </c>
      <c r="H48" s="28"/>
      <c r="I48" s="7"/>
    </row>
    <row r="49" spans="1:9" ht="18" customHeight="1" x14ac:dyDescent="0.25">
      <c r="A49" s="14">
        <v>41</v>
      </c>
      <c r="B49" s="33"/>
      <c r="C49" s="15"/>
      <c r="D49" s="10" t="s">
        <v>12</v>
      </c>
      <c r="E49" s="126"/>
      <c r="F49" s="207"/>
      <c r="G49" s="18">
        <f t="shared" si="0"/>
        <v>831</v>
      </c>
      <c r="H49" s="28"/>
      <c r="I49" s="7"/>
    </row>
    <row r="50" spans="1:9" ht="18" customHeight="1" x14ac:dyDescent="0.25">
      <c r="A50" s="14">
        <v>42</v>
      </c>
      <c r="B50" s="33"/>
      <c r="C50" s="15"/>
      <c r="D50" s="10" t="s">
        <v>12</v>
      </c>
      <c r="E50" s="126"/>
      <c r="F50" s="207"/>
      <c r="G50" s="18">
        <f t="shared" si="0"/>
        <v>831</v>
      </c>
      <c r="H50" s="28"/>
      <c r="I50" s="7"/>
    </row>
    <row r="51" spans="1:9" ht="18" customHeight="1" x14ac:dyDescent="0.25">
      <c r="A51" s="14">
        <v>43</v>
      </c>
      <c r="B51" s="33"/>
      <c r="C51" s="15"/>
      <c r="D51" s="10" t="s">
        <v>12</v>
      </c>
      <c r="E51" s="126"/>
      <c r="F51" s="207"/>
      <c r="G51" s="18">
        <f t="shared" si="0"/>
        <v>831</v>
      </c>
      <c r="H51" s="28"/>
      <c r="I51" s="137"/>
    </row>
    <row r="52" spans="1:9" ht="18" customHeight="1" x14ac:dyDescent="0.25">
      <c r="A52" s="14">
        <v>44</v>
      </c>
      <c r="B52" s="33"/>
      <c r="C52" s="15"/>
      <c r="D52" s="10" t="s">
        <v>12</v>
      </c>
      <c r="E52" s="126"/>
      <c r="F52" s="207"/>
      <c r="G52" s="18">
        <f t="shared" si="0"/>
        <v>831</v>
      </c>
      <c r="H52" s="28"/>
      <c r="I52" s="137"/>
    </row>
    <row r="53" spans="1:9" ht="18" customHeight="1" x14ac:dyDescent="0.25">
      <c r="A53" s="14">
        <v>45</v>
      </c>
      <c r="B53" s="33"/>
      <c r="C53" s="15"/>
      <c r="D53" s="10" t="s">
        <v>12</v>
      </c>
      <c r="E53" s="126"/>
      <c r="F53" s="207"/>
      <c r="G53" s="18">
        <f t="shared" si="0"/>
        <v>831</v>
      </c>
      <c r="H53" s="28"/>
      <c r="I53" s="137"/>
    </row>
    <row r="54" spans="1:9" ht="18" customHeight="1" x14ac:dyDescent="0.25">
      <c r="A54" s="14">
        <v>46</v>
      </c>
      <c r="B54" s="33"/>
      <c r="C54" s="15"/>
      <c r="D54" s="10" t="s">
        <v>12</v>
      </c>
      <c r="E54" s="126"/>
      <c r="F54" s="207"/>
      <c r="G54" s="18">
        <f t="shared" si="0"/>
        <v>831</v>
      </c>
      <c r="H54" s="28"/>
      <c r="I54" s="137"/>
    </row>
    <row r="55" spans="1:9" ht="18" customHeight="1" x14ac:dyDescent="0.25">
      <c r="A55" s="14">
        <v>47</v>
      </c>
      <c r="B55" s="33"/>
      <c r="C55" s="15"/>
      <c r="D55" s="10" t="s">
        <v>12</v>
      </c>
      <c r="E55" s="126"/>
      <c r="F55" s="207"/>
      <c r="G55" s="18">
        <f t="shared" si="0"/>
        <v>831</v>
      </c>
      <c r="H55" s="28"/>
      <c r="I55" s="137"/>
    </row>
    <row r="56" spans="1:9" ht="18" customHeight="1" x14ac:dyDescent="0.25">
      <c r="A56" s="14">
        <v>48</v>
      </c>
      <c r="B56" s="33"/>
      <c r="C56" s="15"/>
      <c r="D56" s="10" t="s">
        <v>12</v>
      </c>
      <c r="E56" s="126"/>
      <c r="F56" s="207"/>
      <c r="G56" s="18">
        <f t="shared" si="0"/>
        <v>831</v>
      </c>
      <c r="H56" s="28"/>
      <c r="I56" s="137"/>
    </row>
    <row r="57" spans="1:9" ht="18" customHeight="1" x14ac:dyDescent="0.25">
      <c r="A57" s="14">
        <v>49</v>
      </c>
      <c r="B57" s="33"/>
      <c r="C57" s="15"/>
      <c r="D57" s="10" t="s">
        <v>12</v>
      </c>
      <c r="E57" s="126"/>
      <c r="F57" s="207"/>
      <c r="G57" s="18">
        <f t="shared" si="0"/>
        <v>831</v>
      </c>
      <c r="H57" s="28"/>
      <c r="I57" s="137"/>
    </row>
    <row r="58" spans="1:9" ht="18" customHeight="1" x14ac:dyDescent="0.25">
      <c r="A58" s="14">
        <v>50</v>
      </c>
      <c r="B58" s="33"/>
      <c r="C58" s="15"/>
      <c r="D58" s="10" t="s">
        <v>12</v>
      </c>
      <c r="E58" s="126"/>
      <c r="F58" s="207"/>
      <c r="G58" s="18">
        <f t="shared" si="0"/>
        <v>831</v>
      </c>
      <c r="H58" s="28"/>
      <c r="I58" s="137"/>
    </row>
    <row r="59" spans="1:9" ht="18" customHeight="1" x14ac:dyDescent="0.25">
      <c r="A59" s="14">
        <v>51</v>
      </c>
      <c r="B59" s="33"/>
      <c r="C59" s="15"/>
      <c r="D59" s="10" t="s">
        <v>12</v>
      </c>
      <c r="E59" s="126"/>
      <c r="F59" s="207"/>
      <c r="G59" s="18">
        <f t="shared" si="0"/>
        <v>831</v>
      </c>
      <c r="H59" s="28"/>
      <c r="I59" s="137"/>
    </row>
    <row r="60" spans="1:9" ht="18" customHeight="1" x14ac:dyDescent="0.25">
      <c r="A60" s="14">
        <v>52</v>
      </c>
      <c r="B60" s="33"/>
      <c r="C60" s="15"/>
      <c r="D60" s="10" t="s">
        <v>12</v>
      </c>
      <c r="E60" s="126"/>
      <c r="F60" s="207"/>
      <c r="G60" s="18">
        <f t="shared" si="0"/>
        <v>831</v>
      </c>
      <c r="H60" s="28"/>
      <c r="I60" s="137"/>
    </row>
    <row r="61" spans="1:9" ht="18" customHeight="1" x14ac:dyDescent="0.25">
      <c r="A61" s="14">
        <v>53</v>
      </c>
      <c r="B61" s="33"/>
      <c r="C61" s="15"/>
      <c r="D61" s="10" t="s">
        <v>12</v>
      </c>
      <c r="E61" s="126"/>
      <c r="F61" s="207"/>
      <c r="G61" s="18">
        <f t="shared" si="0"/>
        <v>831</v>
      </c>
      <c r="H61" s="28"/>
      <c r="I61" s="137"/>
    </row>
    <row r="62" spans="1:9" ht="18" customHeight="1" x14ac:dyDescent="0.25">
      <c r="A62" s="14">
        <v>54</v>
      </c>
      <c r="B62" s="33"/>
      <c r="C62" s="15"/>
      <c r="D62" s="10" t="s">
        <v>12</v>
      </c>
      <c r="E62" s="126"/>
      <c r="F62" s="207"/>
      <c r="G62" s="18">
        <f t="shared" si="0"/>
        <v>831</v>
      </c>
      <c r="H62" s="28"/>
      <c r="I62" s="137"/>
    </row>
    <row r="63" spans="1:9" ht="18" customHeight="1" x14ac:dyDescent="0.25">
      <c r="A63" s="14">
        <v>55</v>
      </c>
      <c r="B63" s="33"/>
      <c r="C63" s="15"/>
      <c r="D63" s="10" t="s">
        <v>12</v>
      </c>
      <c r="E63" s="126"/>
      <c r="F63" s="207"/>
      <c r="G63" s="18">
        <f t="shared" si="0"/>
        <v>831</v>
      </c>
      <c r="H63" s="28"/>
      <c r="I63" s="137"/>
    </row>
    <row r="64" spans="1:9" ht="18" customHeight="1" x14ac:dyDescent="0.25">
      <c r="A64" s="14">
        <v>56</v>
      </c>
      <c r="B64" s="8"/>
      <c r="C64" s="15"/>
      <c r="D64" s="10" t="s">
        <v>12</v>
      </c>
      <c r="E64" s="32"/>
      <c r="F64" s="27"/>
      <c r="G64" s="18">
        <f t="shared" si="0"/>
        <v>831</v>
      </c>
      <c r="H64" s="28"/>
      <c r="I64" s="137"/>
    </row>
    <row r="65" spans="1:9" ht="18" customHeight="1" x14ac:dyDescent="0.25">
      <c r="A65" s="14">
        <v>57</v>
      </c>
      <c r="B65" s="8"/>
      <c r="C65" s="15"/>
      <c r="D65" s="10" t="s">
        <v>12</v>
      </c>
      <c r="E65" s="32"/>
      <c r="F65" s="27"/>
      <c r="G65" s="18">
        <f t="shared" si="0"/>
        <v>831</v>
      </c>
      <c r="H65" s="28"/>
      <c r="I65" s="137"/>
    </row>
    <row r="66" spans="1:9" ht="18" customHeight="1" x14ac:dyDescent="0.25">
      <c r="A66" s="14">
        <v>58</v>
      </c>
      <c r="B66" s="8"/>
      <c r="C66" s="15"/>
      <c r="D66" s="10" t="s">
        <v>12</v>
      </c>
      <c r="E66" s="32"/>
      <c r="F66" s="27"/>
      <c r="G66" s="18">
        <f t="shared" si="0"/>
        <v>831</v>
      </c>
      <c r="H66" s="28"/>
      <c r="I66" s="137"/>
    </row>
    <row r="67" spans="1:9" ht="18" customHeight="1" x14ac:dyDescent="0.25">
      <c r="A67" s="14">
        <v>59</v>
      </c>
      <c r="B67" s="8"/>
      <c r="C67" s="15"/>
      <c r="D67" s="10" t="s">
        <v>12</v>
      </c>
      <c r="E67" s="32"/>
      <c r="F67" s="27"/>
      <c r="G67" s="18">
        <f t="shared" si="0"/>
        <v>831</v>
      </c>
      <c r="H67" s="28"/>
      <c r="I67" s="137"/>
    </row>
    <row r="68" spans="1:9" ht="18" customHeight="1" x14ac:dyDescent="0.25">
      <c r="A68" s="14">
        <v>60</v>
      </c>
      <c r="B68" s="8"/>
      <c r="C68" s="15"/>
      <c r="D68" s="10" t="s">
        <v>12</v>
      </c>
      <c r="E68" s="32"/>
      <c r="F68" s="27"/>
      <c r="G68" s="18">
        <f t="shared" si="0"/>
        <v>831</v>
      </c>
      <c r="H68" s="28"/>
      <c r="I68" s="137"/>
    </row>
    <row r="69" spans="1:9" ht="18" customHeight="1" x14ac:dyDescent="0.25">
      <c r="A69" s="14">
        <v>61</v>
      </c>
      <c r="B69" s="8"/>
      <c r="C69" s="15"/>
      <c r="D69" s="10" t="s">
        <v>12</v>
      </c>
      <c r="E69" s="32"/>
      <c r="F69" s="27"/>
      <c r="G69" s="18">
        <f t="shared" si="0"/>
        <v>831</v>
      </c>
      <c r="H69" s="28"/>
      <c r="I69" s="137"/>
    </row>
    <row r="70" spans="1:9" ht="18" customHeight="1" x14ac:dyDescent="0.25">
      <c r="A70" s="14">
        <v>62</v>
      </c>
      <c r="B70" s="8"/>
      <c r="C70" s="15"/>
      <c r="D70" s="10" t="s">
        <v>12</v>
      </c>
      <c r="E70" s="32"/>
      <c r="F70" s="27"/>
      <c r="G70" s="18">
        <f t="shared" si="0"/>
        <v>831</v>
      </c>
      <c r="H70" s="28"/>
      <c r="I70" s="137"/>
    </row>
    <row r="71" spans="1:9" ht="18" customHeight="1" x14ac:dyDescent="0.25">
      <c r="A71" s="14">
        <v>63</v>
      </c>
      <c r="B71" s="8"/>
      <c r="C71" s="15"/>
      <c r="D71" s="10" t="s">
        <v>12</v>
      </c>
      <c r="E71" s="32"/>
      <c r="F71" s="27"/>
      <c r="G71" s="18">
        <f t="shared" si="0"/>
        <v>831</v>
      </c>
      <c r="H71" s="28"/>
      <c r="I71" s="137"/>
    </row>
    <row r="72" spans="1:9" ht="18" customHeight="1" x14ac:dyDescent="0.25">
      <c r="A72" s="14">
        <v>64</v>
      </c>
      <c r="B72" s="8"/>
      <c r="C72" s="15"/>
      <c r="D72" s="10" t="s">
        <v>12</v>
      </c>
      <c r="E72" s="32"/>
      <c r="F72" s="27"/>
      <c r="G72" s="18">
        <f t="shared" si="0"/>
        <v>831</v>
      </c>
      <c r="H72" s="28"/>
      <c r="I72" s="137"/>
    </row>
    <row r="73" spans="1:9" ht="18" customHeight="1" x14ac:dyDescent="0.25">
      <c r="A73" s="14">
        <v>65</v>
      </c>
      <c r="B73" s="8"/>
      <c r="C73" s="15"/>
      <c r="D73" s="10" t="s">
        <v>12</v>
      </c>
      <c r="E73" s="32"/>
      <c r="F73" s="27"/>
      <c r="G73" s="18">
        <f t="shared" si="0"/>
        <v>831</v>
      </c>
      <c r="H73" s="28"/>
      <c r="I73" s="137"/>
    </row>
    <row r="74" spans="1:9" ht="18" customHeight="1" x14ac:dyDescent="0.25">
      <c r="A74" s="14">
        <v>66</v>
      </c>
      <c r="B74" s="8"/>
      <c r="C74" s="15"/>
      <c r="D74" s="10" t="s">
        <v>12</v>
      </c>
      <c r="E74" s="32"/>
      <c r="F74" s="27"/>
      <c r="G74" s="18">
        <f t="shared" ref="G74:G118" si="1">+G73+E74-F74</f>
        <v>831</v>
      </c>
      <c r="H74" s="28"/>
      <c r="I74" s="137"/>
    </row>
    <row r="75" spans="1:9" ht="18" customHeight="1" x14ac:dyDescent="0.25">
      <c r="A75" s="14">
        <v>67</v>
      </c>
      <c r="B75" s="8"/>
      <c r="C75" s="15"/>
      <c r="D75" s="10" t="s">
        <v>12</v>
      </c>
      <c r="E75" s="32"/>
      <c r="F75" s="27"/>
      <c r="G75" s="18">
        <f t="shared" si="1"/>
        <v>831</v>
      </c>
      <c r="H75" s="28"/>
      <c r="I75" s="137"/>
    </row>
    <row r="76" spans="1:9" ht="18" customHeight="1" x14ac:dyDescent="0.25">
      <c r="A76" s="14">
        <v>68</v>
      </c>
      <c r="B76" s="8"/>
      <c r="C76" s="15"/>
      <c r="D76" s="10" t="s">
        <v>12</v>
      </c>
      <c r="E76" s="32"/>
      <c r="F76" s="27"/>
      <c r="G76" s="18">
        <f t="shared" si="1"/>
        <v>831</v>
      </c>
      <c r="H76" s="28"/>
      <c r="I76" s="137"/>
    </row>
    <row r="77" spans="1:9" ht="18" customHeight="1" x14ac:dyDescent="0.25">
      <c r="A77" s="14">
        <v>69</v>
      </c>
      <c r="B77" s="8"/>
      <c r="C77" s="15"/>
      <c r="D77" s="10" t="s">
        <v>12</v>
      </c>
      <c r="E77" s="32"/>
      <c r="F77" s="27"/>
      <c r="G77" s="18">
        <f t="shared" si="1"/>
        <v>831</v>
      </c>
      <c r="H77" s="28"/>
      <c r="I77" s="137"/>
    </row>
    <row r="78" spans="1:9" ht="18" customHeight="1" x14ac:dyDescent="0.25">
      <c r="A78" s="14">
        <v>70</v>
      </c>
      <c r="B78" s="8"/>
      <c r="C78" s="15"/>
      <c r="D78" s="10" t="s">
        <v>12</v>
      </c>
      <c r="E78" s="32"/>
      <c r="F78" s="27"/>
      <c r="G78" s="18">
        <f t="shared" si="1"/>
        <v>831</v>
      </c>
      <c r="H78" s="28"/>
      <c r="I78" s="137"/>
    </row>
    <row r="79" spans="1:9" ht="18" customHeight="1" x14ac:dyDescent="0.25">
      <c r="A79" s="14">
        <v>71</v>
      </c>
      <c r="B79" s="8"/>
      <c r="C79" s="15"/>
      <c r="D79" s="10" t="s">
        <v>12</v>
      </c>
      <c r="E79" s="32"/>
      <c r="F79" s="27"/>
      <c r="G79" s="18">
        <f t="shared" si="1"/>
        <v>831</v>
      </c>
      <c r="H79" s="28"/>
      <c r="I79" s="137"/>
    </row>
    <row r="80" spans="1:9" ht="18" customHeight="1" x14ac:dyDescent="0.25">
      <c r="A80" s="14">
        <v>72</v>
      </c>
      <c r="B80" s="8"/>
      <c r="C80" s="15"/>
      <c r="D80" s="10" t="s">
        <v>12</v>
      </c>
      <c r="E80" s="32"/>
      <c r="F80" s="27"/>
      <c r="G80" s="18">
        <f t="shared" si="1"/>
        <v>831</v>
      </c>
      <c r="H80" s="28"/>
      <c r="I80" s="137"/>
    </row>
    <row r="81" spans="1:9" ht="18" customHeight="1" x14ac:dyDescent="0.25">
      <c r="A81" s="14">
        <v>73</v>
      </c>
      <c r="B81" s="8"/>
      <c r="C81" s="15"/>
      <c r="D81" s="10" t="s">
        <v>12</v>
      </c>
      <c r="E81" s="32"/>
      <c r="F81" s="27"/>
      <c r="G81" s="18">
        <f t="shared" si="1"/>
        <v>831</v>
      </c>
      <c r="H81" s="28"/>
      <c r="I81" s="137"/>
    </row>
    <row r="82" spans="1:9" ht="18" customHeight="1" x14ac:dyDescent="0.25">
      <c r="A82" s="14">
        <v>74</v>
      </c>
      <c r="B82" s="8"/>
      <c r="C82" s="15"/>
      <c r="D82" s="10" t="s">
        <v>12</v>
      </c>
      <c r="E82" s="32"/>
      <c r="F82" s="27"/>
      <c r="G82" s="18">
        <f t="shared" si="1"/>
        <v>831</v>
      </c>
      <c r="H82" s="28"/>
      <c r="I82" s="137"/>
    </row>
    <row r="83" spans="1:9" ht="18" customHeight="1" x14ac:dyDescent="0.25">
      <c r="A83" s="14">
        <v>75</v>
      </c>
      <c r="B83" s="8"/>
      <c r="C83" s="15"/>
      <c r="D83" s="10" t="s">
        <v>12</v>
      </c>
      <c r="E83" s="32"/>
      <c r="F83" s="27"/>
      <c r="G83" s="18">
        <f t="shared" si="1"/>
        <v>831</v>
      </c>
      <c r="H83" s="28"/>
      <c r="I83" s="137"/>
    </row>
    <row r="84" spans="1:9" ht="18" customHeight="1" x14ac:dyDescent="0.25">
      <c r="A84" s="14">
        <v>76</v>
      </c>
      <c r="B84" s="8"/>
      <c r="C84" s="15"/>
      <c r="D84" s="10" t="s">
        <v>12</v>
      </c>
      <c r="E84" s="32"/>
      <c r="F84" s="27"/>
      <c r="G84" s="18">
        <f t="shared" si="1"/>
        <v>831</v>
      </c>
      <c r="H84" s="28"/>
      <c r="I84" s="137"/>
    </row>
    <row r="85" spans="1:9" ht="18" customHeight="1" x14ac:dyDescent="0.25">
      <c r="A85" s="14">
        <v>77</v>
      </c>
      <c r="B85" s="8"/>
      <c r="C85" s="15"/>
      <c r="D85" s="10" t="s">
        <v>12</v>
      </c>
      <c r="E85" s="32"/>
      <c r="F85" s="27"/>
      <c r="G85" s="18">
        <f t="shared" si="1"/>
        <v>831</v>
      </c>
      <c r="H85" s="28"/>
      <c r="I85" s="137"/>
    </row>
    <row r="86" spans="1:9" ht="18" customHeight="1" x14ac:dyDescent="0.25">
      <c r="A86" s="14">
        <v>78</v>
      </c>
      <c r="B86" s="8"/>
      <c r="C86" s="15"/>
      <c r="D86" s="10" t="s">
        <v>12</v>
      </c>
      <c r="E86" s="32"/>
      <c r="F86" s="27"/>
      <c r="G86" s="18">
        <f t="shared" si="1"/>
        <v>831</v>
      </c>
      <c r="H86" s="28"/>
      <c r="I86" s="137"/>
    </row>
    <row r="87" spans="1:9" ht="18" customHeight="1" x14ac:dyDescent="0.25">
      <c r="A87" s="14">
        <v>79</v>
      </c>
      <c r="B87" s="8"/>
      <c r="C87" s="15"/>
      <c r="D87" s="10" t="s">
        <v>12</v>
      </c>
      <c r="E87" s="32"/>
      <c r="F87" s="27"/>
      <c r="G87" s="18">
        <f t="shared" si="1"/>
        <v>831</v>
      </c>
      <c r="H87" s="28"/>
      <c r="I87" s="137"/>
    </row>
    <row r="88" spans="1:9" ht="18" customHeight="1" x14ac:dyDescent="0.25">
      <c r="A88" s="14">
        <v>80</v>
      </c>
      <c r="B88" s="8"/>
      <c r="C88" s="15"/>
      <c r="D88" s="10" t="s">
        <v>12</v>
      </c>
      <c r="E88" s="32"/>
      <c r="F88" s="27"/>
      <c r="G88" s="18">
        <f t="shared" si="1"/>
        <v>831</v>
      </c>
      <c r="H88" s="28"/>
      <c r="I88" s="137"/>
    </row>
    <row r="89" spans="1:9" ht="18" customHeight="1" x14ac:dyDescent="0.25">
      <c r="A89" s="14">
        <v>81</v>
      </c>
      <c r="B89" s="8"/>
      <c r="C89" s="15"/>
      <c r="D89" s="10" t="s">
        <v>12</v>
      </c>
      <c r="E89" s="32"/>
      <c r="F89" s="27"/>
      <c r="G89" s="18">
        <f t="shared" si="1"/>
        <v>831</v>
      </c>
      <c r="H89" s="28"/>
      <c r="I89" s="137"/>
    </row>
    <row r="90" spans="1:9" ht="18" customHeight="1" x14ac:dyDescent="0.25">
      <c r="A90" s="14">
        <v>82</v>
      </c>
      <c r="B90" s="8"/>
      <c r="C90" s="15"/>
      <c r="D90" s="10" t="s">
        <v>12</v>
      </c>
      <c r="E90" s="32"/>
      <c r="F90" s="27"/>
      <c r="G90" s="18">
        <f t="shared" si="1"/>
        <v>831</v>
      </c>
      <c r="H90" s="28"/>
      <c r="I90" s="137"/>
    </row>
    <row r="91" spans="1:9" ht="18" customHeight="1" x14ac:dyDescent="0.25">
      <c r="A91" s="14">
        <v>83</v>
      </c>
      <c r="B91" s="8"/>
      <c r="C91" s="15"/>
      <c r="D91" s="10" t="s">
        <v>12</v>
      </c>
      <c r="E91" s="32"/>
      <c r="F91" s="27"/>
      <c r="G91" s="18">
        <f t="shared" si="1"/>
        <v>831</v>
      </c>
      <c r="H91" s="28"/>
      <c r="I91" s="137"/>
    </row>
    <row r="92" spans="1:9" ht="18" customHeight="1" x14ac:dyDescent="0.25">
      <c r="A92" s="14">
        <v>84</v>
      </c>
      <c r="B92" s="8"/>
      <c r="C92" s="15"/>
      <c r="D92" s="10" t="s">
        <v>12</v>
      </c>
      <c r="E92" s="32"/>
      <c r="F92" s="27"/>
      <c r="G92" s="18">
        <f t="shared" si="1"/>
        <v>831</v>
      </c>
      <c r="H92" s="28"/>
      <c r="I92" s="137"/>
    </row>
    <row r="93" spans="1:9" ht="18" customHeight="1" x14ac:dyDescent="0.25">
      <c r="A93" s="14">
        <v>85</v>
      </c>
      <c r="B93" s="8"/>
      <c r="C93" s="15"/>
      <c r="D93" s="10" t="s">
        <v>12</v>
      </c>
      <c r="E93" s="32"/>
      <c r="F93" s="27"/>
      <c r="G93" s="18">
        <f t="shared" si="1"/>
        <v>831</v>
      </c>
      <c r="H93" s="28"/>
      <c r="I93" s="137"/>
    </row>
    <row r="94" spans="1:9" ht="18" customHeight="1" x14ac:dyDescent="0.25">
      <c r="A94" s="14">
        <v>86</v>
      </c>
      <c r="B94" s="8"/>
      <c r="C94" s="15"/>
      <c r="D94" s="10" t="s">
        <v>12</v>
      </c>
      <c r="E94" s="32"/>
      <c r="F94" s="27"/>
      <c r="G94" s="18">
        <f t="shared" si="1"/>
        <v>831</v>
      </c>
      <c r="H94" s="28"/>
      <c r="I94" s="137"/>
    </row>
    <row r="95" spans="1:9" ht="18" customHeight="1" x14ac:dyDescent="0.25">
      <c r="A95" s="14">
        <v>87</v>
      </c>
      <c r="B95" s="8"/>
      <c r="C95" s="15"/>
      <c r="D95" s="10" t="s">
        <v>12</v>
      </c>
      <c r="E95" s="32"/>
      <c r="F95" s="27"/>
      <c r="G95" s="18">
        <f t="shared" si="1"/>
        <v>831</v>
      </c>
      <c r="H95" s="28"/>
      <c r="I95" s="137"/>
    </row>
    <row r="96" spans="1:9" ht="18" customHeight="1" x14ac:dyDescent="0.25">
      <c r="A96" s="14">
        <v>88</v>
      </c>
      <c r="B96" s="8"/>
      <c r="C96" s="15"/>
      <c r="D96" s="10" t="s">
        <v>12</v>
      </c>
      <c r="E96" s="32"/>
      <c r="F96" s="27"/>
      <c r="G96" s="18">
        <f t="shared" si="1"/>
        <v>831</v>
      </c>
      <c r="H96" s="28"/>
      <c r="I96" s="137"/>
    </row>
    <row r="97" spans="1:9" ht="18" customHeight="1" x14ac:dyDescent="0.25">
      <c r="A97" s="14">
        <v>89</v>
      </c>
      <c r="B97" s="8"/>
      <c r="C97" s="15"/>
      <c r="D97" s="10" t="s">
        <v>12</v>
      </c>
      <c r="E97" s="32"/>
      <c r="F97" s="27"/>
      <c r="G97" s="18">
        <f t="shared" si="1"/>
        <v>831</v>
      </c>
      <c r="H97" s="28"/>
      <c r="I97" s="137"/>
    </row>
    <row r="98" spans="1:9" ht="18" customHeight="1" x14ac:dyDescent="0.25">
      <c r="A98" s="14">
        <v>90</v>
      </c>
      <c r="B98" s="8"/>
      <c r="C98" s="15"/>
      <c r="D98" s="10" t="s">
        <v>12</v>
      </c>
      <c r="E98" s="32"/>
      <c r="F98" s="27"/>
      <c r="G98" s="18">
        <f t="shared" si="1"/>
        <v>831</v>
      </c>
      <c r="H98" s="28"/>
      <c r="I98" s="137"/>
    </row>
    <row r="99" spans="1:9" ht="18" customHeight="1" x14ac:dyDescent="0.25">
      <c r="A99" s="14">
        <v>91</v>
      </c>
      <c r="B99" s="8"/>
      <c r="C99" s="15"/>
      <c r="D99" s="10" t="s">
        <v>12</v>
      </c>
      <c r="E99" s="32"/>
      <c r="F99" s="27"/>
      <c r="G99" s="18">
        <f t="shared" si="1"/>
        <v>831</v>
      </c>
      <c r="H99" s="28"/>
      <c r="I99" s="137"/>
    </row>
    <row r="100" spans="1:9" ht="18" customHeight="1" x14ac:dyDescent="0.25">
      <c r="A100" s="14">
        <v>92</v>
      </c>
      <c r="B100" s="8"/>
      <c r="C100" s="15"/>
      <c r="D100" s="10" t="s">
        <v>12</v>
      </c>
      <c r="E100" s="32"/>
      <c r="F100" s="27"/>
      <c r="G100" s="18">
        <f t="shared" si="1"/>
        <v>831</v>
      </c>
      <c r="H100" s="28"/>
      <c r="I100" s="137"/>
    </row>
    <row r="101" spans="1:9" ht="18" customHeight="1" x14ac:dyDescent="0.25">
      <c r="A101" s="14">
        <v>93</v>
      </c>
      <c r="B101" s="8"/>
      <c r="C101" s="15"/>
      <c r="D101" s="10" t="s">
        <v>12</v>
      </c>
      <c r="E101" s="32"/>
      <c r="F101" s="27"/>
      <c r="G101" s="18">
        <f t="shared" si="1"/>
        <v>831</v>
      </c>
      <c r="H101" s="28"/>
      <c r="I101" s="137"/>
    </row>
    <row r="102" spans="1:9" ht="18" customHeight="1" x14ac:dyDescent="0.25">
      <c r="A102" s="14">
        <v>94</v>
      </c>
      <c r="B102" s="8"/>
      <c r="C102" s="15"/>
      <c r="D102" s="10"/>
      <c r="E102" s="32"/>
      <c r="F102" s="27"/>
      <c r="G102" s="18">
        <f t="shared" si="1"/>
        <v>831</v>
      </c>
      <c r="H102" s="28"/>
      <c r="I102" s="137"/>
    </row>
    <row r="103" spans="1:9" ht="18" customHeight="1" x14ac:dyDescent="0.25">
      <c r="A103" s="14">
        <v>95</v>
      </c>
      <c r="B103" s="8"/>
      <c r="C103" s="15"/>
      <c r="D103" s="10"/>
      <c r="E103" s="32"/>
      <c r="F103" s="27"/>
      <c r="G103" s="18">
        <f t="shared" si="1"/>
        <v>831</v>
      </c>
      <c r="H103" s="28"/>
      <c r="I103" s="137"/>
    </row>
    <row r="104" spans="1:9" ht="18" customHeight="1" x14ac:dyDescent="0.25">
      <c r="A104" s="14">
        <v>96</v>
      </c>
      <c r="B104" s="8"/>
      <c r="C104" s="15"/>
      <c r="D104" s="10"/>
      <c r="E104" s="32"/>
      <c r="F104" s="27"/>
      <c r="G104" s="18">
        <f t="shared" si="1"/>
        <v>831</v>
      </c>
      <c r="H104" s="28"/>
      <c r="I104" s="137"/>
    </row>
    <row r="105" spans="1:9" ht="18" customHeight="1" x14ac:dyDescent="0.25">
      <c r="A105" s="14">
        <v>97</v>
      </c>
      <c r="B105" s="8"/>
      <c r="C105" s="15"/>
      <c r="D105" s="10"/>
      <c r="E105" s="32"/>
      <c r="F105" s="27"/>
      <c r="G105" s="18">
        <f t="shared" si="1"/>
        <v>831</v>
      </c>
      <c r="H105" s="28"/>
      <c r="I105" s="137"/>
    </row>
    <row r="106" spans="1:9" ht="18" customHeight="1" x14ac:dyDescent="0.25">
      <c r="A106" s="14">
        <v>98</v>
      </c>
      <c r="B106" s="8"/>
      <c r="C106" s="15"/>
      <c r="D106" s="10"/>
      <c r="E106" s="32"/>
      <c r="F106" s="27"/>
      <c r="G106" s="18">
        <f t="shared" si="1"/>
        <v>831</v>
      </c>
      <c r="H106" s="28"/>
      <c r="I106" s="137"/>
    </row>
    <row r="107" spans="1:9" ht="18" customHeight="1" x14ac:dyDescent="0.25">
      <c r="A107" s="14">
        <v>99</v>
      </c>
      <c r="B107" s="8"/>
      <c r="C107" s="15"/>
      <c r="D107" s="10"/>
      <c r="E107" s="32"/>
      <c r="F107" s="27"/>
      <c r="G107" s="18">
        <f t="shared" si="1"/>
        <v>831</v>
      </c>
      <c r="H107" s="28"/>
      <c r="I107" s="137"/>
    </row>
    <row r="108" spans="1:9" ht="18" customHeight="1" x14ac:dyDescent="0.25">
      <c r="A108" s="14">
        <v>100</v>
      </c>
      <c r="B108" s="8"/>
      <c r="C108" s="15"/>
      <c r="D108" s="10"/>
      <c r="E108" s="32"/>
      <c r="F108" s="27"/>
      <c r="G108" s="18">
        <f t="shared" si="1"/>
        <v>831</v>
      </c>
      <c r="H108" s="28"/>
      <c r="I108" s="137"/>
    </row>
    <row r="109" spans="1:9" ht="18" customHeight="1" x14ac:dyDescent="0.25">
      <c r="A109" s="14">
        <v>101</v>
      </c>
      <c r="B109" s="8"/>
      <c r="C109" s="15"/>
      <c r="D109" s="10"/>
      <c r="E109" s="32"/>
      <c r="F109" s="27"/>
      <c r="G109" s="18">
        <f t="shared" si="1"/>
        <v>831</v>
      </c>
      <c r="H109" s="28"/>
      <c r="I109" s="137"/>
    </row>
    <row r="110" spans="1:9" ht="18" customHeight="1" x14ac:dyDescent="0.25">
      <c r="A110" s="14">
        <v>102</v>
      </c>
      <c r="B110" s="8"/>
      <c r="C110" s="15"/>
      <c r="D110" s="10"/>
      <c r="E110" s="32"/>
      <c r="F110" s="27"/>
      <c r="G110" s="18">
        <f t="shared" si="1"/>
        <v>831</v>
      </c>
      <c r="H110" s="28"/>
      <c r="I110" s="137"/>
    </row>
    <row r="111" spans="1:9" ht="18" customHeight="1" x14ac:dyDescent="0.25">
      <c r="A111" s="14">
        <v>103</v>
      </c>
      <c r="B111" s="8"/>
      <c r="C111" s="15"/>
      <c r="D111" s="10"/>
      <c r="E111" s="32"/>
      <c r="F111" s="27"/>
      <c r="G111" s="18">
        <f t="shared" si="1"/>
        <v>831</v>
      </c>
      <c r="H111" s="28"/>
      <c r="I111" s="137"/>
    </row>
    <row r="112" spans="1:9" ht="18" customHeight="1" x14ac:dyDescent="0.25">
      <c r="A112" s="14">
        <v>104</v>
      </c>
      <c r="B112" s="8"/>
      <c r="C112" s="15"/>
      <c r="D112" s="10"/>
      <c r="E112" s="32"/>
      <c r="F112" s="27"/>
      <c r="G112" s="18">
        <f t="shared" si="1"/>
        <v>831</v>
      </c>
      <c r="H112" s="28"/>
      <c r="I112" s="137"/>
    </row>
    <row r="113" spans="1:9" ht="18" customHeight="1" x14ac:dyDescent="0.25">
      <c r="A113" s="14">
        <v>105</v>
      </c>
      <c r="B113" s="8"/>
      <c r="C113" s="15"/>
      <c r="D113" s="10"/>
      <c r="E113" s="32"/>
      <c r="F113" s="27"/>
      <c r="G113" s="18">
        <f t="shared" si="1"/>
        <v>831</v>
      </c>
      <c r="H113" s="28"/>
      <c r="I113" s="137"/>
    </row>
    <row r="114" spans="1:9" ht="18" customHeight="1" x14ac:dyDescent="0.25">
      <c r="A114" s="14">
        <v>106</v>
      </c>
      <c r="B114" s="8"/>
      <c r="C114" s="15"/>
      <c r="D114" s="10"/>
      <c r="E114" s="32"/>
      <c r="F114" s="27"/>
      <c r="G114" s="18">
        <f t="shared" si="1"/>
        <v>831</v>
      </c>
      <c r="H114" s="28"/>
      <c r="I114" s="137"/>
    </row>
    <row r="115" spans="1:9" ht="18" customHeight="1" x14ac:dyDescent="0.25">
      <c r="A115" s="14">
        <v>107</v>
      </c>
      <c r="B115" s="8"/>
      <c r="C115" s="15"/>
      <c r="D115" s="10"/>
      <c r="E115" s="32"/>
      <c r="F115" s="27"/>
      <c r="G115" s="18">
        <f t="shared" si="1"/>
        <v>831</v>
      </c>
      <c r="H115" s="28"/>
      <c r="I115" s="137"/>
    </row>
    <row r="116" spans="1:9" ht="18" customHeight="1" x14ac:dyDescent="0.25">
      <c r="A116" s="14">
        <v>108</v>
      </c>
      <c r="B116" s="8"/>
      <c r="C116" s="15"/>
      <c r="D116" s="10"/>
      <c r="E116" s="32"/>
      <c r="F116" s="27"/>
      <c r="G116" s="18">
        <f t="shared" si="1"/>
        <v>831</v>
      </c>
      <c r="H116" s="28"/>
      <c r="I116" s="137"/>
    </row>
    <row r="117" spans="1:9" x14ac:dyDescent="0.25">
      <c r="A117" s="14">
        <v>109</v>
      </c>
      <c r="B117" s="8"/>
      <c r="C117" s="7"/>
      <c r="D117" s="14"/>
      <c r="E117" s="140"/>
      <c r="F117" s="141"/>
      <c r="G117" s="18">
        <f t="shared" si="1"/>
        <v>831</v>
      </c>
      <c r="H117" s="18"/>
      <c r="I117" s="7"/>
    </row>
    <row r="118" spans="1:9" x14ac:dyDescent="0.25">
      <c r="A118" s="14">
        <v>110</v>
      </c>
      <c r="B118" s="33"/>
      <c r="C118" s="7"/>
      <c r="D118" s="14"/>
      <c r="E118" s="140"/>
      <c r="F118" s="141"/>
      <c r="G118" s="18">
        <f t="shared" si="1"/>
        <v>831</v>
      </c>
      <c r="H118" s="18"/>
      <c r="I118" s="7"/>
    </row>
    <row r="119" spans="1:9" x14ac:dyDescent="0.25">
      <c r="A119" s="7"/>
      <c r="B119" s="7"/>
      <c r="C119" s="34" t="s">
        <v>13</v>
      </c>
      <c r="D119" s="7"/>
      <c r="E119" s="35">
        <f>SUM(E9:E118)</f>
        <v>0</v>
      </c>
      <c r="F119" s="35">
        <f>SUM(F9:F118)</f>
        <v>0</v>
      </c>
      <c r="G119" s="35">
        <f>+E119-F119+G8</f>
        <v>831</v>
      </c>
      <c r="H119" s="35"/>
      <c r="I119" s="36"/>
    </row>
    <row r="151" spans="6:6" x14ac:dyDescent="0.25">
      <c r="F151">
        <f>3507+360</f>
        <v>3867</v>
      </c>
    </row>
    <row r="152" spans="6:6" x14ac:dyDescent="0.25">
      <c r="F152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F66C-7627-4A45-A382-036327E95437}">
  <sheetPr codeName="Sheet56"/>
  <dimension ref="A1:J151"/>
  <sheetViews>
    <sheetView workbookViewId="0">
      <selection activeCell="J13" sqref="J13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521</v>
      </c>
      <c r="H8" s="7"/>
      <c r="I8" s="7"/>
    </row>
    <row r="9" spans="1:10" ht="18" customHeight="1" x14ac:dyDescent="0.25">
      <c r="A9" s="14">
        <v>1</v>
      </c>
      <c r="B9" s="39">
        <v>45728</v>
      </c>
      <c r="C9" s="15"/>
      <c r="D9" s="10" t="s">
        <v>12</v>
      </c>
      <c r="E9" s="51"/>
      <c r="F9" s="27">
        <v>77</v>
      </c>
      <c r="G9" s="18">
        <f t="shared" ref="G9:G72" si="0">+G8+E9-F9</f>
        <v>444</v>
      </c>
      <c r="H9" s="28" t="s">
        <v>129</v>
      </c>
      <c r="I9" s="7" t="s">
        <v>14</v>
      </c>
    </row>
    <row r="10" spans="1:10" ht="18" customHeight="1" x14ac:dyDescent="0.25">
      <c r="A10" s="14">
        <f t="shared" ref="A10:A73" si="1">+A9+1</f>
        <v>2</v>
      </c>
      <c r="B10" s="39">
        <v>45729</v>
      </c>
      <c r="C10" s="15" t="s">
        <v>234</v>
      </c>
      <c r="D10" s="10" t="s">
        <v>12</v>
      </c>
      <c r="E10" s="16"/>
      <c r="F10" s="27">
        <v>137</v>
      </c>
      <c r="G10" s="18">
        <f t="shared" si="0"/>
        <v>307</v>
      </c>
      <c r="H10" s="28" t="s">
        <v>129</v>
      </c>
      <c r="I10" s="7" t="s">
        <v>14</v>
      </c>
    </row>
    <row r="11" spans="1:10" ht="18" customHeight="1" x14ac:dyDescent="0.25">
      <c r="A11" s="14">
        <f t="shared" si="1"/>
        <v>3</v>
      </c>
      <c r="B11" s="8">
        <v>45772</v>
      </c>
      <c r="C11" s="15" t="s">
        <v>234</v>
      </c>
      <c r="D11" s="10" t="s">
        <v>12</v>
      </c>
      <c r="E11" s="16"/>
      <c r="F11" s="27">
        <v>3</v>
      </c>
      <c r="G11" s="18">
        <f t="shared" si="0"/>
        <v>304</v>
      </c>
      <c r="H11" s="28" t="s">
        <v>399</v>
      </c>
      <c r="I11" s="7" t="s">
        <v>14</v>
      </c>
    </row>
    <row r="12" spans="1:10" ht="18" customHeight="1" x14ac:dyDescent="0.25">
      <c r="A12" s="14">
        <f t="shared" si="1"/>
        <v>4</v>
      </c>
      <c r="B12" s="8">
        <v>45926</v>
      </c>
      <c r="C12" s="15" t="s">
        <v>234</v>
      </c>
      <c r="D12" s="10" t="s">
        <v>12</v>
      </c>
      <c r="E12" s="16"/>
      <c r="F12" s="27">
        <v>30</v>
      </c>
      <c r="G12" s="18">
        <f t="shared" si="0"/>
        <v>274</v>
      </c>
      <c r="H12" s="28" t="s">
        <v>129</v>
      </c>
      <c r="I12" s="7" t="s">
        <v>14</v>
      </c>
      <c r="J12" t="s">
        <v>448</v>
      </c>
    </row>
    <row r="13" spans="1:10" ht="18" customHeight="1" x14ac:dyDescent="0.25">
      <c r="A13" s="14">
        <f t="shared" si="1"/>
        <v>5</v>
      </c>
      <c r="B13" s="205">
        <v>45934</v>
      </c>
      <c r="C13" s="15" t="s">
        <v>234</v>
      </c>
      <c r="D13" s="10" t="s">
        <v>12</v>
      </c>
      <c r="E13" s="16"/>
      <c r="F13" s="17">
        <v>35</v>
      </c>
      <c r="G13" s="18">
        <f t="shared" si="0"/>
        <v>239</v>
      </c>
      <c r="H13" s="28" t="s">
        <v>129</v>
      </c>
      <c r="I13" s="7" t="s">
        <v>14</v>
      </c>
      <c r="J13" t="s">
        <v>448</v>
      </c>
    </row>
    <row r="14" spans="1:10" ht="18" customHeight="1" x14ac:dyDescent="0.25">
      <c r="A14" s="14">
        <f t="shared" si="1"/>
        <v>6</v>
      </c>
      <c r="B14" s="205"/>
      <c r="C14" s="15"/>
      <c r="D14" s="10" t="s">
        <v>12</v>
      </c>
      <c r="E14" s="16"/>
      <c r="F14" s="27"/>
      <c r="G14" s="18">
        <f t="shared" si="0"/>
        <v>239</v>
      </c>
      <c r="H14" s="28" t="s">
        <v>129</v>
      </c>
      <c r="I14" s="7" t="s">
        <v>14</v>
      </c>
      <c r="J14" s="26"/>
    </row>
    <row r="15" spans="1:10" ht="18" customHeight="1" x14ac:dyDescent="0.25">
      <c r="A15" s="14">
        <f t="shared" si="1"/>
        <v>7</v>
      </c>
      <c r="B15" s="205"/>
      <c r="C15" s="15"/>
      <c r="D15" s="10" t="s">
        <v>12</v>
      </c>
      <c r="E15" s="16"/>
      <c r="F15" s="17"/>
      <c r="G15" s="18">
        <f t="shared" si="0"/>
        <v>239</v>
      </c>
      <c r="H15" s="28"/>
      <c r="I15" s="7" t="s">
        <v>14</v>
      </c>
    </row>
    <row r="16" spans="1:10" ht="18" customHeight="1" x14ac:dyDescent="0.25">
      <c r="A16" s="14">
        <f t="shared" si="1"/>
        <v>8</v>
      </c>
      <c r="B16" s="206"/>
      <c r="C16" s="15"/>
      <c r="D16" s="10" t="s">
        <v>12</v>
      </c>
      <c r="E16" s="16"/>
      <c r="F16" s="27"/>
      <c r="G16" s="18">
        <f t="shared" si="0"/>
        <v>239</v>
      </c>
      <c r="H16" s="28" t="s">
        <v>129</v>
      </c>
      <c r="I16" s="7" t="s">
        <v>301</v>
      </c>
    </row>
    <row r="17" spans="1:9" ht="18" customHeight="1" x14ac:dyDescent="0.25">
      <c r="A17" s="14">
        <f t="shared" si="1"/>
        <v>9</v>
      </c>
      <c r="B17" s="205"/>
      <c r="C17" s="15"/>
      <c r="D17" s="10" t="s">
        <v>12</v>
      </c>
      <c r="E17" s="16"/>
      <c r="F17" s="27"/>
      <c r="G17" s="18">
        <f t="shared" si="0"/>
        <v>239</v>
      </c>
      <c r="H17" s="28"/>
      <c r="I17" s="7" t="s">
        <v>14</v>
      </c>
    </row>
    <row r="18" spans="1:9" ht="18" customHeight="1" x14ac:dyDescent="0.25">
      <c r="A18" s="14">
        <f t="shared" si="1"/>
        <v>10</v>
      </c>
      <c r="B18" s="8"/>
      <c r="C18" s="15"/>
      <c r="D18" s="10" t="s">
        <v>12</v>
      </c>
      <c r="E18" s="16"/>
      <c r="F18" s="27"/>
      <c r="G18" s="18">
        <f t="shared" si="0"/>
        <v>239</v>
      </c>
      <c r="H18" s="28"/>
      <c r="I18" s="7" t="s">
        <v>14</v>
      </c>
    </row>
    <row r="19" spans="1:9" ht="18" customHeight="1" x14ac:dyDescent="0.25">
      <c r="A19" s="14">
        <f t="shared" si="1"/>
        <v>11</v>
      </c>
      <c r="B19" s="8"/>
      <c r="C19" s="15"/>
      <c r="D19" s="10" t="s">
        <v>12</v>
      </c>
      <c r="E19" s="16"/>
      <c r="F19" s="27"/>
      <c r="G19" s="18">
        <f t="shared" si="0"/>
        <v>239</v>
      </c>
      <c r="H19" s="28"/>
      <c r="I19" s="7" t="s">
        <v>14</v>
      </c>
    </row>
    <row r="20" spans="1:9" ht="18" customHeight="1" x14ac:dyDescent="0.25">
      <c r="A20" s="14">
        <f t="shared" si="1"/>
        <v>12</v>
      </c>
      <c r="B20" s="8"/>
      <c r="C20" s="15"/>
      <c r="D20" s="10" t="s">
        <v>12</v>
      </c>
      <c r="E20" s="16"/>
      <c r="F20" s="17"/>
      <c r="G20" s="18">
        <f t="shared" si="0"/>
        <v>239</v>
      </c>
      <c r="H20" s="28"/>
      <c r="I20" s="7" t="s">
        <v>14</v>
      </c>
    </row>
    <row r="21" spans="1:9" ht="18" customHeight="1" x14ac:dyDescent="0.25">
      <c r="A21" s="14">
        <f t="shared" si="1"/>
        <v>13</v>
      </c>
      <c r="B21" s="8"/>
      <c r="C21" s="15"/>
      <c r="D21" s="10" t="s">
        <v>12</v>
      </c>
      <c r="E21" s="16"/>
      <c r="F21" s="17"/>
      <c r="G21" s="18">
        <f t="shared" si="0"/>
        <v>239</v>
      </c>
      <c r="H21" s="28"/>
      <c r="I21" s="7"/>
    </row>
    <row r="22" spans="1:9" ht="18" customHeight="1" x14ac:dyDescent="0.25">
      <c r="A22" s="14">
        <f t="shared" si="1"/>
        <v>14</v>
      </c>
      <c r="B22" s="8"/>
      <c r="C22" s="15"/>
      <c r="D22" s="10" t="s">
        <v>12</v>
      </c>
      <c r="E22" s="16"/>
      <c r="F22" s="17"/>
      <c r="G22" s="18">
        <f t="shared" si="0"/>
        <v>239</v>
      </c>
      <c r="H22" s="28"/>
      <c r="I22" s="7"/>
    </row>
    <row r="23" spans="1:9" ht="18" customHeight="1" x14ac:dyDescent="0.25">
      <c r="A23" s="14">
        <f t="shared" si="1"/>
        <v>15</v>
      </c>
      <c r="B23" s="8"/>
      <c r="C23" s="15"/>
      <c r="D23" s="10" t="s">
        <v>12</v>
      </c>
      <c r="E23" s="32"/>
      <c r="F23" s="17"/>
      <c r="G23" s="18">
        <f t="shared" si="0"/>
        <v>239</v>
      </c>
      <c r="H23" s="28"/>
      <c r="I23" s="7"/>
    </row>
    <row r="24" spans="1:9" ht="18" customHeight="1" x14ac:dyDescent="0.25">
      <c r="A24" s="14">
        <f t="shared" si="1"/>
        <v>16</v>
      </c>
      <c r="B24" s="8"/>
      <c r="C24" s="15"/>
      <c r="D24" s="10" t="s">
        <v>12</v>
      </c>
      <c r="E24" s="32"/>
      <c r="F24" s="17"/>
      <c r="G24" s="18">
        <f t="shared" si="0"/>
        <v>239</v>
      </c>
      <c r="H24" s="28"/>
      <c r="I24" s="7"/>
    </row>
    <row r="25" spans="1:9" ht="18" customHeight="1" x14ac:dyDescent="0.25">
      <c r="A25" s="14">
        <f t="shared" si="1"/>
        <v>17</v>
      </c>
      <c r="B25" s="8"/>
      <c r="C25" s="15"/>
      <c r="D25" s="10" t="s">
        <v>12</v>
      </c>
      <c r="E25" s="32"/>
      <c r="F25" s="17"/>
      <c r="G25" s="18">
        <f t="shared" si="0"/>
        <v>239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239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239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239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 t="shared" si="0"/>
        <v>239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27"/>
      <c r="G30" s="18">
        <f t="shared" si="0"/>
        <v>239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239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239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239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239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239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239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239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40"/>
      <c r="G38" s="18">
        <f t="shared" si="0"/>
        <v>239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239</v>
      </c>
      <c r="H39" s="28"/>
      <c r="I39" s="7"/>
    </row>
    <row r="40" spans="1:9" ht="18" customHeight="1" x14ac:dyDescent="0.25">
      <c r="A40" s="14">
        <f t="shared" si="1"/>
        <v>32</v>
      </c>
      <c r="B40" s="33"/>
      <c r="C40" s="15"/>
      <c r="D40" s="10" t="s">
        <v>12</v>
      </c>
      <c r="E40" s="126"/>
      <c r="F40" s="126"/>
      <c r="G40" s="18">
        <f t="shared" si="0"/>
        <v>239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207"/>
      <c r="G41" s="18">
        <f t="shared" si="0"/>
        <v>239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239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239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239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239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239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239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239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239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239</v>
      </c>
      <c r="H50" s="28"/>
      <c r="I50" s="13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239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239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239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239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239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239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239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239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239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239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239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239</v>
      </c>
      <c r="H62" s="28"/>
      <c r="I62" s="137"/>
    </row>
    <row r="63" spans="1:9" ht="18" customHeight="1" x14ac:dyDescent="0.25">
      <c r="A63" s="14">
        <f t="shared" si="1"/>
        <v>55</v>
      </c>
      <c r="B63" s="8"/>
      <c r="C63" s="15"/>
      <c r="D63" s="10" t="s">
        <v>12</v>
      </c>
      <c r="E63" s="32"/>
      <c r="F63" s="27"/>
      <c r="G63" s="18">
        <f t="shared" si="0"/>
        <v>239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239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239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239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239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239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239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239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239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239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ref="G73:G117" si="2">+G72+E73-F73</f>
        <v>239</v>
      </c>
      <c r="H73" s="28"/>
      <c r="I73" s="137"/>
    </row>
    <row r="74" spans="1:9" ht="18" customHeight="1" x14ac:dyDescent="0.25">
      <c r="A74" s="14">
        <f t="shared" ref="A74:A117" si="3">+A73+1</f>
        <v>66</v>
      </c>
      <c r="B74" s="8"/>
      <c r="C74" s="15"/>
      <c r="D74" s="10" t="s">
        <v>12</v>
      </c>
      <c r="E74" s="32"/>
      <c r="F74" s="27"/>
      <c r="G74" s="18">
        <f t="shared" si="2"/>
        <v>239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/>
      <c r="D75" s="10" t="s">
        <v>12</v>
      </c>
      <c r="E75" s="32"/>
      <c r="F75" s="27"/>
      <c r="G75" s="18">
        <f t="shared" si="2"/>
        <v>239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239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239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239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239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239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239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239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239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239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239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239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239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239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239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239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239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239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239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239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239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239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239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239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239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239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239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239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239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239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239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239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239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239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239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239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239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239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239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239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239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239</v>
      </c>
      <c r="H116" s="18"/>
      <c r="I116" s="7"/>
    </row>
    <row r="117" spans="1:9" x14ac:dyDescent="0.25">
      <c r="A117" s="14">
        <f t="shared" si="3"/>
        <v>109</v>
      </c>
      <c r="B117" s="33"/>
      <c r="C117" s="7"/>
      <c r="D117" s="14"/>
      <c r="E117" s="140"/>
      <c r="F117" s="141"/>
      <c r="G117" s="18">
        <f t="shared" si="2"/>
        <v>239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282</v>
      </c>
      <c r="G118" s="35">
        <f>+E118-F118+G8</f>
        <v>239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3BC2-4106-47F1-83BF-321BB613FD50}">
  <sheetPr codeName="Sheet57"/>
  <dimension ref="A1:J151"/>
  <sheetViews>
    <sheetView topLeftCell="A4" workbookViewId="0">
      <selection activeCell="F25" sqref="F25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531</v>
      </c>
      <c r="H8" s="7"/>
      <c r="I8" s="7"/>
    </row>
    <row r="9" spans="1:10" ht="18" customHeight="1" x14ac:dyDescent="0.25">
      <c r="A9" s="14">
        <v>1</v>
      </c>
      <c r="B9" s="39">
        <v>45677</v>
      </c>
      <c r="C9" s="15" t="s">
        <v>205</v>
      </c>
      <c r="D9" s="10" t="s">
        <v>12</v>
      </c>
      <c r="E9" s="51"/>
      <c r="F9" s="27">
        <v>38</v>
      </c>
      <c r="G9" s="18">
        <f t="shared" ref="G9:G72" si="0">+G8+E9-F9</f>
        <v>493</v>
      </c>
      <c r="H9" s="28"/>
      <c r="I9" s="7" t="s">
        <v>14</v>
      </c>
    </row>
    <row r="10" spans="1:10" ht="18" customHeight="1" x14ac:dyDescent="0.25">
      <c r="A10" s="14">
        <f t="shared" ref="A10:A73" si="1">+A9+1</f>
        <v>2</v>
      </c>
      <c r="B10" s="39">
        <v>45678</v>
      </c>
      <c r="C10" s="15" t="s">
        <v>205</v>
      </c>
      <c r="D10" s="10" t="s">
        <v>12</v>
      </c>
      <c r="E10" s="16"/>
      <c r="F10" s="27">
        <v>25</v>
      </c>
      <c r="G10" s="18">
        <f t="shared" si="0"/>
        <v>468</v>
      </c>
      <c r="H10" s="28" t="s">
        <v>129</v>
      </c>
      <c r="I10" s="7" t="s">
        <v>14</v>
      </c>
    </row>
    <row r="11" spans="1:10" ht="18" customHeight="1" x14ac:dyDescent="0.25">
      <c r="A11" s="14">
        <f t="shared" si="1"/>
        <v>3</v>
      </c>
      <c r="B11" s="8">
        <v>45747</v>
      </c>
      <c r="C11" s="15" t="s">
        <v>205</v>
      </c>
      <c r="D11" s="10" t="s">
        <v>12</v>
      </c>
      <c r="E11" s="16"/>
      <c r="F11" s="27">
        <v>30</v>
      </c>
      <c r="G11" s="18">
        <f t="shared" si="0"/>
        <v>438</v>
      </c>
      <c r="H11" s="28" t="s">
        <v>129</v>
      </c>
      <c r="I11" s="7" t="s">
        <v>14</v>
      </c>
    </row>
    <row r="12" spans="1:10" ht="18" customHeight="1" x14ac:dyDescent="0.25">
      <c r="A12" s="14">
        <f t="shared" si="1"/>
        <v>4</v>
      </c>
      <c r="B12" s="8">
        <v>45748</v>
      </c>
      <c r="C12" s="15" t="s">
        <v>205</v>
      </c>
      <c r="D12" s="10" t="s">
        <v>12</v>
      </c>
      <c r="E12" s="16"/>
      <c r="F12" s="27">
        <v>38</v>
      </c>
      <c r="G12" s="18">
        <f t="shared" si="0"/>
        <v>400</v>
      </c>
      <c r="H12" s="28" t="s">
        <v>129</v>
      </c>
      <c r="I12" s="7" t="s">
        <v>14</v>
      </c>
    </row>
    <row r="13" spans="1:10" ht="18" customHeight="1" x14ac:dyDescent="0.25">
      <c r="A13" s="14">
        <f t="shared" si="1"/>
        <v>5</v>
      </c>
      <c r="B13" s="205">
        <v>45749</v>
      </c>
      <c r="C13" s="15" t="s">
        <v>205</v>
      </c>
      <c r="D13" s="10" t="s">
        <v>12</v>
      </c>
      <c r="E13" s="16"/>
      <c r="F13" s="17">
        <v>4</v>
      </c>
      <c r="G13" s="18">
        <f t="shared" si="0"/>
        <v>396</v>
      </c>
      <c r="H13" s="28" t="s">
        <v>129</v>
      </c>
      <c r="I13" s="7" t="s">
        <v>14</v>
      </c>
    </row>
    <row r="14" spans="1:10" ht="18" customHeight="1" x14ac:dyDescent="0.25">
      <c r="A14" s="14">
        <f t="shared" si="1"/>
        <v>6</v>
      </c>
      <c r="B14" s="205">
        <v>45765</v>
      </c>
      <c r="C14" s="15" t="s">
        <v>205</v>
      </c>
      <c r="D14" s="10" t="s">
        <v>12</v>
      </c>
      <c r="E14" s="16"/>
      <c r="F14" s="27">
        <v>7</v>
      </c>
      <c r="G14" s="18">
        <f t="shared" si="0"/>
        <v>389</v>
      </c>
      <c r="H14" s="28" t="s">
        <v>129</v>
      </c>
      <c r="I14" s="7" t="s">
        <v>14</v>
      </c>
      <c r="J14" s="26"/>
    </row>
    <row r="15" spans="1:10" ht="18" customHeight="1" x14ac:dyDescent="0.25">
      <c r="A15" s="14">
        <f t="shared" si="1"/>
        <v>7</v>
      </c>
      <c r="B15" s="205">
        <v>45787</v>
      </c>
      <c r="C15" s="15" t="s">
        <v>205</v>
      </c>
      <c r="D15" s="10" t="s">
        <v>12</v>
      </c>
      <c r="E15" s="16"/>
      <c r="F15" s="17">
        <v>12</v>
      </c>
      <c r="G15" s="18">
        <f t="shared" si="0"/>
        <v>377</v>
      </c>
      <c r="H15" s="28" t="s">
        <v>129</v>
      </c>
      <c r="I15" s="7" t="s">
        <v>14</v>
      </c>
    </row>
    <row r="16" spans="1:10" ht="18" customHeight="1" x14ac:dyDescent="0.25">
      <c r="A16" s="14">
        <f t="shared" si="1"/>
        <v>8</v>
      </c>
      <c r="B16" s="206">
        <v>45791</v>
      </c>
      <c r="C16" s="15" t="s">
        <v>205</v>
      </c>
      <c r="D16" s="10" t="s">
        <v>12</v>
      </c>
      <c r="E16" s="16"/>
      <c r="F16" s="27">
        <v>12</v>
      </c>
      <c r="G16" s="18">
        <f t="shared" si="0"/>
        <v>365</v>
      </c>
      <c r="H16" s="28" t="s">
        <v>129</v>
      </c>
      <c r="I16" s="7" t="s">
        <v>14</v>
      </c>
    </row>
    <row r="17" spans="1:9" ht="18" customHeight="1" x14ac:dyDescent="0.25">
      <c r="A17" s="14">
        <f t="shared" si="1"/>
        <v>9</v>
      </c>
      <c r="B17" s="205">
        <v>45845</v>
      </c>
      <c r="C17" s="15" t="s">
        <v>205</v>
      </c>
      <c r="D17" s="10" t="s">
        <v>12</v>
      </c>
      <c r="E17" s="16"/>
      <c r="F17" s="27">
        <v>13</v>
      </c>
      <c r="G17" s="18">
        <f t="shared" si="0"/>
        <v>352</v>
      </c>
      <c r="H17" s="28" t="s">
        <v>129</v>
      </c>
      <c r="I17" s="7" t="s">
        <v>14</v>
      </c>
    </row>
    <row r="18" spans="1:9" ht="18" customHeight="1" x14ac:dyDescent="0.25">
      <c r="A18" s="14">
        <f t="shared" si="1"/>
        <v>10</v>
      </c>
      <c r="B18" s="8">
        <v>45846</v>
      </c>
      <c r="C18" s="15" t="s">
        <v>255</v>
      </c>
      <c r="D18" s="10" t="s">
        <v>12</v>
      </c>
      <c r="E18" s="16"/>
      <c r="F18" s="27">
        <v>30</v>
      </c>
      <c r="G18" s="18">
        <f t="shared" si="0"/>
        <v>322</v>
      </c>
      <c r="H18" s="28" t="s">
        <v>129</v>
      </c>
      <c r="I18" s="7" t="s">
        <v>14</v>
      </c>
    </row>
    <row r="19" spans="1:9" ht="18" customHeight="1" x14ac:dyDescent="0.25">
      <c r="A19" s="14">
        <f t="shared" si="1"/>
        <v>11</v>
      </c>
      <c r="B19" s="8">
        <v>45847</v>
      </c>
      <c r="C19" s="15" t="s">
        <v>256</v>
      </c>
      <c r="D19" s="10" t="s">
        <v>12</v>
      </c>
      <c r="E19" s="16"/>
      <c r="F19" s="27">
        <v>26</v>
      </c>
      <c r="G19" s="18">
        <f t="shared" si="0"/>
        <v>296</v>
      </c>
      <c r="H19" s="28" t="s">
        <v>129</v>
      </c>
      <c r="I19" s="7" t="s">
        <v>14</v>
      </c>
    </row>
    <row r="20" spans="1:9" ht="18" customHeight="1" x14ac:dyDescent="0.25">
      <c r="A20" s="14">
        <f t="shared" si="1"/>
        <v>12</v>
      </c>
      <c r="B20" s="8">
        <v>45848</v>
      </c>
      <c r="C20" s="15"/>
      <c r="D20" s="10" t="s">
        <v>12</v>
      </c>
      <c r="E20" s="16"/>
      <c r="F20" s="17">
        <v>29</v>
      </c>
      <c r="G20" s="18">
        <f t="shared" si="0"/>
        <v>267</v>
      </c>
      <c r="H20" s="28" t="s">
        <v>129</v>
      </c>
      <c r="I20" s="7" t="s">
        <v>14</v>
      </c>
    </row>
    <row r="21" spans="1:9" ht="18" customHeight="1" x14ac:dyDescent="0.25">
      <c r="A21" s="14">
        <f t="shared" si="1"/>
        <v>13</v>
      </c>
      <c r="B21" s="8">
        <v>45888</v>
      </c>
      <c r="C21" s="15"/>
      <c r="D21" s="10" t="s">
        <v>12</v>
      </c>
      <c r="E21" s="16"/>
      <c r="F21" s="17">
        <v>35</v>
      </c>
      <c r="G21" s="18">
        <f t="shared" si="0"/>
        <v>232</v>
      </c>
      <c r="H21" s="28" t="s">
        <v>129</v>
      </c>
      <c r="I21" s="7" t="s">
        <v>426</v>
      </c>
    </row>
    <row r="22" spans="1:9" ht="18" customHeight="1" x14ac:dyDescent="0.25">
      <c r="A22" s="14">
        <f t="shared" si="1"/>
        <v>14</v>
      </c>
      <c r="B22" s="8">
        <v>45891</v>
      </c>
      <c r="C22" s="15"/>
      <c r="D22" s="10" t="s">
        <v>12</v>
      </c>
      <c r="E22" s="16"/>
      <c r="F22" s="17">
        <v>42</v>
      </c>
      <c r="G22" s="18">
        <f t="shared" si="0"/>
        <v>190</v>
      </c>
      <c r="H22" s="28" t="s">
        <v>129</v>
      </c>
      <c r="I22" s="7"/>
    </row>
    <row r="23" spans="1:9" ht="18" customHeight="1" x14ac:dyDescent="0.25">
      <c r="A23" s="14">
        <f t="shared" si="1"/>
        <v>15</v>
      </c>
      <c r="B23" s="8">
        <v>45892</v>
      </c>
      <c r="C23" s="15"/>
      <c r="D23" s="10" t="s">
        <v>12</v>
      </c>
      <c r="E23" s="32"/>
      <c r="F23" s="17">
        <v>39</v>
      </c>
      <c r="G23" s="18">
        <f t="shared" si="0"/>
        <v>151</v>
      </c>
      <c r="H23" s="28"/>
      <c r="I23" s="7"/>
    </row>
    <row r="24" spans="1:9" ht="18" customHeight="1" x14ac:dyDescent="0.25">
      <c r="A24" s="14">
        <f t="shared" si="1"/>
        <v>16</v>
      </c>
      <c r="B24" s="8">
        <v>45894</v>
      </c>
      <c r="C24" s="15"/>
      <c r="D24" s="10" t="s">
        <v>12</v>
      </c>
      <c r="E24" s="32"/>
      <c r="F24" s="17">
        <v>41</v>
      </c>
      <c r="G24" s="18">
        <f t="shared" si="0"/>
        <v>110</v>
      </c>
      <c r="H24" s="28"/>
      <c r="I24" s="7"/>
    </row>
    <row r="25" spans="1:9" ht="18" customHeight="1" x14ac:dyDescent="0.25">
      <c r="A25" s="14">
        <f t="shared" si="1"/>
        <v>17</v>
      </c>
      <c r="B25" s="8">
        <v>45895</v>
      </c>
      <c r="C25" s="15"/>
      <c r="D25" s="10" t="s">
        <v>12</v>
      </c>
      <c r="E25" s="32"/>
      <c r="F25" s="17">
        <v>15</v>
      </c>
      <c r="G25" s="18">
        <f t="shared" si="0"/>
        <v>95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95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95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95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>+G28+E29-F29</f>
        <v>95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27"/>
      <c r="G30" s="18">
        <f t="shared" si="0"/>
        <v>95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95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95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95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95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95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95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95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40"/>
      <c r="G38" s="18">
        <f t="shared" si="0"/>
        <v>95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95</v>
      </c>
      <c r="H39" s="28"/>
      <c r="I39" s="7"/>
    </row>
    <row r="40" spans="1:9" ht="18" customHeight="1" x14ac:dyDescent="0.25">
      <c r="A40" s="14">
        <f t="shared" si="1"/>
        <v>32</v>
      </c>
      <c r="B40" s="33"/>
      <c r="C40" s="15"/>
      <c r="D40" s="10" t="s">
        <v>12</v>
      </c>
      <c r="E40" s="126"/>
      <c r="F40" s="126"/>
      <c r="G40" s="18">
        <f t="shared" si="0"/>
        <v>95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207"/>
      <c r="G41" s="18">
        <f t="shared" si="0"/>
        <v>95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95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95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95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95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95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95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95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95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95</v>
      </c>
      <c r="H50" s="28"/>
      <c r="I50" s="13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95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95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95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95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95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95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95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95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95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95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95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95</v>
      </c>
      <c r="H62" s="28"/>
      <c r="I62" s="137"/>
    </row>
    <row r="63" spans="1:9" ht="18" customHeight="1" x14ac:dyDescent="0.25">
      <c r="A63" s="14">
        <f t="shared" si="1"/>
        <v>55</v>
      </c>
      <c r="B63" s="8"/>
      <c r="C63" s="15"/>
      <c r="D63" s="10" t="s">
        <v>12</v>
      </c>
      <c r="E63" s="32"/>
      <c r="F63" s="27"/>
      <c r="G63" s="18">
        <f t="shared" si="0"/>
        <v>95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95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95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95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95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95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95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95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95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95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ref="G73:G117" si="2">+G72+E73-F73</f>
        <v>95</v>
      </c>
      <c r="H73" s="28"/>
      <c r="I73" s="137"/>
    </row>
    <row r="74" spans="1:9" ht="18" customHeight="1" x14ac:dyDescent="0.25">
      <c r="A74" s="14">
        <f t="shared" ref="A74:A117" si="3">+A73+1</f>
        <v>66</v>
      </c>
      <c r="B74" s="8"/>
      <c r="C74" s="15"/>
      <c r="D74" s="10" t="s">
        <v>12</v>
      </c>
      <c r="E74" s="32"/>
      <c r="F74" s="27"/>
      <c r="G74" s="18">
        <f t="shared" si="2"/>
        <v>95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/>
      <c r="D75" s="10" t="s">
        <v>12</v>
      </c>
      <c r="E75" s="32"/>
      <c r="F75" s="27"/>
      <c r="G75" s="18">
        <f t="shared" si="2"/>
        <v>95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95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95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95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95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95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95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95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95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95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95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95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95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95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95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95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95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95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95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95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95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95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95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95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95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95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95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95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95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95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95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95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95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95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95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95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95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95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95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95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95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95</v>
      </c>
      <c r="H116" s="18"/>
      <c r="I116" s="7"/>
    </row>
    <row r="117" spans="1:9" x14ac:dyDescent="0.25">
      <c r="A117" s="14">
        <f t="shared" si="3"/>
        <v>109</v>
      </c>
      <c r="B117" s="33"/>
      <c r="C117" s="7"/>
      <c r="D117" s="14"/>
      <c r="E117" s="140"/>
      <c r="F117" s="141"/>
      <c r="G117" s="18">
        <f t="shared" si="2"/>
        <v>95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436</v>
      </c>
      <c r="G118" s="35">
        <f>+E118-F118+G8</f>
        <v>95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honeticPr fontId="35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7874-E3A6-4694-946F-9FB75CC44C4E}">
  <sheetPr codeName="Sheet58"/>
  <dimension ref="A1:J151"/>
  <sheetViews>
    <sheetView workbookViewId="0">
      <selection activeCell="F15" sqref="F15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1060</v>
      </c>
      <c r="H8" s="7"/>
      <c r="I8" s="7"/>
    </row>
    <row r="9" spans="1:10" ht="18" customHeight="1" x14ac:dyDescent="0.25">
      <c r="A9" s="14">
        <v>1</v>
      </c>
      <c r="B9" s="39"/>
      <c r="C9" s="15" t="s">
        <v>208</v>
      </c>
      <c r="D9" s="10" t="s">
        <v>12</v>
      </c>
      <c r="E9" s="51"/>
      <c r="F9" s="27"/>
      <c r="G9" s="18">
        <f t="shared" ref="G9:G72" si="0">+G8+E9-F9</f>
        <v>1060</v>
      </c>
      <c r="H9" s="28"/>
      <c r="I9" s="7" t="s">
        <v>14</v>
      </c>
    </row>
    <row r="10" spans="1:10" ht="18" customHeight="1" x14ac:dyDescent="0.25">
      <c r="A10" s="14">
        <f t="shared" ref="A10:A73" si="1">+A9+1</f>
        <v>2</v>
      </c>
      <c r="B10" s="39"/>
      <c r="C10" s="15"/>
      <c r="D10" s="10" t="s">
        <v>12</v>
      </c>
      <c r="E10" s="16"/>
      <c r="F10" s="27"/>
      <c r="G10" s="18">
        <f t="shared" si="0"/>
        <v>1060</v>
      </c>
      <c r="H10" s="28"/>
      <c r="I10" s="7" t="s">
        <v>14</v>
      </c>
    </row>
    <row r="11" spans="1:10" ht="18" customHeight="1" x14ac:dyDescent="0.25">
      <c r="A11" s="14">
        <f t="shared" si="1"/>
        <v>3</v>
      </c>
      <c r="B11" s="8"/>
      <c r="C11" s="15"/>
      <c r="D11" s="10" t="s">
        <v>12</v>
      </c>
      <c r="E11" s="16"/>
      <c r="F11" s="27"/>
      <c r="G11" s="18">
        <f t="shared" si="0"/>
        <v>1060</v>
      </c>
      <c r="H11" s="28"/>
      <c r="I11" s="7" t="s">
        <v>14</v>
      </c>
    </row>
    <row r="12" spans="1:10" ht="18" customHeight="1" x14ac:dyDescent="0.25">
      <c r="A12" s="14">
        <f t="shared" si="1"/>
        <v>4</v>
      </c>
      <c r="B12" s="8"/>
      <c r="C12" s="15"/>
      <c r="D12" s="10" t="s">
        <v>12</v>
      </c>
      <c r="E12" s="16"/>
      <c r="F12" s="27"/>
      <c r="G12" s="18">
        <f t="shared" si="0"/>
        <v>1060</v>
      </c>
      <c r="H12" s="28"/>
      <c r="I12" s="7" t="s">
        <v>14</v>
      </c>
    </row>
    <row r="13" spans="1:10" ht="18" customHeight="1" x14ac:dyDescent="0.25">
      <c r="A13" s="14">
        <f t="shared" si="1"/>
        <v>5</v>
      </c>
      <c r="B13" s="205"/>
      <c r="C13" s="15"/>
      <c r="D13" s="10" t="s">
        <v>12</v>
      </c>
      <c r="E13" s="16"/>
      <c r="F13" s="17"/>
      <c r="G13" s="18">
        <f t="shared" si="0"/>
        <v>1060</v>
      </c>
      <c r="H13" s="28"/>
      <c r="I13" s="7" t="s">
        <v>14</v>
      </c>
    </row>
    <row r="14" spans="1:10" ht="18" customHeight="1" x14ac:dyDescent="0.25">
      <c r="A14" s="14">
        <f t="shared" si="1"/>
        <v>6</v>
      </c>
      <c r="B14" s="205"/>
      <c r="C14" s="15"/>
      <c r="D14" s="10" t="s">
        <v>12</v>
      </c>
      <c r="E14" s="16"/>
      <c r="F14" s="27"/>
      <c r="G14" s="18">
        <f t="shared" si="0"/>
        <v>1060</v>
      </c>
      <c r="H14" s="28"/>
      <c r="I14" s="7" t="s">
        <v>14</v>
      </c>
      <c r="J14" s="26"/>
    </row>
    <row r="15" spans="1:10" ht="18" customHeight="1" x14ac:dyDescent="0.25">
      <c r="A15" s="14">
        <f t="shared" si="1"/>
        <v>7</v>
      </c>
      <c r="B15" s="205"/>
      <c r="C15" s="15"/>
      <c r="D15" s="10" t="s">
        <v>12</v>
      </c>
      <c r="E15" s="16"/>
      <c r="F15" s="17"/>
      <c r="G15" s="18">
        <f t="shared" si="0"/>
        <v>1060</v>
      </c>
      <c r="H15" s="28"/>
      <c r="I15" s="7" t="s">
        <v>14</v>
      </c>
    </row>
    <row r="16" spans="1:10" ht="18" customHeight="1" x14ac:dyDescent="0.25">
      <c r="A16" s="14">
        <f t="shared" si="1"/>
        <v>8</v>
      </c>
      <c r="B16" s="206"/>
      <c r="C16" s="15"/>
      <c r="D16" s="10" t="s">
        <v>12</v>
      </c>
      <c r="E16" s="16"/>
      <c r="F16" s="27"/>
      <c r="G16" s="18">
        <f t="shared" si="0"/>
        <v>1060</v>
      </c>
      <c r="H16" s="28"/>
      <c r="I16" s="7" t="s">
        <v>14</v>
      </c>
    </row>
    <row r="17" spans="1:9" ht="18" customHeight="1" x14ac:dyDescent="0.25">
      <c r="A17" s="14">
        <f t="shared" si="1"/>
        <v>9</v>
      </c>
      <c r="B17" s="205"/>
      <c r="C17" s="15"/>
      <c r="D17" s="10" t="s">
        <v>12</v>
      </c>
      <c r="E17" s="16"/>
      <c r="F17" s="27"/>
      <c r="G17" s="18">
        <f t="shared" si="0"/>
        <v>1060</v>
      </c>
      <c r="H17" s="28"/>
      <c r="I17" s="7" t="s">
        <v>14</v>
      </c>
    </row>
    <row r="18" spans="1:9" ht="18" customHeight="1" x14ac:dyDescent="0.25">
      <c r="A18" s="14">
        <f t="shared" si="1"/>
        <v>10</v>
      </c>
      <c r="B18" s="8"/>
      <c r="C18" s="15"/>
      <c r="D18" s="10" t="s">
        <v>12</v>
      </c>
      <c r="E18" s="16"/>
      <c r="F18" s="27"/>
      <c r="G18" s="18">
        <f t="shared" si="0"/>
        <v>1060</v>
      </c>
      <c r="H18" s="28"/>
      <c r="I18" s="7" t="s">
        <v>14</v>
      </c>
    </row>
    <row r="19" spans="1:9" ht="18" customHeight="1" x14ac:dyDescent="0.25">
      <c r="A19" s="14">
        <f t="shared" si="1"/>
        <v>11</v>
      </c>
      <c r="B19" s="8"/>
      <c r="C19" s="15"/>
      <c r="D19" s="10" t="s">
        <v>12</v>
      </c>
      <c r="E19" s="16"/>
      <c r="F19" s="27"/>
      <c r="G19" s="18">
        <f t="shared" si="0"/>
        <v>1060</v>
      </c>
      <c r="H19" s="28"/>
      <c r="I19" s="7" t="s">
        <v>14</v>
      </c>
    </row>
    <row r="20" spans="1:9" ht="18" customHeight="1" x14ac:dyDescent="0.25">
      <c r="A20" s="14">
        <f t="shared" si="1"/>
        <v>12</v>
      </c>
      <c r="B20" s="8"/>
      <c r="C20" s="15"/>
      <c r="D20" s="10" t="s">
        <v>12</v>
      </c>
      <c r="E20" s="16"/>
      <c r="F20" s="17"/>
      <c r="G20" s="18">
        <f t="shared" si="0"/>
        <v>1060</v>
      </c>
      <c r="H20" s="28"/>
      <c r="I20" s="7" t="s">
        <v>14</v>
      </c>
    </row>
    <row r="21" spans="1:9" ht="18" customHeight="1" x14ac:dyDescent="0.25">
      <c r="A21" s="14">
        <f t="shared" si="1"/>
        <v>13</v>
      </c>
      <c r="B21" s="8"/>
      <c r="C21" s="15"/>
      <c r="D21" s="10" t="s">
        <v>12</v>
      </c>
      <c r="E21" s="16"/>
      <c r="F21" s="17"/>
      <c r="G21" s="18">
        <f t="shared" si="0"/>
        <v>1060</v>
      </c>
      <c r="H21" s="28"/>
      <c r="I21" s="7"/>
    </row>
    <row r="22" spans="1:9" ht="18" customHeight="1" x14ac:dyDescent="0.25">
      <c r="A22" s="14">
        <f t="shared" si="1"/>
        <v>14</v>
      </c>
      <c r="B22" s="8"/>
      <c r="C22" s="15"/>
      <c r="D22" s="10" t="s">
        <v>12</v>
      </c>
      <c r="E22" s="16"/>
      <c r="F22" s="17"/>
      <c r="G22" s="18">
        <f t="shared" si="0"/>
        <v>1060</v>
      </c>
      <c r="H22" s="28"/>
      <c r="I22" s="7"/>
    </row>
    <row r="23" spans="1:9" ht="18" customHeight="1" x14ac:dyDescent="0.25">
      <c r="A23" s="14">
        <f t="shared" si="1"/>
        <v>15</v>
      </c>
      <c r="B23" s="8"/>
      <c r="C23" s="15"/>
      <c r="D23" s="10" t="s">
        <v>12</v>
      </c>
      <c r="E23" s="32"/>
      <c r="F23" s="17"/>
      <c r="G23" s="18">
        <f t="shared" si="0"/>
        <v>1060</v>
      </c>
      <c r="H23" s="28"/>
      <c r="I23" s="7"/>
    </row>
    <row r="24" spans="1:9" ht="18" customHeight="1" x14ac:dyDescent="0.25">
      <c r="A24" s="14">
        <f t="shared" si="1"/>
        <v>16</v>
      </c>
      <c r="B24" s="8"/>
      <c r="C24" s="15"/>
      <c r="D24" s="10" t="s">
        <v>12</v>
      </c>
      <c r="E24" s="32"/>
      <c r="F24" s="17"/>
      <c r="G24" s="18">
        <f t="shared" si="0"/>
        <v>1060</v>
      </c>
      <c r="H24" s="28"/>
      <c r="I24" s="7"/>
    </row>
    <row r="25" spans="1:9" ht="18" customHeight="1" x14ac:dyDescent="0.25">
      <c r="A25" s="14">
        <f t="shared" si="1"/>
        <v>17</v>
      </c>
      <c r="B25" s="8"/>
      <c r="C25" s="15"/>
      <c r="D25" s="10" t="s">
        <v>12</v>
      </c>
      <c r="E25" s="32"/>
      <c r="F25" s="17"/>
      <c r="G25" s="18">
        <f t="shared" si="0"/>
        <v>1060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1060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1060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1060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>+G28+E29-F29</f>
        <v>1060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27"/>
      <c r="G30" s="18">
        <f t="shared" si="0"/>
        <v>1060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1060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1060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1060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1060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1060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1060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1060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40"/>
      <c r="G38" s="18">
        <f t="shared" si="0"/>
        <v>1060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1060</v>
      </c>
      <c r="H39" s="28"/>
      <c r="I39" s="7"/>
    </row>
    <row r="40" spans="1:9" ht="18" customHeight="1" x14ac:dyDescent="0.25">
      <c r="A40" s="14">
        <f t="shared" si="1"/>
        <v>32</v>
      </c>
      <c r="B40" s="33"/>
      <c r="C40" s="15"/>
      <c r="D40" s="10" t="s">
        <v>12</v>
      </c>
      <c r="E40" s="126"/>
      <c r="F40" s="126"/>
      <c r="G40" s="18">
        <f t="shared" si="0"/>
        <v>1060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207"/>
      <c r="G41" s="18">
        <f t="shared" si="0"/>
        <v>1060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1060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1060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1060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1060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1060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1060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1060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1060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1060</v>
      </c>
      <c r="H50" s="28"/>
      <c r="I50" s="13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1060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1060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1060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1060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1060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1060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1060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1060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1060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1060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1060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1060</v>
      </c>
      <c r="H62" s="28"/>
      <c r="I62" s="137"/>
    </row>
    <row r="63" spans="1:9" ht="18" customHeight="1" x14ac:dyDescent="0.25">
      <c r="A63" s="14">
        <f t="shared" si="1"/>
        <v>55</v>
      </c>
      <c r="B63" s="8"/>
      <c r="C63" s="15"/>
      <c r="D63" s="10" t="s">
        <v>12</v>
      </c>
      <c r="E63" s="32"/>
      <c r="F63" s="27"/>
      <c r="G63" s="18">
        <f t="shared" si="0"/>
        <v>1060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1060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1060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1060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1060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1060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1060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1060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1060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1060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ref="G73:G117" si="2">+G72+E73-F73</f>
        <v>1060</v>
      </c>
      <c r="H73" s="28"/>
      <c r="I73" s="137"/>
    </row>
    <row r="74" spans="1:9" ht="18" customHeight="1" x14ac:dyDescent="0.25">
      <c r="A74" s="14">
        <f t="shared" ref="A74:A117" si="3">+A73+1</f>
        <v>66</v>
      </c>
      <c r="B74" s="8"/>
      <c r="C74" s="15"/>
      <c r="D74" s="10" t="s">
        <v>12</v>
      </c>
      <c r="E74" s="32"/>
      <c r="F74" s="27"/>
      <c r="G74" s="18">
        <f t="shared" si="2"/>
        <v>1060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/>
      <c r="D75" s="10" t="s">
        <v>12</v>
      </c>
      <c r="E75" s="32"/>
      <c r="F75" s="27"/>
      <c r="G75" s="18">
        <f t="shared" si="2"/>
        <v>1060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1060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1060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1060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1060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1060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1060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1060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1060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1060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1060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1060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1060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1060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1060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1060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1060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1060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1060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1060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1060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1060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1060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1060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1060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1060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1060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1060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1060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1060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1060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1060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1060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1060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1060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1060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1060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1060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1060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1060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1060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1060</v>
      </c>
      <c r="H116" s="18"/>
      <c r="I116" s="7"/>
    </row>
    <row r="117" spans="1:9" x14ac:dyDescent="0.25">
      <c r="A117" s="14">
        <f t="shared" si="3"/>
        <v>109</v>
      </c>
      <c r="B117" s="33"/>
      <c r="C117" s="7"/>
      <c r="D117" s="14"/>
      <c r="E117" s="140"/>
      <c r="F117" s="141"/>
      <c r="G117" s="18">
        <f t="shared" si="2"/>
        <v>1060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0</v>
      </c>
      <c r="G118" s="35">
        <f>+E118-F118+G8</f>
        <v>1060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F959-5988-417E-B502-63E0FEEBC9DE}">
  <sheetPr codeName="Sheet59"/>
  <dimension ref="A1:J151"/>
  <sheetViews>
    <sheetView workbookViewId="0">
      <selection activeCell="B9" sqref="B9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605</v>
      </c>
      <c r="H8" s="7"/>
      <c r="I8" s="7"/>
    </row>
    <row r="9" spans="1:10" ht="18" customHeight="1" x14ac:dyDescent="0.25">
      <c r="A9" s="14">
        <v>1</v>
      </c>
      <c r="B9" s="39"/>
      <c r="C9" s="15" t="s">
        <v>209</v>
      </c>
      <c r="D9" s="10" t="s">
        <v>12</v>
      </c>
      <c r="E9" s="51"/>
      <c r="F9" s="27"/>
      <c r="G9" s="18">
        <f t="shared" ref="G9:G72" si="0">+G8+E9-F9</f>
        <v>605</v>
      </c>
      <c r="H9" s="28"/>
      <c r="I9" s="7" t="s">
        <v>14</v>
      </c>
    </row>
    <row r="10" spans="1:10" ht="18" customHeight="1" x14ac:dyDescent="0.25">
      <c r="A10" s="14">
        <f t="shared" ref="A10:A73" si="1">+A9+1</f>
        <v>2</v>
      </c>
      <c r="B10" s="39"/>
      <c r="C10" s="15" t="s">
        <v>209</v>
      </c>
      <c r="D10" s="10" t="s">
        <v>12</v>
      </c>
      <c r="E10" s="16"/>
      <c r="F10" s="27"/>
      <c r="G10" s="18">
        <f t="shared" si="0"/>
        <v>605</v>
      </c>
      <c r="H10" s="28" t="s">
        <v>129</v>
      </c>
      <c r="I10" s="7" t="s">
        <v>14</v>
      </c>
    </row>
    <row r="11" spans="1:10" ht="18" customHeight="1" x14ac:dyDescent="0.25">
      <c r="A11" s="14">
        <f t="shared" si="1"/>
        <v>3</v>
      </c>
      <c r="B11" s="8"/>
      <c r="C11" s="15" t="s">
        <v>209</v>
      </c>
      <c r="D11" s="10" t="s">
        <v>12</v>
      </c>
      <c r="E11" s="16"/>
      <c r="F11" s="27"/>
      <c r="G11" s="18">
        <f t="shared" si="0"/>
        <v>605</v>
      </c>
      <c r="H11" s="28" t="s">
        <v>129</v>
      </c>
      <c r="I11" s="7" t="s">
        <v>14</v>
      </c>
    </row>
    <row r="12" spans="1:10" ht="18" customHeight="1" x14ac:dyDescent="0.25">
      <c r="A12" s="14">
        <f t="shared" si="1"/>
        <v>4</v>
      </c>
      <c r="B12" s="8"/>
      <c r="C12" s="15" t="s">
        <v>209</v>
      </c>
      <c r="D12" s="10" t="s">
        <v>12</v>
      </c>
      <c r="E12" s="16"/>
      <c r="F12" s="27"/>
      <c r="G12" s="18">
        <f t="shared" si="0"/>
        <v>605</v>
      </c>
      <c r="H12" s="28"/>
      <c r="I12" s="7" t="s">
        <v>14</v>
      </c>
    </row>
    <row r="13" spans="1:10" ht="18" customHeight="1" x14ac:dyDescent="0.25">
      <c r="A13" s="14">
        <f t="shared" si="1"/>
        <v>5</v>
      </c>
      <c r="B13" s="205"/>
      <c r="C13" s="15" t="s">
        <v>209</v>
      </c>
      <c r="D13" s="10" t="s">
        <v>12</v>
      </c>
      <c r="E13" s="16"/>
      <c r="F13" s="17"/>
      <c r="G13" s="18">
        <f t="shared" si="0"/>
        <v>605</v>
      </c>
      <c r="H13" s="28"/>
      <c r="I13" s="7" t="s">
        <v>14</v>
      </c>
    </row>
    <row r="14" spans="1:10" ht="18" customHeight="1" x14ac:dyDescent="0.25">
      <c r="A14" s="14">
        <f t="shared" si="1"/>
        <v>6</v>
      </c>
      <c r="B14" s="205"/>
      <c r="C14" s="15" t="s">
        <v>209</v>
      </c>
      <c r="D14" s="10" t="s">
        <v>12</v>
      </c>
      <c r="E14" s="16"/>
      <c r="F14" s="27"/>
      <c r="G14" s="18">
        <f t="shared" si="0"/>
        <v>605</v>
      </c>
      <c r="H14" s="28" t="s">
        <v>129</v>
      </c>
      <c r="I14" s="7" t="s">
        <v>14</v>
      </c>
      <c r="J14" s="26"/>
    </row>
    <row r="15" spans="1:10" ht="18" customHeight="1" x14ac:dyDescent="0.25">
      <c r="A15" s="14">
        <f t="shared" si="1"/>
        <v>7</v>
      </c>
      <c r="B15" s="205"/>
      <c r="C15" s="15" t="s">
        <v>209</v>
      </c>
      <c r="D15" s="10" t="s">
        <v>12</v>
      </c>
      <c r="E15" s="16"/>
      <c r="F15" s="17"/>
      <c r="G15" s="18">
        <f t="shared" si="0"/>
        <v>605</v>
      </c>
      <c r="H15" s="28" t="s">
        <v>129</v>
      </c>
      <c r="I15" s="7" t="s">
        <v>14</v>
      </c>
    </row>
    <row r="16" spans="1:10" ht="18" customHeight="1" x14ac:dyDescent="0.25">
      <c r="A16" s="14">
        <f t="shared" si="1"/>
        <v>8</v>
      </c>
      <c r="B16" s="206"/>
      <c r="C16" s="15" t="s">
        <v>209</v>
      </c>
      <c r="D16" s="10" t="s">
        <v>12</v>
      </c>
      <c r="E16" s="16"/>
      <c r="F16" s="27"/>
      <c r="G16" s="18">
        <f t="shared" si="0"/>
        <v>605</v>
      </c>
      <c r="H16" s="28" t="s">
        <v>129</v>
      </c>
      <c r="I16" s="7" t="s">
        <v>14</v>
      </c>
    </row>
    <row r="17" spans="1:9" ht="18" customHeight="1" x14ac:dyDescent="0.25">
      <c r="A17" s="14">
        <f t="shared" si="1"/>
        <v>9</v>
      </c>
      <c r="B17" s="205"/>
      <c r="C17" s="15"/>
      <c r="D17" s="10" t="s">
        <v>12</v>
      </c>
      <c r="E17" s="16"/>
      <c r="F17" s="27"/>
      <c r="G17" s="18">
        <f t="shared" si="0"/>
        <v>605</v>
      </c>
      <c r="H17" s="28"/>
      <c r="I17" s="7" t="s">
        <v>14</v>
      </c>
    </row>
    <row r="18" spans="1:9" ht="18" customHeight="1" x14ac:dyDescent="0.25">
      <c r="A18" s="14">
        <f t="shared" si="1"/>
        <v>10</v>
      </c>
      <c r="B18" s="8"/>
      <c r="C18" s="15"/>
      <c r="D18" s="10" t="s">
        <v>12</v>
      </c>
      <c r="E18" s="16"/>
      <c r="F18" s="27"/>
      <c r="G18" s="18">
        <f t="shared" si="0"/>
        <v>605</v>
      </c>
      <c r="H18" s="28"/>
      <c r="I18" s="7" t="s">
        <v>14</v>
      </c>
    </row>
    <row r="19" spans="1:9" ht="18" customHeight="1" x14ac:dyDescent="0.25">
      <c r="A19" s="14">
        <f t="shared" si="1"/>
        <v>11</v>
      </c>
      <c r="B19" s="8"/>
      <c r="C19" s="15"/>
      <c r="D19" s="10" t="s">
        <v>12</v>
      </c>
      <c r="E19" s="16"/>
      <c r="F19" s="27"/>
      <c r="G19" s="18">
        <f t="shared" si="0"/>
        <v>605</v>
      </c>
      <c r="H19" s="28"/>
      <c r="I19" s="7" t="s">
        <v>14</v>
      </c>
    </row>
    <row r="20" spans="1:9" ht="18" customHeight="1" x14ac:dyDescent="0.25">
      <c r="A20" s="14">
        <f t="shared" si="1"/>
        <v>12</v>
      </c>
      <c r="B20" s="8"/>
      <c r="C20" s="15"/>
      <c r="D20" s="10" t="s">
        <v>12</v>
      </c>
      <c r="E20" s="16"/>
      <c r="F20" s="17"/>
      <c r="G20" s="18">
        <f t="shared" si="0"/>
        <v>605</v>
      </c>
      <c r="H20" s="28"/>
      <c r="I20" s="7" t="s">
        <v>14</v>
      </c>
    </row>
    <row r="21" spans="1:9" ht="18" customHeight="1" x14ac:dyDescent="0.25">
      <c r="A21" s="14">
        <f t="shared" si="1"/>
        <v>13</v>
      </c>
      <c r="B21" s="8"/>
      <c r="C21" s="15"/>
      <c r="D21" s="10" t="s">
        <v>12</v>
      </c>
      <c r="E21" s="16"/>
      <c r="F21" s="17"/>
      <c r="G21" s="18">
        <f t="shared" si="0"/>
        <v>605</v>
      </c>
      <c r="H21" s="28"/>
      <c r="I21" s="7"/>
    </row>
    <row r="22" spans="1:9" ht="18" customHeight="1" x14ac:dyDescent="0.25">
      <c r="A22" s="14">
        <f t="shared" si="1"/>
        <v>14</v>
      </c>
      <c r="B22" s="8"/>
      <c r="C22" s="15"/>
      <c r="D22" s="10" t="s">
        <v>12</v>
      </c>
      <c r="E22" s="16"/>
      <c r="F22" s="17"/>
      <c r="G22" s="18">
        <f t="shared" si="0"/>
        <v>605</v>
      </c>
      <c r="H22" s="28"/>
      <c r="I22" s="7"/>
    </row>
    <row r="23" spans="1:9" ht="18" customHeight="1" x14ac:dyDescent="0.25">
      <c r="A23" s="14">
        <f t="shared" si="1"/>
        <v>15</v>
      </c>
      <c r="B23" s="8"/>
      <c r="C23" s="15"/>
      <c r="D23" s="10" t="s">
        <v>12</v>
      </c>
      <c r="E23" s="32"/>
      <c r="F23" s="17"/>
      <c r="G23" s="18">
        <f t="shared" si="0"/>
        <v>605</v>
      </c>
      <c r="H23" s="28"/>
      <c r="I23" s="7"/>
    </row>
    <row r="24" spans="1:9" ht="18" customHeight="1" x14ac:dyDescent="0.25">
      <c r="A24" s="14">
        <f t="shared" si="1"/>
        <v>16</v>
      </c>
      <c r="B24" s="8"/>
      <c r="C24" s="15"/>
      <c r="D24" s="10" t="s">
        <v>12</v>
      </c>
      <c r="E24" s="32"/>
      <c r="F24" s="17"/>
      <c r="G24" s="18">
        <f t="shared" si="0"/>
        <v>605</v>
      </c>
      <c r="H24" s="28"/>
      <c r="I24" s="7"/>
    </row>
    <row r="25" spans="1:9" ht="18" customHeight="1" x14ac:dyDescent="0.25">
      <c r="A25" s="14">
        <f t="shared" si="1"/>
        <v>17</v>
      </c>
      <c r="B25" s="8"/>
      <c r="C25" s="15"/>
      <c r="D25" s="10" t="s">
        <v>12</v>
      </c>
      <c r="E25" s="32"/>
      <c r="F25" s="17"/>
      <c r="G25" s="18">
        <f t="shared" si="0"/>
        <v>605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605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605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605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>+G28+E29-F29</f>
        <v>605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27"/>
      <c r="G30" s="18">
        <f t="shared" si="0"/>
        <v>605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605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605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605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605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605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605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605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40"/>
      <c r="G38" s="18">
        <f t="shared" si="0"/>
        <v>605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605</v>
      </c>
      <c r="H39" s="28"/>
      <c r="I39" s="7"/>
    </row>
    <row r="40" spans="1:9" ht="18" customHeight="1" x14ac:dyDescent="0.25">
      <c r="A40" s="14">
        <f t="shared" si="1"/>
        <v>32</v>
      </c>
      <c r="B40" s="33"/>
      <c r="C40" s="15"/>
      <c r="D40" s="10" t="s">
        <v>12</v>
      </c>
      <c r="E40" s="126"/>
      <c r="F40" s="126"/>
      <c r="G40" s="18">
        <f t="shared" si="0"/>
        <v>605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207"/>
      <c r="G41" s="18">
        <f t="shared" si="0"/>
        <v>605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605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605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605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605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605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605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605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605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605</v>
      </c>
      <c r="H50" s="28"/>
      <c r="I50" s="13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605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605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605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605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605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605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605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605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605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605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605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605</v>
      </c>
      <c r="H62" s="28"/>
      <c r="I62" s="137"/>
    </row>
    <row r="63" spans="1:9" ht="18" customHeight="1" x14ac:dyDescent="0.25">
      <c r="A63" s="14">
        <f t="shared" si="1"/>
        <v>55</v>
      </c>
      <c r="B63" s="8"/>
      <c r="C63" s="15"/>
      <c r="D63" s="10" t="s">
        <v>12</v>
      </c>
      <c r="E63" s="32"/>
      <c r="F63" s="27"/>
      <c r="G63" s="18">
        <f t="shared" si="0"/>
        <v>605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605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605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605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605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605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605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605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605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605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ref="G73:G117" si="2">+G72+E73-F73</f>
        <v>605</v>
      </c>
      <c r="H73" s="28"/>
      <c r="I73" s="137"/>
    </row>
    <row r="74" spans="1:9" ht="18" customHeight="1" x14ac:dyDescent="0.25">
      <c r="A74" s="14">
        <f t="shared" ref="A74:A117" si="3">+A73+1</f>
        <v>66</v>
      </c>
      <c r="B74" s="8"/>
      <c r="C74" s="15"/>
      <c r="D74" s="10" t="s">
        <v>12</v>
      </c>
      <c r="E74" s="32"/>
      <c r="F74" s="27"/>
      <c r="G74" s="18">
        <f t="shared" si="2"/>
        <v>605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/>
      <c r="D75" s="10" t="s">
        <v>12</v>
      </c>
      <c r="E75" s="32"/>
      <c r="F75" s="27"/>
      <c r="G75" s="18">
        <f t="shared" si="2"/>
        <v>605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605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605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605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605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605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605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605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605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605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605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605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605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605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605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605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605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605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605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605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605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605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605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605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605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605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605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605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605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605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605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605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605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605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605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605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605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605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605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605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605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605</v>
      </c>
      <c r="H116" s="18"/>
      <c r="I116" s="7"/>
    </row>
    <row r="117" spans="1:9" x14ac:dyDescent="0.25">
      <c r="A117" s="14">
        <f t="shared" si="3"/>
        <v>109</v>
      </c>
      <c r="B117" s="33"/>
      <c r="C117" s="7"/>
      <c r="D117" s="14"/>
      <c r="E117" s="140"/>
      <c r="F117" s="141"/>
      <c r="G117" s="18">
        <f t="shared" si="2"/>
        <v>605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0</v>
      </c>
      <c r="G118" s="35">
        <f>+E118-F118+G8</f>
        <v>605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7890-C46F-4972-B215-38D87F3A7E5F}">
  <sheetPr codeName="Sheet60"/>
  <dimension ref="A1:J152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671</v>
      </c>
      <c r="H8" s="7"/>
      <c r="I8" s="7"/>
    </row>
    <row r="9" spans="1:10" ht="18" customHeight="1" x14ac:dyDescent="0.25">
      <c r="A9" s="14">
        <v>1</v>
      </c>
      <c r="B9" s="39">
        <v>45746</v>
      </c>
      <c r="C9" s="15" t="s">
        <v>210</v>
      </c>
      <c r="D9" s="10" t="s">
        <v>12</v>
      </c>
      <c r="E9" s="51"/>
      <c r="F9" s="27"/>
      <c r="G9" s="18">
        <f t="shared" ref="G9:G73" si="0">+G8+E9-F9</f>
        <v>671</v>
      </c>
      <c r="H9" s="28"/>
      <c r="I9" s="7" t="s">
        <v>14</v>
      </c>
    </row>
    <row r="10" spans="1:10" ht="18" customHeight="1" x14ac:dyDescent="0.25">
      <c r="A10" s="14">
        <f t="shared" ref="A10:A74" si="1">+A9+1</f>
        <v>2</v>
      </c>
      <c r="B10" s="39">
        <v>45749</v>
      </c>
      <c r="C10" s="15" t="s">
        <v>210</v>
      </c>
      <c r="D10" s="10" t="s">
        <v>12</v>
      </c>
      <c r="E10" s="16"/>
      <c r="F10" s="27"/>
      <c r="G10" s="18">
        <f t="shared" si="0"/>
        <v>671</v>
      </c>
      <c r="H10" s="28" t="s">
        <v>129</v>
      </c>
      <c r="I10" s="7" t="s">
        <v>14</v>
      </c>
    </row>
    <row r="11" spans="1:10" ht="18" customHeight="1" x14ac:dyDescent="0.25">
      <c r="A11" s="14">
        <f t="shared" si="1"/>
        <v>3</v>
      </c>
      <c r="B11" s="39">
        <v>45750</v>
      </c>
      <c r="C11" s="15" t="s">
        <v>210</v>
      </c>
      <c r="D11" s="10"/>
      <c r="E11" s="16"/>
      <c r="F11" s="27"/>
      <c r="G11" s="18">
        <f t="shared" si="0"/>
        <v>671</v>
      </c>
      <c r="H11" s="28"/>
      <c r="I11" s="7"/>
    </row>
    <row r="12" spans="1:10" ht="18" customHeight="1" x14ac:dyDescent="0.25">
      <c r="A12" s="14">
        <f t="shared" si="1"/>
        <v>4</v>
      </c>
      <c r="B12" s="8">
        <v>45751</v>
      </c>
      <c r="C12" s="15" t="s">
        <v>210</v>
      </c>
      <c r="D12" s="10" t="s">
        <v>12</v>
      </c>
      <c r="E12" s="16"/>
      <c r="F12" s="27"/>
      <c r="G12" s="18">
        <f t="shared" si="0"/>
        <v>671</v>
      </c>
      <c r="H12" s="28" t="s">
        <v>129</v>
      </c>
      <c r="I12" s="7" t="s">
        <v>14</v>
      </c>
    </row>
    <row r="13" spans="1:10" ht="18" customHeight="1" x14ac:dyDescent="0.25">
      <c r="A13" s="14">
        <f t="shared" si="1"/>
        <v>5</v>
      </c>
      <c r="B13" s="8">
        <v>45752</v>
      </c>
      <c r="C13" s="15" t="s">
        <v>210</v>
      </c>
      <c r="D13" s="10" t="s">
        <v>12</v>
      </c>
      <c r="E13" s="16"/>
      <c r="F13" s="27"/>
      <c r="G13" s="18">
        <f t="shared" si="0"/>
        <v>671</v>
      </c>
      <c r="H13" s="28" t="s">
        <v>129</v>
      </c>
      <c r="I13" s="7" t="s">
        <v>14</v>
      </c>
    </row>
    <row r="14" spans="1:10" ht="18" customHeight="1" x14ac:dyDescent="0.25">
      <c r="A14" s="14">
        <f t="shared" si="1"/>
        <v>6</v>
      </c>
      <c r="B14" s="205">
        <v>45755</v>
      </c>
      <c r="C14" s="15" t="s">
        <v>210</v>
      </c>
      <c r="D14" s="10" t="s">
        <v>12</v>
      </c>
      <c r="E14" s="16"/>
      <c r="F14" s="17"/>
      <c r="G14" s="18">
        <f t="shared" si="0"/>
        <v>671</v>
      </c>
      <c r="H14" s="28" t="s">
        <v>129</v>
      </c>
      <c r="I14" s="7" t="s">
        <v>14</v>
      </c>
    </row>
    <row r="15" spans="1:10" ht="18" customHeight="1" x14ac:dyDescent="0.25">
      <c r="A15" s="14">
        <f t="shared" si="1"/>
        <v>7</v>
      </c>
      <c r="B15" s="205"/>
      <c r="C15" s="15"/>
      <c r="D15" s="10" t="s">
        <v>12</v>
      </c>
      <c r="E15" s="16"/>
      <c r="F15" s="27"/>
      <c r="G15" s="18">
        <f t="shared" si="0"/>
        <v>671</v>
      </c>
      <c r="H15" s="28"/>
      <c r="I15" s="7" t="s">
        <v>14</v>
      </c>
      <c r="J15" s="26"/>
    </row>
    <row r="16" spans="1:10" ht="18" customHeight="1" x14ac:dyDescent="0.25">
      <c r="A16" s="14">
        <f t="shared" si="1"/>
        <v>8</v>
      </c>
      <c r="B16" s="205"/>
      <c r="C16" s="15"/>
      <c r="D16" s="10" t="s">
        <v>12</v>
      </c>
      <c r="E16" s="16"/>
      <c r="F16" s="17"/>
      <c r="G16" s="18">
        <f t="shared" si="0"/>
        <v>671</v>
      </c>
      <c r="H16" s="28"/>
      <c r="I16" s="7" t="s">
        <v>14</v>
      </c>
    </row>
    <row r="17" spans="1:9" ht="18" customHeight="1" x14ac:dyDescent="0.25">
      <c r="A17" s="14">
        <f t="shared" si="1"/>
        <v>9</v>
      </c>
      <c r="B17" s="206"/>
      <c r="C17" s="15"/>
      <c r="D17" s="10" t="s">
        <v>12</v>
      </c>
      <c r="E17" s="16"/>
      <c r="F17" s="27"/>
      <c r="G17" s="18">
        <f t="shared" si="0"/>
        <v>671</v>
      </c>
      <c r="H17" s="28"/>
      <c r="I17" s="7" t="s">
        <v>14</v>
      </c>
    </row>
    <row r="18" spans="1:9" ht="18" customHeight="1" x14ac:dyDescent="0.25">
      <c r="A18" s="14">
        <f t="shared" si="1"/>
        <v>10</v>
      </c>
      <c r="B18" s="205"/>
      <c r="C18" s="15"/>
      <c r="D18" s="10" t="s">
        <v>12</v>
      </c>
      <c r="E18" s="16"/>
      <c r="F18" s="27"/>
      <c r="G18" s="18">
        <f t="shared" si="0"/>
        <v>671</v>
      </c>
      <c r="H18" s="28"/>
      <c r="I18" s="7" t="s">
        <v>14</v>
      </c>
    </row>
    <row r="19" spans="1:9" ht="18" customHeight="1" x14ac:dyDescent="0.25">
      <c r="A19" s="14">
        <f t="shared" si="1"/>
        <v>11</v>
      </c>
      <c r="B19" s="8"/>
      <c r="C19" s="15"/>
      <c r="D19" s="10" t="s">
        <v>12</v>
      </c>
      <c r="E19" s="16"/>
      <c r="F19" s="27"/>
      <c r="G19" s="18">
        <f t="shared" si="0"/>
        <v>671</v>
      </c>
      <c r="H19" s="28"/>
      <c r="I19" s="7" t="s">
        <v>14</v>
      </c>
    </row>
    <row r="20" spans="1:9" ht="18" customHeight="1" x14ac:dyDescent="0.25">
      <c r="A20" s="14">
        <f t="shared" si="1"/>
        <v>12</v>
      </c>
      <c r="B20" s="8"/>
      <c r="C20" s="15"/>
      <c r="D20" s="10" t="s">
        <v>12</v>
      </c>
      <c r="E20" s="16"/>
      <c r="F20" s="27"/>
      <c r="G20" s="18">
        <f t="shared" si="0"/>
        <v>671</v>
      </c>
      <c r="H20" s="28"/>
      <c r="I20" s="7" t="s">
        <v>14</v>
      </c>
    </row>
    <row r="21" spans="1:9" ht="18" customHeight="1" x14ac:dyDescent="0.25">
      <c r="A21" s="14">
        <f t="shared" si="1"/>
        <v>13</v>
      </c>
      <c r="B21" s="8"/>
      <c r="C21" s="15"/>
      <c r="D21" s="10" t="s">
        <v>12</v>
      </c>
      <c r="E21" s="16"/>
      <c r="F21" s="17"/>
      <c r="G21" s="18">
        <f t="shared" si="0"/>
        <v>671</v>
      </c>
      <c r="H21" s="28"/>
      <c r="I21" s="7" t="s">
        <v>14</v>
      </c>
    </row>
    <row r="22" spans="1:9" ht="18" customHeight="1" x14ac:dyDescent="0.25">
      <c r="A22" s="14">
        <f t="shared" si="1"/>
        <v>14</v>
      </c>
      <c r="B22" s="8"/>
      <c r="C22" s="15"/>
      <c r="D22" s="10" t="s">
        <v>12</v>
      </c>
      <c r="E22" s="16"/>
      <c r="F22" s="17"/>
      <c r="G22" s="18">
        <f t="shared" si="0"/>
        <v>671</v>
      </c>
      <c r="H22" s="28"/>
      <c r="I22" s="7"/>
    </row>
    <row r="23" spans="1:9" ht="18" customHeight="1" x14ac:dyDescent="0.25">
      <c r="A23" s="14">
        <f t="shared" si="1"/>
        <v>15</v>
      </c>
      <c r="B23" s="8"/>
      <c r="C23" s="15"/>
      <c r="D23" s="10" t="s">
        <v>12</v>
      </c>
      <c r="E23" s="16"/>
      <c r="F23" s="17"/>
      <c r="G23" s="18">
        <f t="shared" si="0"/>
        <v>671</v>
      </c>
      <c r="H23" s="28"/>
      <c r="I23" s="7"/>
    </row>
    <row r="24" spans="1:9" ht="18" customHeight="1" x14ac:dyDescent="0.25">
      <c r="A24" s="14">
        <f t="shared" si="1"/>
        <v>16</v>
      </c>
      <c r="B24" s="8"/>
      <c r="C24" s="15"/>
      <c r="D24" s="10" t="s">
        <v>12</v>
      </c>
      <c r="E24" s="32"/>
      <c r="F24" s="17"/>
      <c r="G24" s="18">
        <f t="shared" si="0"/>
        <v>671</v>
      </c>
      <c r="H24" s="28"/>
      <c r="I24" s="7"/>
    </row>
    <row r="25" spans="1:9" ht="18" customHeight="1" x14ac:dyDescent="0.25">
      <c r="A25" s="14">
        <f t="shared" si="1"/>
        <v>17</v>
      </c>
      <c r="B25" s="8"/>
      <c r="C25" s="15"/>
      <c r="D25" s="10" t="s">
        <v>12</v>
      </c>
      <c r="E25" s="32"/>
      <c r="F25" s="17"/>
      <c r="G25" s="18">
        <f t="shared" si="0"/>
        <v>671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671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671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671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 t="shared" si="0"/>
        <v>671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17"/>
      <c r="G30" s="18">
        <f t="shared" si="0"/>
        <v>671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671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671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671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671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671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671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671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27"/>
      <c r="G38" s="18">
        <f t="shared" si="0"/>
        <v>671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40"/>
      <c r="G39" s="18">
        <f t="shared" si="0"/>
        <v>671</v>
      </c>
      <c r="H39" s="28"/>
      <c r="I39" s="7"/>
    </row>
    <row r="40" spans="1:9" ht="18" customHeight="1" x14ac:dyDescent="0.25">
      <c r="A40" s="14">
        <f t="shared" si="1"/>
        <v>32</v>
      </c>
      <c r="B40" s="8"/>
      <c r="C40" s="15"/>
      <c r="D40" s="10" t="s">
        <v>12</v>
      </c>
      <c r="E40" s="32"/>
      <c r="F40" s="27"/>
      <c r="G40" s="18">
        <f t="shared" si="0"/>
        <v>671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126"/>
      <c r="G41" s="18">
        <f t="shared" si="0"/>
        <v>671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671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671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671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671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671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671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671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671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671</v>
      </c>
      <c r="H50" s="28"/>
      <c r="I50" s="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671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671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671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671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671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671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671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671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671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671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671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671</v>
      </c>
      <c r="H62" s="28"/>
      <c r="I62" s="137"/>
    </row>
    <row r="63" spans="1:9" ht="18" customHeight="1" x14ac:dyDescent="0.25">
      <c r="A63" s="14">
        <f t="shared" si="1"/>
        <v>55</v>
      </c>
      <c r="B63" s="33"/>
      <c r="C63" s="15"/>
      <c r="D63" s="10" t="s">
        <v>12</v>
      </c>
      <c r="E63" s="126"/>
      <c r="F63" s="207"/>
      <c r="G63" s="18">
        <f t="shared" si="0"/>
        <v>671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671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671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671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671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671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671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671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671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671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si="0"/>
        <v>671</v>
      </c>
      <c r="H73" s="28"/>
      <c r="I73" s="137"/>
    </row>
    <row r="74" spans="1:9" ht="18" customHeight="1" x14ac:dyDescent="0.25">
      <c r="A74" s="14">
        <f t="shared" si="1"/>
        <v>66</v>
      </c>
      <c r="B74" s="8"/>
      <c r="C74" s="15"/>
      <c r="D74" s="10" t="s">
        <v>12</v>
      </c>
      <c r="E74" s="32"/>
      <c r="F74" s="27"/>
      <c r="G74" s="18">
        <f t="shared" ref="G74:G118" si="2">+G73+E74-F74</f>
        <v>671</v>
      </c>
      <c r="H74" s="28"/>
      <c r="I74" s="137"/>
    </row>
    <row r="75" spans="1:9" ht="18" customHeight="1" x14ac:dyDescent="0.25">
      <c r="A75" s="14">
        <f t="shared" ref="A75:A118" si="3">+A74+1</f>
        <v>67</v>
      </c>
      <c r="B75" s="8"/>
      <c r="C75" s="15"/>
      <c r="D75" s="10" t="s">
        <v>12</v>
      </c>
      <c r="E75" s="32"/>
      <c r="F75" s="27"/>
      <c r="G75" s="18">
        <f t="shared" si="2"/>
        <v>671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671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671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671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671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671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671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671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671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671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671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671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671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671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671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671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671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671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671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671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671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671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671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671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671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671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 t="s">
        <v>12</v>
      </c>
      <c r="E101" s="32"/>
      <c r="F101" s="27"/>
      <c r="G101" s="18">
        <f t="shared" si="2"/>
        <v>671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671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671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671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671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671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671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671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671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671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671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671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671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671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671</v>
      </c>
      <c r="H115" s="28"/>
      <c r="I115" s="137"/>
    </row>
    <row r="116" spans="1:9" ht="18" customHeight="1" x14ac:dyDescent="0.25">
      <c r="A116" s="14">
        <f t="shared" si="3"/>
        <v>108</v>
      </c>
      <c r="B116" s="8"/>
      <c r="C116" s="15"/>
      <c r="D116" s="10"/>
      <c r="E116" s="32"/>
      <c r="F116" s="27"/>
      <c r="G116" s="18">
        <f t="shared" si="2"/>
        <v>671</v>
      </c>
      <c r="H116" s="28"/>
      <c r="I116" s="137"/>
    </row>
    <row r="117" spans="1:9" x14ac:dyDescent="0.25">
      <c r="A117" s="14">
        <f t="shared" si="3"/>
        <v>109</v>
      </c>
      <c r="B117" s="8"/>
      <c r="C117" s="7"/>
      <c r="D117" s="14"/>
      <c r="E117" s="140"/>
      <c r="F117" s="141"/>
      <c r="G117" s="18">
        <f t="shared" si="2"/>
        <v>671</v>
      </c>
      <c r="H117" s="18"/>
      <c r="I117" s="7"/>
    </row>
    <row r="118" spans="1:9" x14ac:dyDescent="0.25">
      <c r="A118" s="14">
        <f t="shared" si="3"/>
        <v>110</v>
      </c>
      <c r="B118" s="33"/>
      <c r="C118" s="7"/>
      <c r="D118" s="14"/>
      <c r="E118" s="140"/>
      <c r="F118" s="141"/>
      <c r="G118" s="18">
        <f t="shared" si="2"/>
        <v>671</v>
      </c>
      <c r="H118" s="18"/>
      <c r="I118" s="7"/>
    </row>
    <row r="119" spans="1:9" x14ac:dyDescent="0.25">
      <c r="A119" s="7"/>
      <c r="B119" s="7"/>
      <c r="C119" s="34" t="s">
        <v>13</v>
      </c>
      <c r="D119" s="7"/>
      <c r="E119" s="35">
        <f>SUM(E9:E118)</f>
        <v>0</v>
      </c>
      <c r="F119" s="35">
        <f>SUM(F9:F118)</f>
        <v>0</v>
      </c>
      <c r="G119" s="35">
        <f>+E119-F119+G8</f>
        <v>671</v>
      </c>
      <c r="H119" s="35"/>
      <c r="I119" s="36"/>
    </row>
    <row r="151" spans="6:6" x14ac:dyDescent="0.25">
      <c r="F151">
        <f>3507+360</f>
        <v>3867</v>
      </c>
    </row>
    <row r="152" spans="6:6" x14ac:dyDescent="0.25">
      <c r="F152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DCDA-3E3A-45A5-9664-36BF685132BB}">
  <sheetPr codeName="Sheet61"/>
  <dimension ref="A1:J151"/>
  <sheetViews>
    <sheetView workbookViewId="0">
      <selection activeCell="F15" sqref="F15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968</v>
      </c>
      <c r="H8" s="7"/>
      <c r="I8" s="7"/>
    </row>
    <row r="9" spans="1:10" ht="18" customHeight="1" x14ac:dyDescent="0.25">
      <c r="A9" s="14">
        <v>1</v>
      </c>
      <c r="B9" s="39">
        <v>45716</v>
      </c>
      <c r="C9" s="15" t="s">
        <v>287</v>
      </c>
      <c r="D9" s="10" t="s">
        <v>12</v>
      </c>
      <c r="E9" s="51"/>
      <c r="F9" s="27">
        <v>10</v>
      </c>
      <c r="G9" s="18">
        <f t="shared" ref="G9:G72" si="0">+G8+E9-F9</f>
        <v>958</v>
      </c>
      <c r="H9" s="28"/>
      <c r="I9" s="7" t="s">
        <v>14</v>
      </c>
    </row>
    <row r="10" spans="1:10" ht="18" customHeight="1" x14ac:dyDescent="0.25">
      <c r="A10" s="14">
        <f t="shared" ref="A10:A73" si="1">+A9+1</f>
        <v>2</v>
      </c>
      <c r="B10" s="39">
        <v>45864</v>
      </c>
      <c r="C10" s="15"/>
      <c r="D10" s="10" t="s">
        <v>12</v>
      </c>
      <c r="E10" s="16"/>
      <c r="F10" s="27">
        <v>10</v>
      </c>
      <c r="G10" s="18">
        <f t="shared" si="0"/>
        <v>948</v>
      </c>
      <c r="H10" s="28" t="s">
        <v>129</v>
      </c>
      <c r="I10" s="7" t="s">
        <v>14</v>
      </c>
    </row>
    <row r="11" spans="1:10" ht="18" customHeight="1" x14ac:dyDescent="0.25">
      <c r="A11" s="14">
        <f t="shared" si="1"/>
        <v>3</v>
      </c>
      <c r="B11" s="8">
        <v>45887</v>
      </c>
      <c r="C11" s="15"/>
      <c r="D11" s="10" t="s">
        <v>12</v>
      </c>
      <c r="E11" s="16"/>
      <c r="F11" s="27">
        <v>20</v>
      </c>
      <c r="G11" s="18">
        <f t="shared" si="0"/>
        <v>928</v>
      </c>
      <c r="H11" s="28" t="s">
        <v>129</v>
      </c>
      <c r="I11" s="7" t="s">
        <v>14</v>
      </c>
    </row>
    <row r="12" spans="1:10" ht="18" customHeight="1" x14ac:dyDescent="0.25">
      <c r="A12" s="14">
        <f t="shared" si="1"/>
        <v>4</v>
      </c>
      <c r="B12" s="8">
        <v>45888</v>
      </c>
      <c r="C12" s="15"/>
      <c r="D12" s="10" t="s">
        <v>12</v>
      </c>
      <c r="E12" s="16"/>
      <c r="F12" s="27">
        <v>9</v>
      </c>
      <c r="G12" s="18">
        <f t="shared" si="0"/>
        <v>919</v>
      </c>
      <c r="H12" s="28" t="s">
        <v>129</v>
      </c>
      <c r="I12" s="7" t="s">
        <v>14</v>
      </c>
    </row>
    <row r="13" spans="1:10" ht="18" customHeight="1" x14ac:dyDescent="0.25">
      <c r="A13" s="14">
        <f t="shared" si="1"/>
        <v>5</v>
      </c>
      <c r="B13" s="205">
        <v>45896</v>
      </c>
      <c r="C13" s="15"/>
      <c r="D13" s="10" t="s">
        <v>12</v>
      </c>
      <c r="E13" s="16"/>
      <c r="F13" s="17">
        <v>40</v>
      </c>
      <c r="G13" s="18">
        <f t="shared" si="0"/>
        <v>879</v>
      </c>
      <c r="H13" s="28" t="s">
        <v>129</v>
      </c>
      <c r="I13" s="7" t="s">
        <v>14</v>
      </c>
    </row>
    <row r="14" spans="1:10" ht="18" customHeight="1" x14ac:dyDescent="0.25">
      <c r="A14" s="14">
        <f t="shared" si="1"/>
        <v>6</v>
      </c>
      <c r="B14" s="205">
        <v>45897</v>
      </c>
      <c r="C14" s="15"/>
      <c r="D14" s="10" t="s">
        <v>12</v>
      </c>
      <c r="E14" s="16"/>
      <c r="F14" s="27">
        <v>36</v>
      </c>
      <c r="G14" s="18">
        <f t="shared" si="0"/>
        <v>843</v>
      </c>
      <c r="H14" s="28"/>
      <c r="I14" s="7" t="s">
        <v>14</v>
      </c>
      <c r="J14" s="26"/>
    </row>
    <row r="15" spans="1:10" ht="18" customHeight="1" x14ac:dyDescent="0.25">
      <c r="A15" s="14">
        <f t="shared" si="1"/>
        <v>7</v>
      </c>
      <c r="B15" s="205">
        <v>45898</v>
      </c>
      <c r="C15" s="15"/>
      <c r="D15" s="10" t="s">
        <v>12</v>
      </c>
      <c r="E15" s="16"/>
      <c r="F15" s="17">
        <v>38</v>
      </c>
      <c r="G15" s="18">
        <f t="shared" si="0"/>
        <v>805</v>
      </c>
      <c r="H15" s="28"/>
      <c r="I15" s="7" t="s">
        <v>14</v>
      </c>
    </row>
    <row r="16" spans="1:10" ht="18" customHeight="1" x14ac:dyDescent="0.25">
      <c r="A16" s="14">
        <f t="shared" si="1"/>
        <v>8</v>
      </c>
      <c r="B16" s="206"/>
      <c r="C16" s="15"/>
      <c r="D16" s="10" t="s">
        <v>12</v>
      </c>
      <c r="E16" s="16"/>
      <c r="F16" s="27"/>
      <c r="G16" s="18">
        <f t="shared" si="0"/>
        <v>805</v>
      </c>
      <c r="H16" s="28"/>
      <c r="I16" s="7" t="s">
        <v>14</v>
      </c>
    </row>
    <row r="17" spans="1:9" ht="18" customHeight="1" x14ac:dyDescent="0.25">
      <c r="A17" s="14">
        <f t="shared" si="1"/>
        <v>9</v>
      </c>
      <c r="B17" s="205"/>
      <c r="C17" s="15"/>
      <c r="D17" s="10" t="s">
        <v>12</v>
      </c>
      <c r="E17" s="16"/>
      <c r="F17" s="27"/>
      <c r="G17" s="18">
        <f t="shared" si="0"/>
        <v>805</v>
      </c>
      <c r="H17" s="28"/>
      <c r="I17" s="7" t="s">
        <v>14</v>
      </c>
    </row>
    <row r="18" spans="1:9" ht="18" customHeight="1" x14ac:dyDescent="0.25">
      <c r="A18" s="14">
        <f t="shared" si="1"/>
        <v>10</v>
      </c>
      <c r="B18" s="8"/>
      <c r="C18" s="15"/>
      <c r="D18" s="10" t="s">
        <v>12</v>
      </c>
      <c r="E18" s="16"/>
      <c r="F18" s="27"/>
      <c r="G18" s="18">
        <f t="shared" si="0"/>
        <v>805</v>
      </c>
      <c r="H18" s="28"/>
      <c r="I18" s="7" t="s">
        <v>14</v>
      </c>
    </row>
    <row r="19" spans="1:9" ht="18" customHeight="1" x14ac:dyDescent="0.25">
      <c r="A19" s="14">
        <f t="shared" si="1"/>
        <v>11</v>
      </c>
      <c r="B19" s="8"/>
      <c r="C19" s="15"/>
      <c r="D19" s="10" t="s">
        <v>12</v>
      </c>
      <c r="E19" s="16"/>
      <c r="F19" s="27"/>
      <c r="G19" s="18">
        <f t="shared" si="0"/>
        <v>805</v>
      </c>
      <c r="H19" s="28"/>
      <c r="I19" s="7" t="s">
        <v>14</v>
      </c>
    </row>
    <row r="20" spans="1:9" ht="18" customHeight="1" x14ac:dyDescent="0.25">
      <c r="A20" s="14">
        <f t="shared" si="1"/>
        <v>12</v>
      </c>
      <c r="B20" s="8"/>
      <c r="C20" s="15"/>
      <c r="D20" s="10" t="s">
        <v>12</v>
      </c>
      <c r="E20" s="16"/>
      <c r="F20" s="17"/>
      <c r="G20" s="18">
        <f t="shared" si="0"/>
        <v>805</v>
      </c>
      <c r="H20" s="28"/>
      <c r="I20" s="7" t="s">
        <v>14</v>
      </c>
    </row>
    <row r="21" spans="1:9" ht="18" customHeight="1" x14ac:dyDescent="0.25">
      <c r="A21" s="14">
        <f t="shared" si="1"/>
        <v>13</v>
      </c>
      <c r="B21" s="8"/>
      <c r="C21" s="15"/>
      <c r="D21" s="10" t="s">
        <v>12</v>
      </c>
      <c r="E21" s="16"/>
      <c r="F21" s="17"/>
      <c r="G21" s="18">
        <f t="shared" si="0"/>
        <v>805</v>
      </c>
      <c r="H21" s="28"/>
      <c r="I21" s="7"/>
    </row>
    <row r="22" spans="1:9" ht="18" customHeight="1" x14ac:dyDescent="0.25">
      <c r="A22" s="14">
        <f t="shared" si="1"/>
        <v>14</v>
      </c>
      <c r="B22" s="8"/>
      <c r="C22" s="15"/>
      <c r="D22" s="10" t="s">
        <v>12</v>
      </c>
      <c r="E22" s="16"/>
      <c r="F22" s="17"/>
      <c r="G22" s="18">
        <f t="shared" si="0"/>
        <v>805</v>
      </c>
      <c r="H22" s="28"/>
      <c r="I22" s="7"/>
    </row>
    <row r="23" spans="1:9" ht="18" customHeight="1" x14ac:dyDescent="0.25">
      <c r="A23" s="14">
        <f t="shared" si="1"/>
        <v>15</v>
      </c>
      <c r="B23" s="8"/>
      <c r="C23" s="15"/>
      <c r="D23" s="10" t="s">
        <v>12</v>
      </c>
      <c r="E23" s="32"/>
      <c r="F23" s="17"/>
      <c r="G23" s="18">
        <f t="shared" si="0"/>
        <v>805</v>
      </c>
      <c r="H23" s="28"/>
      <c r="I23" s="7"/>
    </row>
    <row r="24" spans="1:9" ht="18" customHeight="1" x14ac:dyDescent="0.25">
      <c r="A24" s="14">
        <f t="shared" si="1"/>
        <v>16</v>
      </c>
      <c r="B24" s="8"/>
      <c r="C24" s="15"/>
      <c r="D24" s="10" t="s">
        <v>12</v>
      </c>
      <c r="E24" s="32"/>
      <c r="F24" s="17"/>
      <c r="G24" s="18">
        <f t="shared" si="0"/>
        <v>805</v>
      </c>
      <c r="H24" s="28"/>
      <c r="I24" s="7"/>
    </row>
    <row r="25" spans="1:9" ht="18" customHeight="1" x14ac:dyDescent="0.25">
      <c r="A25" s="14">
        <f t="shared" si="1"/>
        <v>17</v>
      </c>
      <c r="B25" s="8"/>
      <c r="C25" s="15"/>
      <c r="D25" s="10" t="s">
        <v>12</v>
      </c>
      <c r="E25" s="32"/>
      <c r="F25" s="17"/>
      <c r="G25" s="18">
        <f t="shared" si="0"/>
        <v>805</v>
      </c>
      <c r="H25" s="28"/>
      <c r="I25" s="7"/>
    </row>
    <row r="26" spans="1:9" ht="18" customHeight="1" x14ac:dyDescent="0.25">
      <c r="A26" s="14">
        <f t="shared" si="1"/>
        <v>18</v>
      </c>
      <c r="B26" s="8"/>
      <c r="C26" s="15"/>
      <c r="D26" s="10" t="s">
        <v>12</v>
      </c>
      <c r="E26" s="32"/>
      <c r="F26" s="17"/>
      <c r="G26" s="18">
        <f t="shared" si="0"/>
        <v>805</v>
      </c>
      <c r="H26" s="28"/>
      <c r="I26" s="7"/>
    </row>
    <row r="27" spans="1:9" ht="18" customHeight="1" x14ac:dyDescent="0.25">
      <c r="A27" s="14">
        <f t="shared" si="1"/>
        <v>19</v>
      </c>
      <c r="B27" s="8"/>
      <c r="C27" s="15"/>
      <c r="D27" s="10" t="s">
        <v>12</v>
      </c>
      <c r="E27" s="32"/>
      <c r="F27" s="17"/>
      <c r="G27" s="18">
        <f t="shared" si="0"/>
        <v>805</v>
      </c>
      <c r="H27" s="28"/>
      <c r="I27" s="7"/>
    </row>
    <row r="28" spans="1:9" ht="18" customHeight="1" x14ac:dyDescent="0.25">
      <c r="A28" s="14">
        <f t="shared" si="1"/>
        <v>20</v>
      </c>
      <c r="B28" s="8"/>
      <c r="C28" s="15"/>
      <c r="D28" s="10" t="s">
        <v>12</v>
      </c>
      <c r="E28" s="32"/>
      <c r="F28" s="17"/>
      <c r="G28" s="18">
        <f t="shared" si="0"/>
        <v>805</v>
      </c>
      <c r="H28" s="28"/>
      <c r="I28" s="7"/>
    </row>
    <row r="29" spans="1:9" ht="18" customHeight="1" x14ac:dyDescent="0.25">
      <c r="A29" s="14">
        <f t="shared" si="1"/>
        <v>21</v>
      </c>
      <c r="B29" s="8"/>
      <c r="C29" s="15"/>
      <c r="D29" s="10" t="s">
        <v>12</v>
      </c>
      <c r="E29" s="32"/>
      <c r="F29" s="17"/>
      <c r="G29" s="18">
        <f>+G28+E29-F29</f>
        <v>805</v>
      </c>
      <c r="H29" s="28"/>
      <c r="I29" s="7"/>
    </row>
    <row r="30" spans="1:9" ht="18" customHeight="1" x14ac:dyDescent="0.25">
      <c r="A30" s="14">
        <f t="shared" si="1"/>
        <v>22</v>
      </c>
      <c r="B30" s="8"/>
      <c r="C30" s="15"/>
      <c r="D30" s="10" t="s">
        <v>12</v>
      </c>
      <c r="E30" s="32"/>
      <c r="F30" s="27"/>
      <c r="G30" s="18">
        <f t="shared" si="0"/>
        <v>805</v>
      </c>
      <c r="H30" s="28"/>
      <c r="I30" s="7"/>
    </row>
    <row r="31" spans="1:9" ht="18" customHeight="1" x14ac:dyDescent="0.25">
      <c r="A31" s="14">
        <f t="shared" si="1"/>
        <v>23</v>
      </c>
      <c r="B31" s="8"/>
      <c r="C31" s="15"/>
      <c r="D31" s="10" t="s">
        <v>12</v>
      </c>
      <c r="E31" s="32"/>
      <c r="F31" s="27"/>
      <c r="G31" s="18">
        <f t="shared" si="0"/>
        <v>805</v>
      </c>
      <c r="H31" s="28"/>
      <c r="I31" s="7"/>
    </row>
    <row r="32" spans="1:9" ht="18" customHeight="1" x14ac:dyDescent="0.25">
      <c r="A32" s="14">
        <f t="shared" si="1"/>
        <v>24</v>
      </c>
      <c r="B32" s="8"/>
      <c r="C32" s="15"/>
      <c r="D32" s="10" t="s">
        <v>12</v>
      </c>
      <c r="E32" s="32"/>
      <c r="F32" s="27"/>
      <c r="G32" s="18">
        <f t="shared" si="0"/>
        <v>805</v>
      </c>
      <c r="H32" s="28"/>
      <c r="I32" s="7"/>
    </row>
    <row r="33" spans="1:9" ht="18" customHeight="1" x14ac:dyDescent="0.25">
      <c r="A33" s="14">
        <f t="shared" si="1"/>
        <v>25</v>
      </c>
      <c r="B33" s="8"/>
      <c r="C33" s="15"/>
      <c r="D33" s="10" t="s">
        <v>12</v>
      </c>
      <c r="E33" s="32"/>
      <c r="F33" s="27"/>
      <c r="G33" s="18">
        <f t="shared" si="0"/>
        <v>805</v>
      </c>
      <c r="H33" s="28"/>
      <c r="I33" s="7"/>
    </row>
    <row r="34" spans="1:9" ht="18" customHeight="1" x14ac:dyDescent="0.25">
      <c r="A34" s="14">
        <f t="shared" si="1"/>
        <v>26</v>
      </c>
      <c r="B34" s="8"/>
      <c r="C34" s="15"/>
      <c r="D34" s="10" t="s">
        <v>12</v>
      </c>
      <c r="E34" s="32"/>
      <c r="F34" s="27"/>
      <c r="G34" s="18">
        <f t="shared" si="0"/>
        <v>805</v>
      </c>
      <c r="H34" s="28"/>
      <c r="I34" s="7"/>
    </row>
    <row r="35" spans="1:9" ht="18" customHeight="1" x14ac:dyDescent="0.25">
      <c r="A35" s="14">
        <f t="shared" si="1"/>
        <v>27</v>
      </c>
      <c r="B35" s="8"/>
      <c r="C35" s="15"/>
      <c r="D35" s="10" t="s">
        <v>12</v>
      </c>
      <c r="E35" s="32"/>
      <c r="F35" s="27"/>
      <c r="G35" s="18">
        <f t="shared" si="0"/>
        <v>805</v>
      </c>
      <c r="H35" s="28"/>
      <c r="I35" s="7"/>
    </row>
    <row r="36" spans="1:9" ht="18" customHeight="1" x14ac:dyDescent="0.25">
      <c r="A36" s="14">
        <f t="shared" si="1"/>
        <v>28</v>
      </c>
      <c r="B36" s="8"/>
      <c r="C36" s="15"/>
      <c r="D36" s="10" t="s">
        <v>12</v>
      </c>
      <c r="E36" s="32"/>
      <c r="F36" s="27"/>
      <c r="G36" s="18">
        <f t="shared" si="0"/>
        <v>805</v>
      </c>
      <c r="H36" s="28"/>
      <c r="I36" s="7"/>
    </row>
    <row r="37" spans="1:9" ht="18" customHeight="1" x14ac:dyDescent="0.25">
      <c r="A37" s="14">
        <f t="shared" si="1"/>
        <v>29</v>
      </c>
      <c r="B37" s="8"/>
      <c r="C37" s="15"/>
      <c r="D37" s="10" t="s">
        <v>12</v>
      </c>
      <c r="E37" s="32"/>
      <c r="F37" s="27"/>
      <c r="G37" s="18">
        <f t="shared" si="0"/>
        <v>805</v>
      </c>
      <c r="H37" s="28"/>
      <c r="I37" s="7"/>
    </row>
    <row r="38" spans="1:9" ht="18" customHeight="1" x14ac:dyDescent="0.25">
      <c r="A38" s="14">
        <f t="shared" si="1"/>
        <v>30</v>
      </c>
      <c r="B38" s="8"/>
      <c r="C38" s="15"/>
      <c r="D38" s="10" t="s">
        <v>12</v>
      </c>
      <c r="E38" s="32"/>
      <c r="F38" s="40"/>
      <c r="G38" s="18">
        <f t="shared" si="0"/>
        <v>805</v>
      </c>
      <c r="H38" s="28"/>
      <c r="I38" s="7"/>
    </row>
    <row r="39" spans="1:9" ht="18" customHeight="1" x14ac:dyDescent="0.25">
      <c r="A39" s="14">
        <f t="shared" si="1"/>
        <v>31</v>
      </c>
      <c r="B39" s="8"/>
      <c r="C39" s="15"/>
      <c r="D39" s="10" t="s">
        <v>12</v>
      </c>
      <c r="E39" s="32"/>
      <c r="F39" s="27"/>
      <c r="G39" s="18">
        <f t="shared" si="0"/>
        <v>805</v>
      </c>
      <c r="H39" s="28"/>
      <c r="I39" s="7"/>
    </row>
    <row r="40" spans="1:9" ht="18" customHeight="1" x14ac:dyDescent="0.25">
      <c r="A40" s="14">
        <f t="shared" si="1"/>
        <v>32</v>
      </c>
      <c r="B40" s="33"/>
      <c r="C40" s="15"/>
      <c r="D40" s="10" t="s">
        <v>12</v>
      </c>
      <c r="E40" s="126"/>
      <c r="F40" s="126"/>
      <c r="G40" s="18">
        <f t="shared" si="0"/>
        <v>805</v>
      </c>
      <c r="H40" s="28"/>
      <c r="I40" s="7"/>
    </row>
    <row r="41" spans="1:9" ht="18" customHeight="1" x14ac:dyDescent="0.25">
      <c r="A41" s="14">
        <f t="shared" si="1"/>
        <v>33</v>
      </c>
      <c r="B41" s="33"/>
      <c r="C41" s="15"/>
      <c r="D41" s="10" t="s">
        <v>12</v>
      </c>
      <c r="E41" s="126"/>
      <c r="F41" s="207"/>
      <c r="G41" s="18">
        <f t="shared" si="0"/>
        <v>805</v>
      </c>
      <c r="H41" s="28"/>
      <c r="I41" s="7"/>
    </row>
    <row r="42" spans="1:9" ht="18" customHeight="1" x14ac:dyDescent="0.25">
      <c r="A42" s="14">
        <f t="shared" si="1"/>
        <v>34</v>
      </c>
      <c r="B42" s="33"/>
      <c r="C42" s="15"/>
      <c r="D42" s="10" t="s">
        <v>12</v>
      </c>
      <c r="E42" s="126"/>
      <c r="F42" s="207"/>
      <c r="G42" s="18">
        <f t="shared" si="0"/>
        <v>805</v>
      </c>
      <c r="H42" s="28"/>
      <c r="I42" s="7"/>
    </row>
    <row r="43" spans="1:9" ht="18" customHeight="1" x14ac:dyDescent="0.25">
      <c r="A43" s="14">
        <f t="shared" si="1"/>
        <v>35</v>
      </c>
      <c r="B43" s="33"/>
      <c r="C43" s="15"/>
      <c r="D43" s="10" t="s">
        <v>12</v>
      </c>
      <c r="E43" s="126"/>
      <c r="F43" s="207"/>
      <c r="G43" s="18">
        <f t="shared" si="0"/>
        <v>805</v>
      </c>
      <c r="H43" s="28"/>
      <c r="I43" s="7"/>
    </row>
    <row r="44" spans="1:9" ht="18" customHeight="1" x14ac:dyDescent="0.25">
      <c r="A44" s="14">
        <f t="shared" si="1"/>
        <v>36</v>
      </c>
      <c r="B44" s="33"/>
      <c r="C44" s="15"/>
      <c r="D44" s="10" t="s">
        <v>12</v>
      </c>
      <c r="E44" s="126"/>
      <c r="F44" s="207"/>
      <c r="G44" s="18">
        <f t="shared" si="0"/>
        <v>805</v>
      </c>
      <c r="H44" s="28"/>
      <c r="I44" s="7"/>
    </row>
    <row r="45" spans="1:9" ht="18" customHeight="1" x14ac:dyDescent="0.25">
      <c r="A45" s="14">
        <f t="shared" si="1"/>
        <v>37</v>
      </c>
      <c r="B45" s="33"/>
      <c r="C45" s="15"/>
      <c r="D45" s="10" t="s">
        <v>12</v>
      </c>
      <c r="E45" s="126"/>
      <c r="F45" s="207"/>
      <c r="G45" s="18">
        <f t="shared" si="0"/>
        <v>805</v>
      </c>
      <c r="H45" s="28"/>
      <c r="I45" s="7"/>
    </row>
    <row r="46" spans="1:9" ht="18" customHeight="1" x14ac:dyDescent="0.25">
      <c r="A46" s="14">
        <f t="shared" si="1"/>
        <v>38</v>
      </c>
      <c r="B46" s="33"/>
      <c r="C46" s="15"/>
      <c r="D46" s="10" t="s">
        <v>12</v>
      </c>
      <c r="E46" s="126"/>
      <c r="F46" s="207"/>
      <c r="G46" s="18">
        <f t="shared" si="0"/>
        <v>805</v>
      </c>
      <c r="H46" s="28"/>
      <c r="I46" s="7"/>
    </row>
    <row r="47" spans="1:9" ht="18" customHeight="1" x14ac:dyDescent="0.25">
      <c r="A47" s="14">
        <f t="shared" si="1"/>
        <v>39</v>
      </c>
      <c r="B47" s="33"/>
      <c r="C47" s="15"/>
      <c r="D47" s="10" t="s">
        <v>12</v>
      </c>
      <c r="E47" s="126"/>
      <c r="F47" s="207"/>
      <c r="G47" s="18">
        <f t="shared" si="0"/>
        <v>805</v>
      </c>
      <c r="H47" s="28"/>
      <c r="I47" s="7"/>
    </row>
    <row r="48" spans="1:9" ht="18" customHeight="1" x14ac:dyDescent="0.25">
      <c r="A48" s="14">
        <f t="shared" si="1"/>
        <v>40</v>
      </c>
      <c r="B48" s="33"/>
      <c r="C48" s="15"/>
      <c r="D48" s="10" t="s">
        <v>12</v>
      </c>
      <c r="E48" s="126"/>
      <c r="F48" s="207"/>
      <c r="G48" s="18">
        <f t="shared" si="0"/>
        <v>805</v>
      </c>
      <c r="H48" s="28"/>
      <c r="I48" s="7"/>
    </row>
    <row r="49" spans="1:9" ht="18" customHeight="1" x14ac:dyDescent="0.25">
      <c r="A49" s="14">
        <f t="shared" si="1"/>
        <v>41</v>
      </c>
      <c r="B49" s="33"/>
      <c r="C49" s="15"/>
      <c r="D49" s="10" t="s">
        <v>12</v>
      </c>
      <c r="E49" s="126"/>
      <c r="F49" s="207"/>
      <c r="G49" s="18">
        <f t="shared" si="0"/>
        <v>805</v>
      </c>
      <c r="H49" s="28"/>
      <c r="I49" s="7"/>
    </row>
    <row r="50" spans="1:9" ht="18" customHeight="1" x14ac:dyDescent="0.25">
      <c r="A50" s="14">
        <f t="shared" si="1"/>
        <v>42</v>
      </c>
      <c r="B50" s="33"/>
      <c r="C50" s="15"/>
      <c r="D50" s="10" t="s">
        <v>12</v>
      </c>
      <c r="E50" s="126"/>
      <c r="F50" s="207"/>
      <c r="G50" s="18">
        <f t="shared" si="0"/>
        <v>805</v>
      </c>
      <c r="H50" s="28"/>
      <c r="I50" s="137"/>
    </row>
    <row r="51" spans="1:9" ht="18" customHeight="1" x14ac:dyDescent="0.25">
      <c r="A51" s="14">
        <f t="shared" si="1"/>
        <v>43</v>
      </c>
      <c r="B51" s="33"/>
      <c r="C51" s="15"/>
      <c r="D51" s="10" t="s">
        <v>12</v>
      </c>
      <c r="E51" s="126"/>
      <c r="F51" s="207"/>
      <c r="G51" s="18">
        <f t="shared" si="0"/>
        <v>805</v>
      </c>
      <c r="H51" s="28"/>
      <c r="I51" s="137"/>
    </row>
    <row r="52" spans="1:9" ht="18" customHeight="1" x14ac:dyDescent="0.25">
      <c r="A52" s="14">
        <f t="shared" si="1"/>
        <v>44</v>
      </c>
      <c r="B52" s="33"/>
      <c r="C52" s="15"/>
      <c r="D52" s="10" t="s">
        <v>12</v>
      </c>
      <c r="E52" s="126"/>
      <c r="F52" s="207"/>
      <c r="G52" s="18">
        <f t="shared" si="0"/>
        <v>805</v>
      </c>
      <c r="H52" s="28"/>
      <c r="I52" s="137"/>
    </row>
    <row r="53" spans="1:9" ht="18" customHeight="1" x14ac:dyDescent="0.25">
      <c r="A53" s="14">
        <f t="shared" si="1"/>
        <v>45</v>
      </c>
      <c r="B53" s="33"/>
      <c r="C53" s="15"/>
      <c r="D53" s="10" t="s">
        <v>12</v>
      </c>
      <c r="E53" s="126"/>
      <c r="F53" s="207"/>
      <c r="G53" s="18">
        <f t="shared" si="0"/>
        <v>805</v>
      </c>
      <c r="H53" s="28"/>
      <c r="I53" s="137"/>
    </row>
    <row r="54" spans="1:9" ht="18" customHeight="1" x14ac:dyDescent="0.25">
      <c r="A54" s="14">
        <f t="shared" si="1"/>
        <v>46</v>
      </c>
      <c r="B54" s="33"/>
      <c r="C54" s="15"/>
      <c r="D54" s="10" t="s">
        <v>12</v>
      </c>
      <c r="E54" s="126"/>
      <c r="F54" s="207"/>
      <c r="G54" s="18">
        <f t="shared" si="0"/>
        <v>805</v>
      </c>
      <c r="H54" s="28"/>
      <c r="I54" s="137"/>
    </row>
    <row r="55" spans="1:9" ht="18" customHeight="1" x14ac:dyDescent="0.25">
      <c r="A55" s="14">
        <f t="shared" si="1"/>
        <v>47</v>
      </c>
      <c r="B55" s="33"/>
      <c r="C55" s="15"/>
      <c r="D55" s="10" t="s">
        <v>12</v>
      </c>
      <c r="E55" s="126"/>
      <c r="F55" s="207"/>
      <c r="G55" s="18">
        <f t="shared" si="0"/>
        <v>805</v>
      </c>
      <c r="H55" s="28"/>
      <c r="I55" s="137"/>
    </row>
    <row r="56" spans="1:9" ht="18" customHeight="1" x14ac:dyDescent="0.25">
      <c r="A56" s="14">
        <f t="shared" si="1"/>
        <v>48</v>
      </c>
      <c r="B56" s="33"/>
      <c r="C56" s="15"/>
      <c r="D56" s="10" t="s">
        <v>12</v>
      </c>
      <c r="E56" s="126"/>
      <c r="F56" s="207"/>
      <c r="G56" s="18">
        <f t="shared" si="0"/>
        <v>805</v>
      </c>
      <c r="H56" s="28"/>
      <c r="I56" s="137"/>
    </row>
    <row r="57" spans="1:9" ht="18" customHeight="1" x14ac:dyDescent="0.25">
      <c r="A57" s="14">
        <f t="shared" si="1"/>
        <v>49</v>
      </c>
      <c r="B57" s="33"/>
      <c r="C57" s="15"/>
      <c r="D57" s="10" t="s">
        <v>12</v>
      </c>
      <c r="E57" s="126"/>
      <c r="F57" s="207"/>
      <c r="G57" s="18">
        <f t="shared" si="0"/>
        <v>805</v>
      </c>
      <c r="H57" s="28"/>
      <c r="I57" s="137"/>
    </row>
    <row r="58" spans="1:9" ht="18" customHeight="1" x14ac:dyDescent="0.25">
      <c r="A58" s="14">
        <f t="shared" si="1"/>
        <v>50</v>
      </c>
      <c r="B58" s="33"/>
      <c r="C58" s="15"/>
      <c r="D58" s="10" t="s">
        <v>12</v>
      </c>
      <c r="E58" s="126"/>
      <c r="F58" s="207"/>
      <c r="G58" s="18">
        <f t="shared" si="0"/>
        <v>805</v>
      </c>
      <c r="H58" s="28"/>
      <c r="I58" s="137"/>
    </row>
    <row r="59" spans="1:9" ht="18" customHeight="1" x14ac:dyDescent="0.25">
      <c r="A59" s="14">
        <f t="shared" si="1"/>
        <v>51</v>
      </c>
      <c r="B59" s="33"/>
      <c r="C59" s="15"/>
      <c r="D59" s="10" t="s">
        <v>12</v>
      </c>
      <c r="E59" s="126"/>
      <c r="F59" s="207"/>
      <c r="G59" s="18">
        <f t="shared" si="0"/>
        <v>805</v>
      </c>
      <c r="H59" s="28"/>
      <c r="I59" s="137"/>
    </row>
    <row r="60" spans="1:9" ht="18" customHeight="1" x14ac:dyDescent="0.25">
      <c r="A60" s="14">
        <f t="shared" si="1"/>
        <v>52</v>
      </c>
      <c r="B60" s="33"/>
      <c r="C60" s="15"/>
      <c r="D60" s="10" t="s">
        <v>12</v>
      </c>
      <c r="E60" s="126"/>
      <c r="F60" s="207"/>
      <c r="G60" s="18">
        <f t="shared" si="0"/>
        <v>805</v>
      </c>
      <c r="H60" s="28"/>
      <c r="I60" s="137"/>
    </row>
    <row r="61" spans="1:9" ht="18" customHeight="1" x14ac:dyDescent="0.25">
      <c r="A61" s="14">
        <f t="shared" si="1"/>
        <v>53</v>
      </c>
      <c r="B61" s="33"/>
      <c r="C61" s="15"/>
      <c r="D61" s="10" t="s">
        <v>12</v>
      </c>
      <c r="E61" s="126"/>
      <c r="F61" s="207"/>
      <c r="G61" s="18">
        <f t="shared" si="0"/>
        <v>805</v>
      </c>
      <c r="H61" s="28"/>
      <c r="I61" s="137"/>
    </row>
    <row r="62" spans="1:9" ht="18" customHeight="1" x14ac:dyDescent="0.25">
      <c r="A62" s="14">
        <f t="shared" si="1"/>
        <v>54</v>
      </c>
      <c r="B62" s="33"/>
      <c r="C62" s="15"/>
      <c r="D62" s="10" t="s">
        <v>12</v>
      </c>
      <c r="E62" s="126"/>
      <c r="F62" s="207"/>
      <c r="G62" s="18">
        <f t="shared" si="0"/>
        <v>805</v>
      </c>
      <c r="H62" s="28"/>
      <c r="I62" s="137"/>
    </row>
    <row r="63" spans="1:9" ht="18" customHeight="1" x14ac:dyDescent="0.25">
      <c r="A63" s="14">
        <f t="shared" si="1"/>
        <v>55</v>
      </c>
      <c r="B63" s="8"/>
      <c r="C63" s="15"/>
      <c r="D63" s="10" t="s">
        <v>12</v>
      </c>
      <c r="E63" s="32"/>
      <c r="F63" s="27"/>
      <c r="G63" s="18">
        <f t="shared" si="0"/>
        <v>805</v>
      </c>
      <c r="H63" s="28"/>
      <c r="I63" s="137"/>
    </row>
    <row r="64" spans="1:9" ht="18" customHeight="1" x14ac:dyDescent="0.25">
      <c r="A64" s="14">
        <f t="shared" si="1"/>
        <v>56</v>
      </c>
      <c r="B64" s="8"/>
      <c r="C64" s="15"/>
      <c r="D64" s="10" t="s">
        <v>12</v>
      </c>
      <c r="E64" s="32"/>
      <c r="F64" s="27"/>
      <c r="G64" s="18">
        <f t="shared" si="0"/>
        <v>805</v>
      </c>
      <c r="H64" s="28"/>
      <c r="I64" s="137"/>
    </row>
    <row r="65" spans="1:9" ht="18" customHeight="1" x14ac:dyDescent="0.25">
      <c r="A65" s="14">
        <f t="shared" si="1"/>
        <v>57</v>
      </c>
      <c r="B65" s="8"/>
      <c r="C65" s="15"/>
      <c r="D65" s="10" t="s">
        <v>12</v>
      </c>
      <c r="E65" s="32"/>
      <c r="F65" s="27"/>
      <c r="G65" s="18">
        <f t="shared" si="0"/>
        <v>805</v>
      </c>
      <c r="H65" s="28"/>
      <c r="I65" s="137"/>
    </row>
    <row r="66" spans="1:9" ht="18" customHeight="1" x14ac:dyDescent="0.25">
      <c r="A66" s="14">
        <f t="shared" si="1"/>
        <v>58</v>
      </c>
      <c r="B66" s="8"/>
      <c r="C66" s="15"/>
      <c r="D66" s="10" t="s">
        <v>12</v>
      </c>
      <c r="E66" s="32"/>
      <c r="F66" s="27"/>
      <c r="G66" s="18">
        <f t="shared" si="0"/>
        <v>805</v>
      </c>
      <c r="H66" s="28"/>
      <c r="I66" s="137"/>
    </row>
    <row r="67" spans="1:9" ht="18" customHeight="1" x14ac:dyDescent="0.25">
      <c r="A67" s="14">
        <f t="shared" si="1"/>
        <v>59</v>
      </c>
      <c r="B67" s="8"/>
      <c r="C67" s="15"/>
      <c r="D67" s="10" t="s">
        <v>12</v>
      </c>
      <c r="E67" s="32"/>
      <c r="F67" s="27"/>
      <c r="G67" s="18">
        <f t="shared" si="0"/>
        <v>805</v>
      </c>
      <c r="H67" s="28"/>
      <c r="I67" s="137"/>
    </row>
    <row r="68" spans="1:9" ht="18" customHeight="1" x14ac:dyDescent="0.25">
      <c r="A68" s="14">
        <f t="shared" si="1"/>
        <v>60</v>
      </c>
      <c r="B68" s="8"/>
      <c r="C68" s="15"/>
      <c r="D68" s="10" t="s">
        <v>12</v>
      </c>
      <c r="E68" s="32"/>
      <c r="F68" s="27"/>
      <c r="G68" s="18">
        <f t="shared" si="0"/>
        <v>805</v>
      </c>
      <c r="H68" s="28"/>
      <c r="I68" s="137"/>
    </row>
    <row r="69" spans="1:9" ht="18" customHeight="1" x14ac:dyDescent="0.25">
      <c r="A69" s="14">
        <f t="shared" si="1"/>
        <v>61</v>
      </c>
      <c r="B69" s="8"/>
      <c r="C69" s="15"/>
      <c r="D69" s="10" t="s">
        <v>12</v>
      </c>
      <c r="E69" s="32"/>
      <c r="F69" s="27"/>
      <c r="G69" s="18">
        <f t="shared" si="0"/>
        <v>805</v>
      </c>
      <c r="H69" s="28"/>
      <c r="I69" s="137"/>
    </row>
    <row r="70" spans="1:9" ht="18" customHeight="1" x14ac:dyDescent="0.25">
      <c r="A70" s="14">
        <f t="shared" si="1"/>
        <v>62</v>
      </c>
      <c r="B70" s="8"/>
      <c r="C70" s="15"/>
      <c r="D70" s="10" t="s">
        <v>12</v>
      </c>
      <c r="E70" s="32"/>
      <c r="F70" s="27"/>
      <c r="G70" s="18">
        <f t="shared" si="0"/>
        <v>805</v>
      </c>
      <c r="H70" s="28"/>
      <c r="I70" s="137"/>
    </row>
    <row r="71" spans="1:9" ht="18" customHeight="1" x14ac:dyDescent="0.25">
      <c r="A71" s="14">
        <f t="shared" si="1"/>
        <v>63</v>
      </c>
      <c r="B71" s="8"/>
      <c r="C71" s="15"/>
      <c r="D71" s="10" t="s">
        <v>12</v>
      </c>
      <c r="E71" s="32"/>
      <c r="F71" s="27"/>
      <c r="G71" s="18">
        <f t="shared" si="0"/>
        <v>805</v>
      </c>
      <c r="H71" s="28"/>
      <c r="I71" s="137"/>
    </row>
    <row r="72" spans="1:9" ht="18" customHeight="1" x14ac:dyDescent="0.25">
      <c r="A72" s="14">
        <f t="shared" si="1"/>
        <v>64</v>
      </c>
      <c r="B72" s="8"/>
      <c r="C72" s="15"/>
      <c r="D72" s="10" t="s">
        <v>12</v>
      </c>
      <c r="E72" s="32"/>
      <c r="F72" s="27"/>
      <c r="G72" s="18">
        <f t="shared" si="0"/>
        <v>805</v>
      </c>
      <c r="H72" s="28"/>
      <c r="I72" s="137"/>
    </row>
    <row r="73" spans="1:9" ht="18" customHeight="1" x14ac:dyDescent="0.25">
      <c r="A73" s="14">
        <f t="shared" si="1"/>
        <v>65</v>
      </c>
      <c r="B73" s="8"/>
      <c r="C73" s="15"/>
      <c r="D73" s="10" t="s">
        <v>12</v>
      </c>
      <c r="E73" s="32"/>
      <c r="F73" s="27"/>
      <c r="G73" s="18">
        <f t="shared" ref="G73:G117" si="2">+G72+E73-F73</f>
        <v>805</v>
      </c>
      <c r="H73" s="28"/>
      <c r="I73" s="137"/>
    </row>
    <row r="74" spans="1:9" ht="18" customHeight="1" x14ac:dyDescent="0.25">
      <c r="A74" s="14">
        <f t="shared" ref="A74:A117" si="3">+A73+1</f>
        <v>66</v>
      </c>
      <c r="B74" s="8"/>
      <c r="C74" s="15"/>
      <c r="D74" s="10" t="s">
        <v>12</v>
      </c>
      <c r="E74" s="32"/>
      <c r="F74" s="27"/>
      <c r="G74" s="18">
        <f t="shared" si="2"/>
        <v>805</v>
      </c>
      <c r="H74" s="28"/>
      <c r="I74" s="137"/>
    </row>
    <row r="75" spans="1:9" ht="18" customHeight="1" x14ac:dyDescent="0.25">
      <c r="A75" s="14">
        <f t="shared" si="3"/>
        <v>67</v>
      </c>
      <c r="B75" s="8"/>
      <c r="C75" s="15"/>
      <c r="D75" s="10" t="s">
        <v>12</v>
      </c>
      <c r="E75" s="32"/>
      <c r="F75" s="27"/>
      <c r="G75" s="18">
        <f t="shared" si="2"/>
        <v>805</v>
      </c>
      <c r="H75" s="28"/>
      <c r="I75" s="137"/>
    </row>
    <row r="76" spans="1:9" ht="18" customHeight="1" x14ac:dyDescent="0.25">
      <c r="A76" s="14">
        <f t="shared" si="3"/>
        <v>68</v>
      </c>
      <c r="B76" s="8"/>
      <c r="C76" s="15"/>
      <c r="D76" s="10" t="s">
        <v>12</v>
      </c>
      <c r="E76" s="32"/>
      <c r="F76" s="27"/>
      <c r="G76" s="18">
        <f t="shared" si="2"/>
        <v>805</v>
      </c>
      <c r="H76" s="28"/>
      <c r="I76" s="137"/>
    </row>
    <row r="77" spans="1:9" ht="18" customHeight="1" x14ac:dyDescent="0.25">
      <c r="A77" s="14">
        <f t="shared" si="3"/>
        <v>69</v>
      </c>
      <c r="B77" s="8"/>
      <c r="C77" s="15"/>
      <c r="D77" s="10" t="s">
        <v>12</v>
      </c>
      <c r="E77" s="32"/>
      <c r="F77" s="27"/>
      <c r="G77" s="18">
        <f t="shared" si="2"/>
        <v>805</v>
      </c>
      <c r="H77" s="28"/>
      <c r="I77" s="137"/>
    </row>
    <row r="78" spans="1:9" ht="18" customHeight="1" x14ac:dyDescent="0.25">
      <c r="A78" s="14">
        <f t="shared" si="3"/>
        <v>70</v>
      </c>
      <c r="B78" s="8"/>
      <c r="C78" s="15"/>
      <c r="D78" s="10" t="s">
        <v>12</v>
      </c>
      <c r="E78" s="32"/>
      <c r="F78" s="27"/>
      <c r="G78" s="18">
        <f t="shared" si="2"/>
        <v>805</v>
      </c>
      <c r="H78" s="28"/>
      <c r="I78" s="137"/>
    </row>
    <row r="79" spans="1:9" ht="18" customHeight="1" x14ac:dyDescent="0.25">
      <c r="A79" s="14">
        <f t="shared" si="3"/>
        <v>71</v>
      </c>
      <c r="B79" s="8"/>
      <c r="C79" s="15"/>
      <c r="D79" s="10" t="s">
        <v>12</v>
      </c>
      <c r="E79" s="32"/>
      <c r="F79" s="27"/>
      <c r="G79" s="18">
        <f t="shared" si="2"/>
        <v>805</v>
      </c>
      <c r="H79" s="28"/>
      <c r="I79" s="137"/>
    </row>
    <row r="80" spans="1:9" ht="18" customHeight="1" x14ac:dyDescent="0.25">
      <c r="A80" s="14">
        <f t="shared" si="3"/>
        <v>72</v>
      </c>
      <c r="B80" s="8"/>
      <c r="C80" s="15"/>
      <c r="D80" s="10" t="s">
        <v>12</v>
      </c>
      <c r="E80" s="32"/>
      <c r="F80" s="27"/>
      <c r="G80" s="18">
        <f t="shared" si="2"/>
        <v>805</v>
      </c>
      <c r="H80" s="28"/>
      <c r="I80" s="137"/>
    </row>
    <row r="81" spans="1:9" ht="18" customHeight="1" x14ac:dyDescent="0.25">
      <c r="A81" s="14">
        <f t="shared" si="3"/>
        <v>73</v>
      </c>
      <c r="B81" s="8"/>
      <c r="C81" s="15"/>
      <c r="D81" s="10" t="s">
        <v>12</v>
      </c>
      <c r="E81" s="32"/>
      <c r="F81" s="27"/>
      <c r="G81" s="18">
        <f t="shared" si="2"/>
        <v>805</v>
      </c>
      <c r="H81" s="28"/>
      <c r="I81" s="137"/>
    </row>
    <row r="82" spans="1:9" ht="18" customHeight="1" x14ac:dyDescent="0.25">
      <c r="A82" s="14">
        <f t="shared" si="3"/>
        <v>74</v>
      </c>
      <c r="B82" s="8"/>
      <c r="C82" s="15"/>
      <c r="D82" s="10" t="s">
        <v>12</v>
      </c>
      <c r="E82" s="32"/>
      <c r="F82" s="27"/>
      <c r="G82" s="18">
        <f t="shared" si="2"/>
        <v>805</v>
      </c>
      <c r="H82" s="28"/>
      <c r="I82" s="137"/>
    </row>
    <row r="83" spans="1:9" ht="18" customHeight="1" x14ac:dyDescent="0.25">
      <c r="A83" s="14">
        <f t="shared" si="3"/>
        <v>75</v>
      </c>
      <c r="B83" s="8"/>
      <c r="C83" s="15"/>
      <c r="D83" s="10" t="s">
        <v>12</v>
      </c>
      <c r="E83" s="32"/>
      <c r="F83" s="27"/>
      <c r="G83" s="18">
        <f t="shared" si="2"/>
        <v>805</v>
      </c>
      <c r="H83" s="28"/>
      <c r="I83" s="137"/>
    </row>
    <row r="84" spans="1:9" ht="18" customHeight="1" x14ac:dyDescent="0.25">
      <c r="A84" s="14">
        <f t="shared" si="3"/>
        <v>76</v>
      </c>
      <c r="B84" s="8"/>
      <c r="C84" s="15"/>
      <c r="D84" s="10" t="s">
        <v>12</v>
      </c>
      <c r="E84" s="32"/>
      <c r="F84" s="27"/>
      <c r="G84" s="18">
        <f t="shared" si="2"/>
        <v>805</v>
      </c>
      <c r="H84" s="28"/>
      <c r="I84" s="137"/>
    </row>
    <row r="85" spans="1:9" ht="18" customHeight="1" x14ac:dyDescent="0.25">
      <c r="A85" s="14">
        <f t="shared" si="3"/>
        <v>77</v>
      </c>
      <c r="B85" s="8"/>
      <c r="C85" s="15"/>
      <c r="D85" s="10" t="s">
        <v>12</v>
      </c>
      <c r="E85" s="32"/>
      <c r="F85" s="27"/>
      <c r="G85" s="18">
        <f t="shared" si="2"/>
        <v>805</v>
      </c>
      <c r="H85" s="28"/>
      <c r="I85" s="137"/>
    </row>
    <row r="86" spans="1:9" ht="18" customHeight="1" x14ac:dyDescent="0.25">
      <c r="A86" s="14">
        <f t="shared" si="3"/>
        <v>78</v>
      </c>
      <c r="B86" s="8"/>
      <c r="C86" s="15"/>
      <c r="D86" s="10" t="s">
        <v>12</v>
      </c>
      <c r="E86" s="32"/>
      <c r="F86" s="27"/>
      <c r="G86" s="18">
        <f t="shared" si="2"/>
        <v>805</v>
      </c>
      <c r="H86" s="28"/>
      <c r="I86" s="137"/>
    </row>
    <row r="87" spans="1:9" ht="18" customHeight="1" x14ac:dyDescent="0.25">
      <c r="A87" s="14">
        <f t="shared" si="3"/>
        <v>79</v>
      </c>
      <c r="B87" s="8"/>
      <c r="C87" s="15"/>
      <c r="D87" s="10" t="s">
        <v>12</v>
      </c>
      <c r="E87" s="32"/>
      <c r="F87" s="27"/>
      <c r="G87" s="18">
        <f t="shared" si="2"/>
        <v>805</v>
      </c>
      <c r="H87" s="28"/>
      <c r="I87" s="137"/>
    </row>
    <row r="88" spans="1:9" ht="18" customHeight="1" x14ac:dyDescent="0.25">
      <c r="A88" s="14">
        <f t="shared" si="3"/>
        <v>80</v>
      </c>
      <c r="B88" s="8"/>
      <c r="C88" s="15"/>
      <c r="D88" s="10" t="s">
        <v>12</v>
      </c>
      <c r="E88" s="32"/>
      <c r="F88" s="27"/>
      <c r="G88" s="18">
        <f t="shared" si="2"/>
        <v>805</v>
      </c>
      <c r="H88" s="28"/>
      <c r="I88" s="137"/>
    </row>
    <row r="89" spans="1:9" ht="18" customHeight="1" x14ac:dyDescent="0.25">
      <c r="A89" s="14">
        <f t="shared" si="3"/>
        <v>81</v>
      </c>
      <c r="B89" s="8"/>
      <c r="C89" s="15"/>
      <c r="D89" s="10" t="s">
        <v>12</v>
      </c>
      <c r="E89" s="32"/>
      <c r="F89" s="27"/>
      <c r="G89" s="18">
        <f t="shared" si="2"/>
        <v>805</v>
      </c>
      <c r="H89" s="28"/>
      <c r="I89" s="137"/>
    </row>
    <row r="90" spans="1:9" ht="18" customHeight="1" x14ac:dyDescent="0.25">
      <c r="A90" s="14">
        <f t="shared" si="3"/>
        <v>82</v>
      </c>
      <c r="B90" s="8"/>
      <c r="C90" s="15"/>
      <c r="D90" s="10" t="s">
        <v>12</v>
      </c>
      <c r="E90" s="32"/>
      <c r="F90" s="27"/>
      <c r="G90" s="18">
        <f t="shared" si="2"/>
        <v>805</v>
      </c>
      <c r="H90" s="28"/>
      <c r="I90" s="137"/>
    </row>
    <row r="91" spans="1:9" ht="18" customHeight="1" x14ac:dyDescent="0.25">
      <c r="A91" s="14">
        <f t="shared" si="3"/>
        <v>83</v>
      </c>
      <c r="B91" s="8"/>
      <c r="C91" s="15"/>
      <c r="D91" s="10" t="s">
        <v>12</v>
      </c>
      <c r="E91" s="32"/>
      <c r="F91" s="27"/>
      <c r="G91" s="18">
        <f t="shared" si="2"/>
        <v>805</v>
      </c>
      <c r="H91" s="28"/>
      <c r="I91" s="137"/>
    </row>
    <row r="92" spans="1:9" ht="18" customHeight="1" x14ac:dyDescent="0.25">
      <c r="A92" s="14">
        <f t="shared" si="3"/>
        <v>84</v>
      </c>
      <c r="B92" s="8"/>
      <c r="C92" s="15"/>
      <c r="D92" s="10" t="s">
        <v>12</v>
      </c>
      <c r="E92" s="32"/>
      <c r="F92" s="27"/>
      <c r="G92" s="18">
        <f t="shared" si="2"/>
        <v>805</v>
      </c>
      <c r="H92" s="28"/>
      <c r="I92" s="137"/>
    </row>
    <row r="93" spans="1:9" ht="18" customHeight="1" x14ac:dyDescent="0.25">
      <c r="A93" s="14">
        <f t="shared" si="3"/>
        <v>85</v>
      </c>
      <c r="B93" s="8"/>
      <c r="C93" s="15"/>
      <c r="D93" s="10" t="s">
        <v>12</v>
      </c>
      <c r="E93" s="32"/>
      <c r="F93" s="27"/>
      <c r="G93" s="18">
        <f t="shared" si="2"/>
        <v>805</v>
      </c>
      <c r="H93" s="28"/>
      <c r="I93" s="137"/>
    </row>
    <row r="94" spans="1:9" ht="18" customHeight="1" x14ac:dyDescent="0.25">
      <c r="A94" s="14">
        <f t="shared" si="3"/>
        <v>86</v>
      </c>
      <c r="B94" s="8"/>
      <c r="C94" s="15"/>
      <c r="D94" s="10" t="s">
        <v>12</v>
      </c>
      <c r="E94" s="32"/>
      <c r="F94" s="27"/>
      <c r="G94" s="18">
        <f t="shared" si="2"/>
        <v>805</v>
      </c>
      <c r="H94" s="28"/>
      <c r="I94" s="137"/>
    </row>
    <row r="95" spans="1:9" ht="18" customHeight="1" x14ac:dyDescent="0.25">
      <c r="A95" s="14">
        <f t="shared" si="3"/>
        <v>87</v>
      </c>
      <c r="B95" s="8"/>
      <c r="C95" s="15"/>
      <c r="D95" s="10" t="s">
        <v>12</v>
      </c>
      <c r="E95" s="32"/>
      <c r="F95" s="27"/>
      <c r="G95" s="18">
        <f t="shared" si="2"/>
        <v>805</v>
      </c>
      <c r="H95" s="28"/>
      <c r="I95" s="137"/>
    </row>
    <row r="96" spans="1:9" ht="18" customHeight="1" x14ac:dyDescent="0.25">
      <c r="A96" s="14">
        <f t="shared" si="3"/>
        <v>88</v>
      </c>
      <c r="B96" s="8"/>
      <c r="C96" s="15"/>
      <c r="D96" s="10" t="s">
        <v>12</v>
      </c>
      <c r="E96" s="32"/>
      <c r="F96" s="27"/>
      <c r="G96" s="18">
        <f t="shared" si="2"/>
        <v>805</v>
      </c>
      <c r="H96" s="28"/>
      <c r="I96" s="137"/>
    </row>
    <row r="97" spans="1:9" ht="18" customHeight="1" x14ac:dyDescent="0.25">
      <c r="A97" s="14">
        <f t="shared" si="3"/>
        <v>89</v>
      </c>
      <c r="B97" s="8"/>
      <c r="C97" s="15"/>
      <c r="D97" s="10" t="s">
        <v>12</v>
      </c>
      <c r="E97" s="32"/>
      <c r="F97" s="27"/>
      <c r="G97" s="18">
        <f t="shared" si="2"/>
        <v>805</v>
      </c>
      <c r="H97" s="28"/>
      <c r="I97" s="137"/>
    </row>
    <row r="98" spans="1:9" ht="18" customHeight="1" x14ac:dyDescent="0.25">
      <c r="A98" s="14">
        <f t="shared" si="3"/>
        <v>90</v>
      </c>
      <c r="B98" s="8"/>
      <c r="C98" s="15"/>
      <c r="D98" s="10" t="s">
        <v>12</v>
      </c>
      <c r="E98" s="32"/>
      <c r="F98" s="27"/>
      <c r="G98" s="18">
        <f t="shared" si="2"/>
        <v>805</v>
      </c>
      <c r="H98" s="28"/>
      <c r="I98" s="137"/>
    </row>
    <row r="99" spans="1:9" ht="18" customHeight="1" x14ac:dyDescent="0.25">
      <c r="A99" s="14">
        <f t="shared" si="3"/>
        <v>91</v>
      </c>
      <c r="B99" s="8"/>
      <c r="C99" s="15"/>
      <c r="D99" s="10" t="s">
        <v>12</v>
      </c>
      <c r="E99" s="32"/>
      <c r="F99" s="27"/>
      <c r="G99" s="18">
        <f t="shared" si="2"/>
        <v>805</v>
      </c>
      <c r="H99" s="28"/>
      <c r="I99" s="137"/>
    </row>
    <row r="100" spans="1:9" ht="18" customHeight="1" x14ac:dyDescent="0.25">
      <c r="A100" s="14">
        <f t="shared" si="3"/>
        <v>92</v>
      </c>
      <c r="B100" s="8"/>
      <c r="C100" s="15"/>
      <c r="D100" s="10" t="s">
        <v>12</v>
      </c>
      <c r="E100" s="32"/>
      <c r="F100" s="27"/>
      <c r="G100" s="18">
        <f t="shared" si="2"/>
        <v>805</v>
      </c>
      <c r="H100" s="28"/>
      <c r="I100" s="137"/>
    </row>
    <row r="101" spans="1:9" ht="18" customHeight="1" x14ac:dyDescent="0.25">
      <c r="A101" s="14">
        <f t="shared" si="3"/>
        <v>93</v>
      </c>
      <c r="B101" s="8"/>
      <c r="C101" s="15"/>
      <c r="D101" s="10"/>
      <c r="E101" s="32"/>
      <c r="F101" s="27"/>
      <c r="G101" s="18">
        <f t="shared" si="2"/>
        <v>805</v>
      </c>
      <c r="H101" s="28"/>
      <c r="I101" s="137"/>
    </row>
    <row r="102" spans="1:9" ht="18" customHeight="1" x14ac:dyDescent="0.25">
      <c r="A102" s="14">
        <f t="shared" si="3"/>
        <v>94</v>
      </c>
      <c r="B102" s="8"/>
      <c r="C102" s="15"/>
      <c r="D102" s="10"/>
      <c r="E102" s="32"/>
      <c r="F102" s="27"/>
      <c r="G102" s="18">
        <f t="shared" si="2"/>
        <v>805</v>
      </c>
      <c r="H102" s="28"/>
      <c r="I102" s="137"/>
    </row>
    <row r="103" spans="1:9" ht="18" customHeight="1" x14ac:dyDescent="0.25">
      <c r="A103" s="14">
        <f t="shared" si="3"/>
        <v>95</v>
      </c>
      <c r="B103" s="8"/>
      <c r="C103" s="15"/>
      <c r="D103" s="10"/>
      <c r="E103" s="32"/>
      <c r="F103" s="27"/>
      <c r="G103" s="18">
        <f t="shared" si="2"/>
        <v>805</v>
      </c>
      <c r="H103" s="28"/>
      <c r="I103" s="137"/>
    </row>
    <row r="104" spans="1:9" ht="18" customHeight="1" x14ac:dyDescent="0.25">
      <c r="A104" s="14">
        <f t="shared" si="3"/>
        <v>96</v>
      </c>
      <c r="B104" s="8"/>
      <c r="C104" s="15"/>
      <c r="D104" s="10"/>
      <c r="E104" s="32"/>
      <c r="F104" s="27"/>
      <c r="G104" s="18">
        <f t="shared" si="2"/>
        <v>805</v>
      </c>
      <c r="H104" s="28"/>
      <c r="I104" s="137"/>
    </row>
    <row r="105" spans="1:9" ht="18" customHeight="1" x14ac:dyDescent="0.25">
      <c r="A105" s="14">
        <f t="shared" si="3"/>
        <v>97</v>
      </c>
      <c r="B105" s="8"/>
      <c r="C105" s="15"/>
      <c r="D105" s="10"/>
      <c r="E105" s="32"/>
      <c r="F105" s="27"/>
      <c r="G105" s="18">
        <f t="shared" si="2"/>
        <v>805</v>
      </c>
      <c r="H105" s="28"/>
      <c r="I105" s="137"/>
    </row>
    <row r="106" spans="1:9" ht="18" customHeight="1" x14ac:dyDescent="0.25">
      <c r="A106" s="14">
        <f t="shared" si="3"/>
        <v>98</v>
      </c>
      <c r="B106" s="8"/>
      <c r="C106" s="15"/>
      <c r="D106" s="10"/>
      <c r="E106" s="32"/>
      <c r="F106" s="27"/>
      <c r="G106" s="18">
        <f t="shared" si="2"/>
        <v>805</v>
      </c>
      <c r="H106" s="28"/>
      <c r="I106" s="137"/>
    </row>
    <row r="107" spans="1:9" ht="18" customHeight="1" x14ac:dyDescent="0.25">
      <c r="A107" s="14">
        <f t="shared" si="3"/>
        <v>99</v>
      </c>
      <c r="B107" s="8"/>
      <c r="C107" s="15"/>
      <c r="D107" s="10"/>
      <c r="E107" s="32"/>
      <c r="F107" s="27"/>
      <c r="G107" s="18">
        <f t="shared" si="2"/>
        <v>805</v>
      </c>
      <c r="H107" s="28"/>
      <c r="I107" s="137"/>
    </row>
    <row r="108" spans="1:9" ht="18" customHeight="1" x14ac:dyDescent="0.25">
      <c r="A108" s="14">
        <f t="shared" si="3"/>
        <v>100</v>
      </c>
      <c r="B108" s="8"/>
      <c r="C108" s="15"/>
      <c r="D108" s="10"/>
      <c r="E108" s="32"/>
      <c r="F108" s="27"/>
      <c r="G108" s="18">
        <f t="shared" si="2"/>
        <v>805</v>
      </c>
      <c r="H108" s="28"/>
      <c r="I108" s="137"/>
    </row>
    <row r="109" spans="1:9" ht="18" customHeight="1" x14ac:dyDescent="0.25">
      <c r="A109" s="14">
        <f t="shared" si="3"/>
        <v>101</v>
      </c>
      <c r="B109" s="8"/>
      <c r="C109" s="15"/>
      <c r="D109" s="10"/>
      <c r="E109" s="32"/>
      <c r="F109" s="27"/>
      <c r="G109" s="18">
        <f t="shared" si="2"/>
        <v>805</v>
      </c>
      <c r="H109" s="28"/>
      <c r="I109" s="137"/>
    </row>
    <row r="110" spans="1:9" ht="18" customHeight="1" x14ac:dyDescent="0.25">
      <c r="A110" s="14">
        <f t="shared" si="3"/>
        <v>102</v>
      </c>
      <c r="B110" s="8"/>
      <c r="C110" s="15"/>
      <c r="D110" s="10"/>
      <c r="E110" s="32"/>
      <c r="F110" s="27"/>
      <c r="G110" s="18">
        <f t="shared" si="2"/>
        <v>805</v>
      </c>
      <c r="H110" s="28"/>
      <c r="I110" s="137"/>
    </row>
    <row r="111" spans="1:9" ht="18" customHeight="1" x14ac:dyDescent="0.25">
      <c r="A111" s="14">
        <f t="shared" si="3"/>
        <v>103</v>
      </c>
      <c r="B111" s="8"/>
      <c r="C111" s="15"/>
      <c r="D111" s="10"/>
      <c r="E111" s="32"/>
      <c r="F111" s="27"/>
      <c r="G111" s="18">
        <f t="shared" si="2"/>
        <v>805</v>
      </c>
      <c r="H111" s="28"/>
      <c r="I111" s="137"/>
    </row>
    <row r="112" spans="1:9" ht="18" customHeight="1" x14ac:dyDescent="0.25">
      <c r="A112" s="14">
        <f t="shared" si="3"/>
        <v>104</v>
      </c>
      <c r="B112" s="8"/>
      <c r="C112" s="15"/>
      <c r="D112" s="10"/>
      <c r="E112" s="32"/>
      <c r="F112" s="27"/>
      <c r="G112" s="18">
        <f t="shared" si="2"/>
        <v>805</v>
      </c>
      <c r="H112" s="28"/>
      <c r="I112" s="137"/>
    </row>
    <row r="113" spans="1:9" ht="18" customHeight="1" x14ac:dyDescent="0.25">
      <c r="A113" s="14">
        <f t="shared" si="3"/>
        <v>105</v>
      </c>
      <c r="B113" s="8"/>
      <c r="C113" s="15"/>
      <c r="D113" s="10"/>
      <c r="E113" s="32"/>
      <c r="F113" s="27"/>
      <c r="G113" s="18">
        <f t="shared" si="2"/>
        <v>805</v>
      </c>
      <c r="H113" s="28"/>
      <c r="I113" s="137"/>
    </row>
    <row r="114" spans="1:9" ht="18" customHeight="1" x14ac:dyDescent="0.25">
      <c r="A114" s="14">
        <f t="shared" si="3"/>
        <v>106</v>
      </c>
      <c r="B114" s="8"/>
      <c r="C114" s="15"/>
      <c r="D114" s="10"/>
      <c r="E114" s="32"/>
      <c r="F114" s="27"/>
      <c r="G114" s="18">
        <f t="shared" si="2"/>
        <v>805</v>
      </c>
      <c r="H114" s="28"/>
      <c r="I114" s="137"/>
    </row>
    <row r="115" spans="1:9" ht="18" customHeight="1" x14ac:dyDescent="0.25">
      <c r="A115" s="14">
        <f t="shared" si="3"/>
        <v>107</v>
      </c>
      <c r="B115" s="8"/>
      <c r="C115" s="15"/>
      <c r="D115" s="10"/>
      <c r="E115" s="32"/>
      <c r="F115" s="27"/>
      <c r="G115" s="18">
        <f t="shared" si="2"/>
        <v>805</v>
      </c>
      <c r="H115" s="28"/>
      <c r="I115" s="137"/>
    </row>
    <row r="116" spans="1:9" x14ac:dyDescent="0.25">
      <c r="A116" s="14">
        <f t="shared" si="3"/>
        <v>108</v>
      </c>
      <c r="B116" s="8"/>
      <c r="C116" s="7"/>
      <c r="D116" s="14"/>
      <c r="E116" s="140"/>
      <c r="F116" s="141"/>
      <c r="G116" s="18">
        <f t="shared" si="2"/>
        <v>805</v>
      </c>
      <c r="H116" s="18"/>
      <c r="I116" s="7"/>
    </row>
    <row r="117" spans="1:9" x14ac:dyDescent="0.25">
      <c r="A117" s="14">
        <f t="shared" si="3"/>
        <v>109</v>
      </c>
      <c r="B117" s="33"/>
      <c r="C117" s="7"/>
      <c r="D117" s="14"/>
      <c r="E117" s="140"/>
      <c r="F117" s="141"/>
      <c r="G117" s="18">
        <f t="shared" si="2"/>
        <v>805</v>
      </c>
      <c r="H117" s="18"/>
      <c r="I117" s="7"/>
    </row>
    <row r="118" spans="1:9" x14ac:dyDescent="0.25">
      <c r="A118" s="7"/>
      <c r="B118" s="7"/>
      <c r="C118" s="34" t="s">
        <v>13</v>
      </c>
      <c r="D118" s="7"/>
      <c r="E118" s="35">
        <f>SUM(E9:E117)</f>
        <v>0</v>
      </c>
      <c r="F118" s="35">
        <f>SUM(F9:F117)</f>
        <v>163</v>
      </c>
      <c r="G118" s="35">
        <f>+E118-F118+G8</f>
        <v>805</v>
      </c>
      <c r="H118" s="35"/>
      <c r="I118" s="36"/>
    </row>
    <row r="150" spans="6:6" x14ac:dyDescent="0.25">
      <c r="F150">
        <f>3507+360</f>
        <v>3867</v>
      </c>
    </row>
    <row r="151" spans="6:6" x14ac:dyDescent="0.25">
      <c r="F151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8894-37E2-4BD3-BD04-21EEC0CA74B4}">
  <sheetPr codeName="Sheet62"/>
  <dimension ref="A1:K154"/>
  <sheetViews>
    <sheetView workbookViewId="0">
      <selection activeCell="F25" sqref="F25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0.7109375" customWidth="1"/>
    <col min="6" max="6" width="12" customWidth="1"/>
    <col min="7" max="7" width="11.28515625" customWidth="1"/>
    <col min="8" max="8" width="19.85546875" customWidth="1"/>
    <col min="9" max="9" width="12.42578125" customWidth="1"/>
    <col min="10" max="10" width="9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37</v>
      </c>
      <c r="D8" s="10"/>
      <c r="E8" s="11"/>
      <c r="F8" s="12"/>
      <c r="G8" s="7">
        <v>614</v>
      </c>
      <c r="H8" s="7"/>
      <c r="I8" s="7"/>
    </row>
    <row r="9" spans="1:10" ht="18" customHeight="1" x14ac:dyDescent="0.25">
      <c r="A9" s="14">
        <v>1</v>
      </c>
      <c r="B9" s="39">
        <v>45746</v>
      </c>
      <c r="C9" s="15" t="s">
        <v>236</v>
      </c>
      <c r="D9" s="10" t="s">
        <v>12</v>
      </c>
      <c r="E9" s="51"/>
      <c r="F9" s="27">
        <v>27</v>
      </c>
      <c r="G9" s="18">
        <f t="shared" ref="G9:G75" si="0">+G8+E9-F9</f>
        <v>587</v>
      </c>
      <c r="H9" s="28"/>
      <c r="I9" s="7" t="s">
        <v>14</v>
      </c>
    </row>
    <row r="10" spans="1:10" ht="18" customHeight="1" x14ac:dyDescent="0.25">
      <c r="A10" s="14">
        <v>2</v>
      </c>
      <c r="B10" s="39">
        <v>45747</v>
      </c>
      <c r="C10" s="15"/>
      <c r="D10" s="10"/>
      <c r="E10" s="51"/>
      <c r="F10" s="27"/>
      <c r="G10" s="18">
        <f t="shared" si="0"/>
        <v>587</v>
      </c>
      <c r="H10" s="28"/>
      <c r="I10" s="7"/>
      <c r="J10">
        <v>22</v>
      </c>
    </row>
    <row r="11" spans="1:10" ht="18" customHeight="1" x14ac:dyDescent="0.25">
      <c r="A11" s="14">
        <v>3</v>
      </c>
      <c r="B11" s="39">
        <v>45749</v>
      </c>
      <c r="C11" s="15" t="s">
        <v>236</v>
      </c>
      <c r="D11" s="10" t="s">
        <v>12</v>
      </c>
      <c r="E11" s="16"/>
      <c r="F11" s="27">
        <v>18</v>
      </c>
      <c r="G11" s="18">
        <f t="shared" si="0"/>
        <v>569</v>
      </c>
      <c r="H11" s="28" t="s">
        <v>129</v>
      </c>
      <c r="I11" s="7" t="s">
        <v>14</v>
      </c>
    </row>
    <row r="12" spans="1:10" ht="18" customHeight="1" x14ac:dyDescent="0.25">
      <c r="A12" s="14">
        <v>4</v>
      </c>
      <c r="B12" s="8">
        <v>45750</v>
      </c>
      <c r="C12" s="15" t="s">
        <v>236</v>
      </c>
      <c r="D12" s="10" t="s">
        <v>12</v>
      </c>
      <c r="E12" s="16"/>
      <c r="F12" s="27">
        <v>51</v>
      </c>
      <c r="G12" s="18">
        <f t="shared" si="0"/>
        <v>518</v>
      </c>
      <c r="H12" s="28" t="s">
        <v>129</v>
      </c>
      <c r="I12" s="7" t="s">
        <v>14</v>
      </c>
    </row>
    <row r="13" spans="1:10" ht="18" customHeight="1" x14ac:dyDescent="0.25">
      <c r="A13" s="14">
        <v>5</v>
      </c>
      <c r="B13" s="8">
        <v>45751</v>
      </c>
      <c r="C13" s="15" t="s">
        <v>236</v>
      </c>
      <c r="D13" s="10" t="s">
        <v>12</v>
      </c>
      <c r="E13" s="16"/>
      <c r="F13" s="27">
        <v>47</v>
      </c>
      <c r="G13" s="18">
        <f t="shared" si="0"/>
        <v>471</v>
      </c>
      <c r="H13" s="28" t="s">
        <v>129</v>
      </c>
      <c r="I13" s="7" t="s">
        <v>14</v>
      </c>
    </row>
    <row r="14" spans="1:10" ht="18" customHeight="1" x14ac:dyDescent="0.25">
      <c r="A14" s="14">
        <v>6</v>
      </c>
      <c r="B14" s="8">
        <v>45752</v>
      </c>
      <c r="C14" s="15"/>
      <c r="D14" s="10"/>
      <c r="E14" s="16"/>
      <c r="F14" s="27">
        <v>22</v>
      </c>
      <c r="G14" s="18">
        <f t="shared" si="0"/>
        <v>449</v>
      </c>
      <c r="H14" s="28" t="s">
        <v>129</v>
      </c>
      <c r="I14" s="7" t="s">
        <v>261</v>
      </c>
    </row>
    <row r="15" spans="1:10" ht="18" customHeight="1" x14ac:dyDescent="0.25">
      <c r="A15" s="14">
        <v>7</v>
      </c>
      <c r="B15" s="205">
        <v>45755</v>
      </c>
      <c r="C15" s="15"/>
      <c r="D15" s="10" t="s">
        <v>12</v>
      </c>
      <c r="E15" s="16"/>
      <c r="F15" s="17">
        <v>36</v>
      </c>
      <c r="G15" s="18">
        <f t="shared" si="0"/>
        <v>413</v>
      </c>
      <c r="H15" s="28" t="s">
        <v>129</v>
      </c>
      <c r="I15" s="7" t="s">
        <v>261</v>
      </c>
    </row>
    <row r="16" spans="1:10" ht="18" customHeight="1" x14ac:dyDescent="0.25">
      <c r="A16" s="14">
        <v>8</v>
      </c>
      <c r="B16" s="205">
        <v>45756</v>
      </c>
      <c r="C16" s="15"/>
      <c r="D16" s="10"/>
      <c r="E16" s="16"/>
      <c r="F16" s="17">
        <v>39</v>
      </c>
      <c r="G16" s="18">
        <f t="shared" si="0"/>
        <v>374</v>
      </c>
      <c r="H16" s="28" t="s">
        <v>129</v>
      </c>
      <c r="I16" s="7" t="s">
        <v>261</v>
      </c>
    </row>
    <row r="17" spans="1:11" ht="18" customHeight="1" x14ac:dyDescent="0.25">
      <c r="A17" s="14">
        <v>9</v>
      </c>
      <c r="B17" s="205">
        <v>45860</v>
      </c>
      <c r="C17" s="15"/>
      <c r="D17" s="10" t="s">
        <v>12</v>
      </c>
      <c r="E17" s="16"/>
      <c r="F17" s="27">
        <v>18</v>
      </c>
      <c r="G17" s="18">
        <f t="shared" si="0"/>
        <v>356</v>
      </c>
      <c r="H17" s="28" t="s">
        <v>129</v>
      </c>
      <c r="I17" s="7" t="s">
        <v>14</v>
      </c>
      <c r="J17" s="26"/>
    </row>
    <row r="18" spans="1:11" ht="18" customHeight="1" x14ac:dyDescent="0.25">
      <c r="A18" s="14">
        <v>10</v>
      </c>
      <c r="B18" s="205">
        <v>45861</v>
      </c>
      <c r="C18" s="15"/>
      <c r="D18" s="10" t="s">
        <v>12</v>
      </c>
      <c r="E18" s="16"/>
      <c r="F18" s="17">
        <v>55</v>
      </c>
      <c r="G18" s="18">
        <f t="shared" si="0"/>
        <v>301</v>
      </c>
      <c r="H18" s="28" t="s">
        <v>129</v>
      </c>
      <c r="I18" s="7" t="s">
        <v>14</v>
      </c>
    </row>
    <row r="19" spans="1:11" ht="18" customHeight="1" x14ac:dyDescent="0.25">
      <c r="A19" s="14">
        <v>11</v>
      </c>
      <c r="B19" s="206">
        <v>45862</v>
      </c>
      <c r="C19" s="15"/>
      <c r="D19" s="10" t="s">
        <v>12</v>
      </c>
      <c r="E19" s="16"/>
      <c r="F19" s="27">
        <v>59</v>
      </c>
      <c r="G19" s="18">
        <f t="shared" si="0"/>
        <v>242</v>
      </c>
      <c r="H19" s="28" t="s">
        <v>129</v>
      </c>
      <c r="I19" s="7" t="s">
        <v>14</v>
      </c>
      <c r="J19" t="s">
        <v>148</v>
      </c>
    </row>
    <row r="20" spans="1:11" ht="18" customHeight="1" x14ac:dyDescent="0.25">
      <c r="A20" s="14">
        <v>12</v>
      </c>
      <c r="B20" s="205">
        <v>45863</v>
      </c>
      <c r="C20" s="15"/>
      <c r="D20" s="10" t="s">
        <v>12</v>
      </c>
      <c r="E20" s="16"/>
      <c r="F20" s="27">
        <v>58</v>
      </c>
      <c r="G20" s="18">
        <f t="shared" si="0"/>
        <v>184</v>
      </c>
      <c r="H20" s="28"/>
      <c r="I20" s="7" t="s">
        <v>14</v>
      </c>
    </row>
    <row r="21" spans="1:11" ht="18" customHeight="1" x14ac:dyDescent="0.25">
      <c r="A21" s="14">
        <v>13</v>
      </c>
      <c r="B21" s="8">
        <v>45864</v>
      </c>
      <c r="C21" s="15"/>
      <c r="D21" s="10" t="s">
        <v>12</v>
      </c>
      <c r="E21" s="16"/>
      <c r="F21" s="27">
        <v>29</v>
      </c>
      <c r="G21" s="18">
        <f t="shared" si="0"/>
        <v>155</v>
      </c>
      <c r="H21" s="28"/>
      <c r="I21" s="7" t="s">
        <v>14</v>
      </c>
      <c r="K21">
        <f>196*100</f>
        <v>19600</v>
      </c>
    </row>
    <row r="22" spans="1:11" ht="18" customHeight="1" x14ac:dyDescent="0.25">
      <c r="A22" s="14">
        <v>14</v>
      </c>
      <c r="B22" s="8">
        <v>45866</v>
      </c>
      <c r="C22" s="15"/>
      <c r="D22" s="10" t="s">
        <v>12</v>
      </c>
      <c r="E22" s="16"/>
      <c r="F22" s="27">
        <v>2</v>
      </c>
      <c r="G22" s="18">
        <f t="shared" si="0"/>
        <v>153</v>
      </c>
      <c r="H22" s="28"/>
      <c r="I22" s="7" t="s">
        <v>14</v>
      </c>
    </row>
    <row r="23" spans="1:11" ht="18" customHeight="1" x14ac:dyDescent="0.25">
      <c r="A23" s="14">
        <v>15</v>
      </c>
      <c r="B23" s="8">
        <v>45889</v>
      </c>
      <c r="C23" s="15"/>
      <c r="D23" s="10" t="s">
        <v>12</v>
      </c>
      <c r="E23" s="16"/>
      <c r="F23" s="17">
        <v>1</v>
      </c>
      <c r="G23" s="18">
        <f t="shared" si="0"/>
        <v>152</v>
      </c>
      <c r="H23" s="28"/>
      <c r="I23" s="7" t="s">
        <v>431</v>
      </c>
    </row>
    <row r="24" spans="1:11" ht="18" customHeight="1" x14ac:dyDescent="0.25">
      <c r="A24" s="14">
        <v>16</v>
      </c>
      <c r="B24" s="8">
        <v>45903</v>
      </c>
      <c r="C24" s="15"/>
      <c r="D24" s="10" t="s">
        <v>12</v>
      </c>
      <c r="E24" s="16"/>
      <c r="F24" s="17">
        <v>45</v>
      </c>
      <c r="G24" s="18">
        <f t="shared" si="0"/>
        <v>107</v>
      </c>
      <c r="H24" s="28"/>
      <c r="I24" s="7"/>
    </row>
    <row r="25" spans="1:11" ht="18" customHeight="1" x14ac:dyDescent="0.25">
      <c r="A25" s="14">
        <v>17</v>
      </c>
      <c r="B25" s="8">
        <v>45904</v>
      </c>
      <c r="C25" s="15"/>
      <c r="D25" s="10" t="s">
        <v>12</v>
      </c>
      <c r="E25" s="16"/>
      <c r="F25" s="17">
        <v>22</v>
      </c>
      <c r="G25" s="18">
        <f t="shared" si="0"/>
        <v>85</v>
      </c>
      <c r="H25" s="28"/>
      <c r="I25" s="7"/>
    </row>
    <row r="26" spans="1:11" ht="18" customHeight="1" x14ac:dyDescent="0.25">
      <c r="A26" s="14">
        <v>18</v>
      </c>
      <c r="B26" s="8"/>
      <c r="C26" s="15"/>
      <c r="D26" s="10" t="s">
        <v>12</v>
      </c>
      <c r="E26" s="32"/>
      <c r="F26" s="17"/>
      <c r="G26" s="18">
        <f t="shared" si="0"/>
        <v>85</v>
      </c>
      <c r="H26" s="28"/>
      <c r="I26" s="7"/>
    </row>
    <row r="27" spans="1:11" ht="18" customHeight="1" x14ac:dyDescent="0.25">
      <c r="A27" s="14">
        <v>19</v>
      </c>
      <c r="B27" s="8"/>
      <c r="C27" s="15"/>
      <c r="D27" s="10" t="s">
        <v>12</v>
      </c>
      <c r="E27" s="32"/>
      <c r="F27" s="17"/>
      <c r="G27" s="18">
        <f t="shared" si="0"/>
        <v>85</v>
      </c>
      <c r="H27" s="28"/>
      <c r="I27" s="7"/>
    </row>
    <row r="28" spans="1:11" ht="18" customHeight="1" x14ac:dyDescent="0.25">
      <c r="A28" s="14">
        <v>20</v>
      </c>
      <c r="B28" s="8"/>
      <c r="C28" s="15"/>
      <c r="D28" s="10" t="s">
        <v>12</v>
      </c>
      <c r="E28" s="32"/>
      <c r="F28" s="17"/>
      <c r="G28" s="18">
        <f t="shared" si="0"/>
        <v>85</v>
      </c>
      <c r="H28" s="28"/>
      <c r="I28" s="7"/>
    </row>
    <row r="29" spans="1:11" ht="18" customHeight="1" x14ac:dyDescent="0.25">
      <c r="A29" s="14">
        <v>21</v>
      </c>
      <c r="B29" s="8"/>
      <c r="C29" s="15"/>
      <c r="D29" s="10" t="s">
        <v>12</v>
      </c>
      <c r="E29" s="32"/>
      <c r="F29" s="17"/>
      <c r="G29" s="18">
        <f t="shared" si="0"/>
        <v>85</v>
      </c>
      <c r="H29" s="28"/>
      <c r="I29" s="7"/>
    </row>
    <row r="30" spans="1:11" ht="18" customHeight="1" x14ac:dyDescent="0.25">
      <c r="A30" s="14">
        <v>22</v>
      </c>
      <c r="B30" s="8"/>
      <c r="C30" s="15"/>
      <c r="D30" s="10" t="s">
        <v>12</v>
      </c>
      <c r="E30" s="32"/>
      <c r="F30" s="17"/>
      <c r="G30" s="18">
        <f t="shared" si="0"/>
        <v>85</v>
      </c>
      <c r="H30" s="28"/>
      <c r="I30" s="7"/>
    </row>
    <row r="31" spans="1:11" ht="18" customHeight="1" x14ac:dyDescent="0.25">
      <c r="A31" s="14">
        <v>23</v>
      </c>
      <c r="B31" s="8"/>
      <c r="C31" s="15"/>
      <c r="D31" s="10" t="s">
        <v>12</v>
      </c>
      <c r="E31" s="32"/>
      <c r="F31" s="17"/>
      <c r="G31" s="18">
        <f t="shared" si="0"/>
        <v>85</v>
      </c>
      <c r="H31" s="28"/>
      <c r="I31" s="7"/>
    </row>
    <row r="32" spans="1:11" ht="18" customHeight="1" x14ac:dyDescent="0.25">
      <c r="A32" s="14">
        <v>24</v>
      </c>
      <c r="B32" s="8"/>
      <c r="C32" s="15"/>
      <c r="D32" s="10" t="s">
        <v>12</v>
      </c>
      <c r="E32" s="32"/>
      <c r="F32" s="17"/>
      <c r="G32" s="18">
        <f t="shared" si="0"/>
        <v>85</v>
      </c>
      <c r="H32" s="28"/>
      <c r="I32" s="7"/>
    </row>
    <row r="33" spans="1:9" ht="18" customHeight="1" x14ac:dyDescent="0.25">
      <c r="A33" s="14">
        <v>25</v>
      </c>
      <c r="B33" s="8"/>
      <c r="C33" s="15"/>
      <c r="D33" s="10" t="s">
        <v>12</v>
      </c>
      <c r="E33" s="32"/>
      <c r="F33" s="27"/>
      <c r="G33" s="18">
        <f t="shared" si="0"/>
        <v>85</v>
      </c>
      <c r="H33" s="28"/>
      <c r="I33" s="7"/>
    </row>
    <row r="34" spans="1:9" ht="18" customHeight="1" x14ac:dyDescent="0.25">
      <c r="A34" s="14">
        <v>26</v>
      </c>
      <c r="B34" s="8"/>
      <c r="C34" s="15"/>
      <c r="D34" s="10" t="s">
        <v>12</v>
      </c>
      <c r="E34" s="32"/>
      <c r="F34" s="27"/>
      <c r="G34" s="18">
        <f t="shared" si="0"/>
        <v>85</v>
      </c>
      <c r="H34" s="28"/>
      <c r="I34" s="7"/>
    </row>
    <row r="35" spans="1:9" ht="18" customHeight="1" x14ac:dyDescent="0.25">
      <c r="A35" s="14">
        <v>27</v>
      </c>
      <c r="B35" s="8"/>
      <c r="C35" s="15"/>
      <c r="D35" s="10" t="s">
        <v>12</v>
      </c>
      <c r="E35" s="32"/>
      <c r="F35" s="27"/>
      <c r="G35" s="18">
        <f t="shared" si="0"/>
        <v>85</v>
      </c>
      <c r="H35" s="28"/>
      <c r="I35" s="7"/>
    </row>
    <row r="36" spans="1:9" ht="18" customHeight="1" x14ac:dyDescent="0.25">
      <c r="A36" s="14">
        <v>28</v>
      </c>
      <c r="B36" s="8"/>
      <c r="C36" s="15"/>
      <c r="D36" s="10" t="s">
        <v>12</v>
      </c>
      <c r="E36" s="32"/>
      <c r="F36" s="27"/>
      <c r="G36" s="18">
        <f t="shared" si="0"/>
        <v>85</v>
      </c>
      <c r="H36" s="28"/>
      <c r="I36" s="7"/>
    </row>
    <row r="37" spans="1:9" ht="18" customHeight="1" x14ac:dyDescent="0.25">
      <c r="A37" s="14">
        <v>29</v>
      </c>
      <c r="B37" s="8"/>
      <c r="C37" s="15"/>
      <c r="D37" s="10" t="s">
        <v>12</v>
      </c>
      <c r="E37" s="32"/>
      <c r="F37" s="27"/>
      <c r="G37" s="18">
        <f t="shared" si="0"/>
        <v>85</v>
      </c>
      <c r="H37" s="28"/>
      <c r="I37" s="7"/>
    </row>
    <row r="38" spans="1:9" ht="18" customHeight="1" x14ac:dyDescent="0.25">
      <c r="A38" s="14">
        <v>30</v>
      </c>
      <c r="B38" s="8"/>
      <c r="C38" s="15"/>
      <c r="D38" s="10" t="s">
        <v>12</v>
      </c>
      <c r="E38" s="32"/>
      <c r="F38" s="27"/>
      <c r="G38" s="18">
        <f t="shared" si="0"/>
        <v>85</v>
      </c>
      <c r="H38" s="28"/>
      <c r="I38" s="7"/>
    </row>
    <row r="39" spans="1:9" ht="18" customHeight="1" x14ac:dyDescent="0.25">
      <c r="A39" s="14">
        <v>31</v>
      </c>
      <c r="B39" s="8"/>
      <c r="C39" s="15"/>
      <c r="D39" s="10" t="s">
        <v>12</v>
      </c>
      <c r="E39" s="32"/>
      <c r="F39" s="27"/>
      <c r="G39" s="18">
        <f t="shared" si="0"/>
        <v>85</v>
      </c>
      <c r="H39" s="28"/>
      <c r="I39" s="7"/>
    </row>
    <row r="40" spans="1:9" ht="18" customHeight="1" x14ac:dyDescent="0.25">
      <c r="A40" s="14">
        <v>32</v>
      </c>
      <c r="B40" s="8"/>
      <c r="C40" s="15"/>
      <c r="D40" s="10" t="s">
        <v>12</v>
      </c>
      <c r="E40" s="32"/>
      <c r="F40" s="27"/>
      <c r="G40" s="18">
        <f t="shared" si="0"/>
        <v>85</v>
      </c>
      <c r="H40" s="28"/>
      <c r="I40" s="7"/>
    </row>
    <row r="41" spans="1:9" ht="18" customHeight="1" x14ac:dyDescent="0.25">
      <c r="A41" s="14">
        <v>33</v>
      </c>
      <c r="B41" s="8"/>
      <c r="C41" s="15"/>
      <c r="D41" s="10" t="s">
        <v>12</v>
      </c>
      <c r="E41" s="32"/>
      <c r="F41" s="40"/>
      <c r="G41" s="18">
        <f t="shared" si="0"/>
        <v>85</v>
      </c>
      <c r="H41" s="28"/>
      <c r="I41" s="7"/>
    </row>
    <row r="42" spans="1:9" ht="18" customHeight="1" x14ac:dyDescent="0.25">
      <c r="A42" s="14">
        <v>34</v>
      </c>
      <c r="B42" s="8"/>
      <c r="C42" s="15"/>
      <c r="D42" s="10" t="s">
        <v>12</v>
      </c>
      <c r="E42" s="32"/>
      <c r="F42" s="27"/>
      <c r="G42" s="18">
        <f t="shared" si="0"/>
        <v>85</v>
      </c>
      <c r="H42" s="28"/>
      <c r="I42" s="7"/>
    </row>
    <row r="43" spans="1:9" ht="18" customHeight="1" x14ac:dyDescent="0.25">
      <c r="A43" s="14">
        <v>35</v>
      </c>
      <c r="B43" s="33"/>
      <c r="C43" s="15"/>
      <c r="D43" s="10" t="s">
        <v>12</v>
      </c>
      <c r="E43" s="126"/>
      <c r="F43" s="126"/>
      <c r="G43" s="18">
        <f t="shared" si="0"/>
        <v>85</v>
      </c>
      <c r="H43" s="28"/>
      <c r="I43" s="7"/>
    </row>
    <row r="44" spans="1:9" ht="18" customHeight="1" x14ac:dyDescent="0.25">
      <c r="A44" s="14">
        <v>36</v>
      </c>
      <c r="B44" s="33"/>
      <c r="C44" s="15"/>
      <c r="D44" s="10" t="s">
        <v>12</v>
      </c>
      <c r="E44" s="126"/>
      <c r="F44" s="207"/>
      <c r="G44" s="18">
        <f t="shared" si="0"/>
        <v>85</v>
      </c>
      <c r="H44" s="28"/>
      <c r="I44" s="7"/>
    </row>
    <row r="45" spans="1:9" ht="18" customHeight="1" x14ac:dyDescent="0.25">
      <c r="A45" s="14">
        <v>37</v>
      </c>
      <c r="B45" s="33"/>
      <c r="C45" s="15"/>
      <c r="D45" s="10" t="s">
        <v>12</v>
      </c>
      <c r="E45" s="126"/>
      <c r="F45" s="207"/>
      <c r="G45" s="18">
        <f t="shared" si="0"/>
        <v>85</v>
      </c>
      <c r="H45" s="28"/>
      <c r="I45" s="7"/>
    </row>
    <row r="46" spans="1:9" ht="18" customHeight="1" x14ac:dyDescent="0.25">
      <c r="A46" s="14">
        <v>38</v>
      </c>
      <c r="B46" s="33"/>
      <c r="C46" s="15"/>
      <c r="D46" s="10" t="s">
        <v>12</v>
      </c>
      <c r="E46" s="126"/>
      <c r="F46" s="207"/>
      <c r="G46" s="18">
        <f t="shared" si="0"/>
        <v>85</v>
      </c>
      <c r="H46" s="28"/>
      <c r="I46" s="7"/>
    </row>
    <row r="47" spans="1:9" ht="18" customHeight="1" x14ac:dyDescent="0.25">
      <c r="A47" s="14">
        <v>39</v>
      </c>
      <c r="B47" s="33"/>
      <c r="C47" s="15"/>
      <c r="D47" s="10" t="s">
        <v>12</v>
      </c>
      <c r="E47" s="126"/>
      <c r="F47" s="207"/>
      <c r="G47" s="18">
        <f t="shared" si="0"/>
        <v>85</v>
      </c>
      <c r="H47" s="28"/>
      <c r="I47" s="7"/>
    </row>
    <row r="48" spans="1:9" ht="18" customHeight="1" x14ac:dyDescent="0.25">
      <c r="A48" s="14">
        <v>40</v>
      </c>
      <c r="B48" s="33"/>
      <c r="C48" s="15"/>
      <c r="D48" s="10" t="s">
        <v>12</v>
      </c>
      <c r="E48" s="126"/>
      <c r="F48" s="207"/>
      <c r="G48" s="18">
        <f t="shared" si="0"/>
        <v>85</v>
      </c>
      <c r="H48" s="28"/>
      <c r="I48" s="7"/>
    </row>
    <row r="49" spans="1:9" ht="18" customHeight="1" x14ac:dyDescent="0.25">
      <c r="A49" s="14">
        <v>41</v>
      </c>
      <c r="B49" s="33"/>
      <c r="C49" s="15"/>
      <c r="D49" s="10" t="s">
        <v>12</v>
      </c>
      <c r="E49" s="126"/>
      <c r="F49" s="207"/>
      <c r="G49" s="18">
        <f t="shared" si="0"/>
        <v>85</v>
      </c>
      <c r="H49" s="28"/>
      <c r="I49" s="7"/>
    </row>
    <row r="50" spans="1:9" ht="18" customHeight="1" x14ac:dyDescent="0.25">
      <c r="A50" s="14">
        <v>42</v>
      </c>
      <c r="B50" s="33"/>
      <c r="C50" s="15"/>
      <c r="D50" s="10" t="s">
        <v>12</v>
      </c>
      <c r="E50" s="126"/>
      <c r="F50" s="207"/>
      <c r="G50" s="18">
        <f t="shared" si="0"/>
        <v>85</v>
      </c>
      <c r="H50" s="28"/>
      <c r="I50" s="7"/>
    </row>
    <row r="51" spans="1:9" ht="18" customHeight="1" x14ac:dyDescent="0.25">
      <c r="A51" s="14">
        <v>43</v>
      </c>
      <c r="B51" s="33"/>
      <c r="C51" s="15"/>
      <c r="D51" s="10" t="s">
        <v>12</v>
      </c>
      <c r="E51" s="126"/>
      <c r="F51" s="207"/>
      <c r="G51" s="18">
        <f t="shared" si="0"/>
        <v>85</v>
      </c>
      <c r="H51" s="28"/>
      <c r="I51" s="7"/>
    </row>
    <row r="52" spans="1:9" ht="18" customHeight="1" x14ac:dyDescent="0.25">
      <c r="A52" s="14">
        <v>44</v>
      </c>
      <c r="B52" s="33"/>
      <c r="C52" s="15"/>
      <c r="D52" s="10" t="s">
        <v>12</v>
      </c>
      <c r="E52" s="126"/>
      <c r="F52" s="207"/>
      <c r="G52" s="18">
        <f t="shared" si="0"/>
        <v>85</v>
      </c>
      <c r="H52" s="28"/>
      <c r="I52" s="7"/>
    </row>
    <row r="53" spans="1:9" ht="18" customHeight="1" x14ac:dyDescent="0.25">
      <c r="A53" s="14">
        <v>45</v>
      </c>
      <c r="B53" s="33"/>
      <c r="C53" s="15"/>
      <c r="D53" s="10" t="s">
        <v>12</v>
      </c>
      <c r="E53" s="126"/>
      <c r="F53" s="207"/>
      <c r="G53" s="18">
        <f t="shared" si="0"/>
        <v>85</v>
      </c>
      <c r="H53" s="28"/>
      <c r="I53" s="137"/>
    </row>
    <row r="54" spans="1:9" ht="18" customHeight="1" x14ac:dyDescent="0.25">
      <c r="A54" s="14">
        <v>46</v>
      </c>
      <c r="B54" s="33"/>
      <c r="C54" s="15"/>
      <c r="D54" s="10" t="s">
        <v>12</v>
      </c>
      <c r="E54" s="126"/>
      <c r="F54" s="207"/>
      <c r="G54" s="18">
        <f t="shared" si="0"/>
        <v>85</v>
      </c>
      <c r="H54" s="28"/>
      <c r="I54" s="137"/>
    </row>
    <row r="55" spans="1:9" ht="18" customHeight="1" x14ac:dyDescent="0.25">
      <c r="A55" s="14">
        <v>47</v>
      </c>
      <c r="B55" s="33"/>
      <c r="C55" s="15"/>
      <c r="D55" s="10" t="s">
        <v>12</v>
      </c>
      <c r="E55" s="126"/>
      <c r="F55" s="207"/>
      <c r="G55" s="18">
        <f t="shared" si="0"/>
        <v>85</v>
      </c>
      <c r="H55" s="28"/>
      <c r="I55" s="137"/>
    </row>
    <row r="56" spans="1:9" ht="18" customHeight="1" x14ac:dyDescent="0.25">
      <c r="A56" s="14">
        <v>48</v>
      </c>
      <c r="B56" s="33"/>
      <c r="C56" s="15"/>
      <c r="D56" s="10" t="s">
        <v>12</v>
      </c>
      <c r="E56" s="126"/>
      <c r="F56" s="207"/>
      <c r="G56" s="18">
        <f t="shared" si="0"/>
        <v>85</v>
      </c>
      <c r="H56" s="28"/>
      <c r="I56" s="137"/>
    </row>
    <row r="57" spans="1:9" ht="18" customHeight="1" x14ac:dyDescent="0.25">
      <c r="A57" s="14">
        <v>49</v>
      </c>
      <c r="B57" s="33"/>
      <c r="C57" s="15"/>
      <c r="D57" s="10" t="s">
        <v>12</v>
      </c>
      <c r="E57" s="126"/>
      <c r="F57" s="207"/>
      <c r="G57" s="18">
        <f t="shared" si="0"/>
        <v>85</v>
      </c>
      <c r="H57" s="28"/>
      <c r="I57" s="137"/>
    </row>
    <row r="58" spans="1:9" ht="18" customHeight="1" x14ac:dyDescent="0.25">
      <c r="A58" s="14">
        <v>50</v>
      </c>
      <c r="B58" s="33"/>
      <c r="C58" s="15"/>
      <c r="D58" s="10" t="s">
        <v>12</v>
      </c>
      <c r="E58" s="126"/>
      <c r="F58" s="207"/>
      <c r="G58" s="18">
        <f t="shared" si="0"/>
        <v>85</v>
      </c>
      <c r="H58" s="28"/>
      <c r="I58" s="137"/>
    </row>
    <row r="59" spans="1:9" ht="18" customHeight="1" x14ac:dyDescent="0.25">
      <c r="A59" s="14">
        <v>51</v>
      </c>
      <c r="B59" s="33"/>
      <c r="C59" s="15"/>
      <c r="D59" s="10" t="s">
        <v>12</v>
      </c>
      <c r="E59" s="126"/>
      <c r="F59" s="207"/>
      <c r="G59" s="18">
        <f t="shared" si="0"/>
        <v>85</v>
      </c>
      <c r="H59" s="28"/>
      <c r="I59" s="137"/>
    </row>
    <row r="60" spans="1:9" ht="18" customHeight="1" x14ac:dyDescent="0.25">
      <c r="A60" s="14">
        <v>52</v>
      </c>
      <c r="B60" s="33"/>
      <c r="C60" s="15"/>
      <c r="D60" s="10" t="s">
        <v>12</v>
      </c>
      <c r="E60" s="126"/>
      <c r="F60" s="207"/>
      <c r="G60" s="18">
        <f t="shared" si="0"/>
        <v>85</v>
      </c>
      <c r="H60" s="28"/>
      <c r="I60" s="137"/>
    </row>
    <row r="61" spans="1:9" ht="18" customHeight="1" x14ac:dyDescent="0.25">
      <c r="A61" s="14">
        <v>53</v>
      </c>
      <c r="B61" s="33"/>
      <c r="C61" s="15"/>
      <c r="D61" s="10" t="s">
        <v>12</v>
      </c>
      <c r="E61" s="126"/>
      <c r="F61" s="207"/>
      <c r="G61" s="18">
        <f t="shared" si="0"/>
        <v>85</v>
      </c>
      <c r="H61" s="28"/>
      <c r="I61" s="137"/>
    </row>
    <row r="62" spans="1:9" ht="18" customHeight="1" x14ac:dyDescent="0.25">
      <c r="A62" s="14">
        <v>54</v>
      </c>
      <c r="B62" s="33"/>
      <c r="C62" s="15"/>
      <c r="D62" s="10" t="s">
        <v>12</v>
      </c>
      <c r="E62" s="126"/>
      <c r="F62" s="207"/>
      <c r="G62" s="18">
        <f t="shared" si="0"/>
        <v>85</v>
      </c>
      <c r="H62" s="28"/>
      <c r="I62" s="137"/>
    </row>
    <row r="63" spans="1:9" ht="18" customHeight="1" x14ac:dyDescent="0.25">
      <c r="A63" s="14">
        <v>55</v>
      </c>
      <c r="B63" s="33"/>
      <c r="C63" s="15"/>
      <c r="D63" s="10" t="s">
        <v>12</v>
      </c>
      <c r="E63" s="126"/>
      <c r="F63" s="207"/>
      <c r="G63" s="18">
        <f t="shared" si="0"/>
        <v>85</v>
      </c>
      <c r="H63" s="28"/>
      <c r="I63" s="137"/>
    </row>
    <row r="64" spans="1:9" ht="18" customHeight="1" x14ac:dyDescent="0.25">
      <c r="A64" s="14">
        <v>56</v>
      </c>
      <c r="B64" s="33"/>
      <c r="C64" s="15"/>
      <c r="D64" s="10" t="s">
        <v>12</v>
      </c>
      <c r="E64" s="126"/>
      <c r="F64" s="207"/>
      <c r="G64" s="18">
        <f t="shared" si="0"/>
        <v>85</v>
      </c>
      <c r="H64" s="28"/>
      <c r="I64" s="137"/>
    </row>
    <row r="65" spans="1:9" ht="18" customHeight="1" x14ac:dyDescent="0.25">
      <c r="A65" s="14">
        <v>57</v>
      </c>
      <c r="B65" s="33"/>
      <c r="C65" s="15"/>
      <c r="D65" s="10" t="s">
        <v>12</v>
      </c>
      <c r="E65" s="126"/>
      <c r="F65" s="207"/>
      <c r="G65" s="18">
        <f t="shared" si="0"/>
        <v>85</v>
      </c>
      <c r="H65" s="28"/>
      <c r="I65" s="137"/>
    </row>
    <row r="66" spans="1:9" ht="18" customHeight="1" x14ac:dyDescent="0.25">
      <c r="A66" s="14">
        <v>58</v>
      </c>
      <c r="B66" s="8"/>
      <c r="C66" s="15"/>
      <c r="D66" s="10" t="s">
        <v>12</v>
      </c>
      <c r="E66" s="32"/>
      <c r="F66" s="27"/>
      <c r="G66" s="18">
        <f t="shared" si="0"/>
        <v>85</v>
      </c>
      <c r="H66" s="28"/>
      <c r="I66" s="137"/>
    </row>
    <row r="67" spans="1:9" ht="18" customHeight="1" x14ac:dyDescent="0.25">
      <c r="A67" s="14">
        <v>59</v>
      </c>
      <c r="B67" s="8"/>
      <c r="C67" s="15"/>
      <c r="D67" s="10" t="s">
        <v>12</v>
      </c>
      <c r="E67" s="32"/>
      <c r="F67" s="27"/>
      <c r="G67" s="18">
        <f t="shared" si="0"/>
        <v>85</v>
      </c>
      <c r="H67" s="28"/>
      <c r="I67" s="137"/>
    </row>
    <row r="68" spans="1:9" ht="18" customHeight="1" x14ac:dyDescent="0.25">
      <c r="A68" s="14">
        <v>60</v>
      </c>
      <c r="B68" s="8"/>
      <c r="C68" s="15"/>
      <c r="D68" s="10" t="s">
        <v>12</v>
      </c>
      <c r="E68" s="32"/>
      <c r="F68" s="27"/>
      <c r="G68" s="18">
        <f t="shared" si="0"/>
        <v>85</v>
      </c>
      <c r="H68" s="28"/>
      <c r="I68" s="137"/>
    </row>
    <row r="69" spans="1:9" ht="18" customHeight="1" x14ac:dyDescent="0.25">
      <c r="A69" s="14">
        <v>61</v>
      </c>
      <c r="B69" s="8"/>
      <c r="C69" s="15"/>
      <c r="D69" s="10" t="s">
        <v>12</v>
      </c>
      <c r="E69" s="32"/>
      <c r="F69" s="27"/>
      <c r="G69" s="18">
        <f t="shared" si="0"/>
        <v>85</v>
      </c>
      <c r="H69" s="28"/>
      <c r="I69" s="137"/>
    </row>
    <row r="70" spans="1:9" ht="18" customHeight="1" x14ac:dyDescent="0.25">
      <c r="A70" s="14">
        <v>62</v>
      </c>
      <c r="B70" s="8"/>
      <c r="C70" s="15"/>
      <c r="D70" s="10" t="s">
        <v>12</v>
      </c>
      <c r="E70" s="32"/>
      <c r="F70" s="27"/>
      <c r="G70" s="18">
        <f t="shared" si="0"/>
        <v>85</v>
      </c>
      <c r="H70" s="28"/>
      <c r="I70" s="137"/>
    </row>
    <row r="71" spans="1:9" ht="18" customHeight="1" x14ac:dyDescent="0.25">
      <c r="A71" s="14">
        <v>63</v>
      </c>
      <c r="B71" s="8"/>
      <c r="C71" s="15"/>
      <c r="D71" s="10" t="s">
        <v>12</v>
      </c>
      <c r="E71" s="32"/>
      <c r="F71" s="27"/>
      <c r="G71" s="18">
        <f t="shared" si="0"/>
        <v>85</v>
      </c>
      <c r="H71" s="28"/>
      <c r="I71" s="137"/>
    </row>
    <row r="72" spans="1:9" ht="18" customHeight="1" x14ac:dyDescent="0.25">
      <c r="A72" s="14">
        <v>64</v>
      </c>
      <c r="B72" s="8"/>
      <c r="C72" s="15"/>
      <c r="D72" s="10" t="s">
        <v>12</v>
      </c>
      <c r="E72" s="32"/>
      <c r="F72" s="27"/>
      <c r="G72" s="18">
        <f t="shared" si="0"/>
        <v>85</v>
      </c>
      <c r="H72" s="28"/>
      <c r="I72" s="137"/>
    </row>
    <row r="73" spans="1:9" ht="18" customHeight="1" x14ac:dyDescent="0.25">
      <c r="A73" s="14">
        <v>65</v>
      </c>
      <c r="B73" s="8"/>
      <c r="C73" s="15"/>
      <c r="D73" s="10" t="s">
        <v>12</v>
      </c>
      <c r="E73" s="32"/>
      <c r="F73" s="27"/>
      <c r="G73" s="18">
        <f t="shared" si="0"/>
        <v>85</v>
      </c>
      <c r="H73" s="28"/>
      <c r="I73" s="137"/>
    </row>
    <row r="74" spans="1:9" ht="18" customHeight="1" x14ac:dyDescent="0.25">
      <c r="A74" s="14">
        <v>66</v>
      </c>
      <c r="B74" s="8"/>
      <c r="C74" s="15"/>
      <c r="D74" s="10" t="s">
        <v>12</v>
      </c>
      <c r="E74" s="32"/>
      <c r="F74" s="27"/>
      <c r="G74" s="18">
        <f t="shared" si="0"/>
        <v>85</v>
      </c>
      <c r="H74" s="28"/>
      <c r="I74" s="137"/>
    </row>
    <row r="75" spans="1:9" ht="18" customHeight="1" x14ac:dyDescent="0.25">
      <c r="A75" s="14">
        <v>67</v>
      </c>
      <c r="B75" s="8"/>
      <c r="C75" s="15"/>
      <c r="D75" s="10" t="s">
        <v>12</v>
      </c>
      <c r="E75" s="32"/>
      <c r="F75" s="27"/>
      <c r="G75" s="18">
        <f t="shared" si="0"/>
        <v>85</v>
      </c>
      <c r="H75" s="28"/>
      <c r="I75" s="137"/>
    </row>
    <row r="76" spans="1:9" ht="18" customHeight="1" x14ac:dyDescent="0.25">
      <c r="A76" s="14">
        <v>68</v>
      </c>
      <c r="B76" s="8"/>
      <c r="C76" s="15"/>
      <c r="D76" s="10" t="s">
        <v>12</v>
      </c>
      <c r="E76" s="32"/>
      <c r="F76" s="27"/>
      <c r="G76" s="18">
        <f t="shared" ref="G76:G120" si="1">+G75+E76-F76</f>
        <v>85</v>
      </c>
      <c r="H76" s="28"/>
      <c r="I76" s="137"/>
    </row>
    <row r="77" spans="1:9" ht="18" customHeight="1" x14ac:dyDescent="0.25">
      <c r="A77" s="14">
        <v>69</v>
      </c>
      <c r="B77" s="8"/>
      <c r="C77" s="15"/>
      <c r="D77" s="10" t="s">
        <v>12</v>
      </c>
      <c r="E77" s="32"/>
      <c r="F77" s="27"/>
      <c r="G77" s="18">
        <f t="shared" si="1"/>
        <v>85</v>
      </c>
      <c r="H77" s="28"/>
      <c r="I77" s="137"/>
    </row>
    <row r="78" spans="1:9" ht="18" customHeight="1" x14ac:dyDescent="0.25">
      <c r="A78" s="14">
        <v>70</v>
      </c>
      <c r="B78" s="8"/>
      <c r="C78" s="15"/>
      <c r="D78" s="10" t="s">
        <v>12</v>
      </c>
      <c r="E78" s="32"/>
      <c r="F78" s="27"/>
      <c r="G78" s="18">
        <f t="shared" si="1"/>
        <v>85</v>
      </c>
      <c r="H78" s="28"/>
      <c r="I78" s="137"/>
    </row>
    <row r="79" spans="1:9" ht="18" customHeight="1" x14ac:dyDescent="0.25">
      <c r="A79" s="14">
        <v>71</v>
      </c>
      <c r="B79" s="8"/>
      <c r="C79" s="15"/>
      <c r="D79" s="10" t="s">
        <v>12</v>
      </c>
      <c r="E79" s="32"/>
      <c r="F79" s="27"/>
      <c r="G79" s="18">
        <f t="shared" si="1"/>
        <v>85</v>
      </c>
      <c r="H79" s="28"/>
      <c r="I79" s="137"/>
    </row>
    <row r="80" spans="1:9" ht="18" customHeight="1" x14ac:dyDescent="0.25">
      <c r="A80" s="14">
        <v>72</v>
      </c>
      <c r="B80" s="8"/>
      <c r="C80" s="15"/>
      <c r="D80" s="10" t="s">
        <v>12</v>
      </c>
      <c r="E80" s="32"/>
      <c r="F80" s="27"/>
      <c r="G80" s="18">
        <f t="shared" si="1"/>
        <v>85</v>
      </c>
      <c r="H80" s="28"/>
      <c r="I80" s="137"/>
    </row>
    <row r="81" spans="1:9" ht="18" customHeight="1" x14ac:dyDescent="0.25">
      <c r="A81" s="14">
        <v>73</v>
      </c>
      <c r="B81" s="8"/>
      <c r="C81" s="15"/>
      <c r="D81" s="10" t="s">
        <v>12</v>
      </c>
      <c r="E81" s="32"/>
      <c r="F81" s="27"/>
      <c r="G81" s="18">
        <f t="shared" si="1"/>
        <v>85</v>
      </c>
      <c r="H81" s="28"/>
      <c r="I81" s="137"/>
    </row>
    <row r="82" spans="1:9" ht="18" customHeight="1" x14ac:dyDescent="0.25">
      <c r="A82" s="14">
        <v>74</v>
      </c>
      <c r="B82" s="8"/>
      <c r="C82" s="15"/>
      <c r="D82" s="10" t="s">
        <v>12</v>
      </c>
      <c r="E82" s="32"/>
      <c r="F82" s="27"/>
      <c r="G82" s="18">
        <f t="shared" si="1"/>
        <v>85</v>
      </c>
      <c r="H82" s="28"/>
      <c r="I82" s="137"/>
    </row>
    <row r="83" spans="1:9" ht="18" customHeight="1" x14ac:dyDescent="0.25">
      <c r="A83" s="14">
        <v>75</v>
      </c>
      <c r="B83" s="8"/>
      <c r="C83" s="15"/>
      <c r="D83" s="10" t="s">
        <v>12</v>
      </c>
      <c r="E83" s="32"/>
      <c r="F83" s="27"/>
      <c r="G83" s="18">
        <f t="shared" si="1"/>
        <v>85</v>
      </c>
      <c r="H83" s="28"/>
      <c r="I83" s="137"/>
    </row>
    <row r="84" spans="1:9" ht="18" customHeight="1" x14ac:dyDescent="0.25">
      <c r="A84" s="14">
        <v>76</v>
      </c>
      <c r="B84" s="8"/>
      <c r="C84" s="15"/>
      <c r="D84" s="10" t="s">
        <v>12</v>
      </c>
      <c r="E84" s="32"/>
      <c r="F84" s="27"/>
      <c r="G84" s="18">
        <f t="shared" si="1"/>
        <v>85</v>
      </c>
      <c r="H84" s="28"/>
      <c r="I84" s="137"/>
    </row>
    <row r="85" spans="1:9" ht="18" customHeight="1" x14ac:dyDescent="0.25">
      <c r="A85" s="14">
        <v>77</v>
      </c>
      <c r="B85" s="8"/>
      <c r="C85" s="15"/>
      <c r="D85" s="10" t="s">
        <v>12</v>
      </c>
      <c r="E85" s="32"/>
      <c r="F85" s="27"/>
      <c r="G85" s="18">
        <f t="shared" si="1"/>
        <v>85</v>
      </c>
      <c r="H85" s="28"/>
      <c r="I85" s="137"/>
    </row>
    <row r="86" spans="1:9" ht="18" customHeight="1" x14ac:dyDescent="0.25">
      <c r="A86" s="14">
        <v>78</v>
      </c>
      <c r="B86" s="8"/>
      <c r="C86" s="15"/>
      <c r="D86" s="10" t="s">
        <v>12</v>
      </c>
      <c r="E86" s="32"/>
      <c r="F86" s="27"/>
      <c r="G86" s="18">
        <f t="shared" si="1"/>
        <v>85</v>
      </c>
      <c r="H86" s="28"/>
      <c r="I86" s="137"/>
    </row>
    <row r="87" spans="1:9" ht="18" customHeight="1" x14ac:dyDescent="0.25">
      <c r="A87" s="14">
        <v>79</v>
      </c>
      <c r="B87" s="8"/>
      <c r="C87" s="15"/>
      <c r="D87" s="10" t="s">
        <v>12</v>
      </c>
      <c r="E87" s="32"/>
      <c r="F87" s="27"/>
      <c r="G87" s="18">
        <f t="shared" si="1"/>
        <v>85</v>
      </c>
      <c r="H87" s="28"/>
      <c r="I87" s="137"/>
    </row>
    <row r="88" spans="1:9" ht="18" customHeight="1" x14ac:dyDescent="0.25">
      <c r="A88" s="14">
        <v>80</v>
      </c>
      <c r="B88" s="8"/>
      <c r="C88" s="15"/>
      <c r="D88" s="10" t="s">
        <v>12</v>
      </c>
      <c r="E88" s="32"/>
      <c r="F88" s="27"/>
      <c r="G88" s="18">
        <f t="shared" si="1"/>
        <v>85</v>
      </c>
      <c r="H88" s="28"/>
      <c r="I88" s="137"/>
    </row>
    <row r="89" spans="1:9" ht="18" customHeight="1" x14ac:dyDescent="0.25">
      <c r="A89" s="14">
        <v>81</v>
      </c>
      <c r="B89" s="8"/>
      <c r="C89" s="15"/>
      <c r="D89" s="10" t="s">
        <v>12</v>
      </c>
      <c r="E89" s="32"/>
      <c r="F89" s="27"/>
      <c r="G89" s="18">
        <f t="shared" si="1"/>
        <v>85</v>
      </c>
      <c r="H89" s="28"/>
      <c r="I89" s="137"/>
    </row>
    <row r="90" spans="1:9" ht="18" customHeight="1" x14ac:dyDescent="0.25">
      <c r="A90" s="14">
        <v>82</v>
      </c>
      <c r="B90" s="8"/>
      <c r="C90" s="15"/>
      <c r="D90" s="10" t="s">
        <v>12</v>
      </c>
      <c r="E90" s="32"/>
      <c r="F90" s="27"/>
      <c r="G90" s="18">
        <f t="shared" si="1"/>
        <v>85</v>
      </c>
      <c r="H90" s="28"/>
      <c r="I90" s="137"/>
    </row>
    <row r="91" spans="1:9" ht="18" customHeight="1" x14ac:dyDescent="0.25">
      <c r="A91" s="14">
        <v>83</v>
      </c>
      <c r="B91" s="8"/>
      <c r="C91" s="15"/>
      <c r="D91" s="10" t="s">
        <v>12</v>
      </c>
      <c r="E91" s="32"/>
      <c r="F91" s="27"/>
      <c r="G91" s="18">
        <f t="shared" si="1"/>
        <v>85</v>
      </c>
      <c r="H91" s="28"/>
      <c r="I91" s="137"/>
    </row>
    <row r="92" spans="1:9" ht="18" customHeight="1" x14ac:dyDescent="0.25">
      <c r="A92" s="14">
        <v>84</v>
      </c>
      <c r="B92" s="8"/>
      <c r="C92" s="15"/>
      <c r="D92" s="10" t="s">
        <v>12</v>
      </c>
      <c r="E92" s="32"/>
      <c r="F92" s="27"/>
      <c r="G92" s="18">
        <f t="shared" si="1"/>
        <v>85</v>
      </c>
      <c r="H92" s="28"/>
      <c r="I92" s="137"/>
    </row>
    <row r="93" spans="1:9" ht="18" customHeight="1" x14ac:dyDescent="0.25">
      <c r="A93" s="14">
        <v>85</v>
      </c>
      <c r="B93" s="8"/>
      <c r="C93" s="15"/>
      <c r="D93" s="10" t="s">
        <v>12</v>
      </c>
      <c r="E93" s="32"/>
      <c r="F93" s="27"/>
      <c r="G93" s="18">
        <f t="shared" si="1"/>
        <v>85</v>
      </c>
      <c r="H93" s="28"/>
      <c r="I93" s="137"/>
    </row>
    <row r="94" spans="1:9" ht="18" customHeight="1" x14ac:dyDescent="0.25">
      <c r="A94" s="14">
        <v>86</v>
      </c>
      <c r="B94" s="8"/>
      <c r="C94" s="15"/>
      <c r="D94" s="10" t="s">
        <v>12</v>
      </c>
      <c r="E94" s="32"/>
      <c r="F94" s="27"/>
      <c r="G94" s="18">
        <f t="shared" si="1"/>
        <v>85</v>
      </c>
      <c r="H94" s="28"/>
      <c r="I94" s="137"/>
    </row>
    <row r="95" spans="1:9" ht="18" customHeight="1" x14ac:dyDescent="0.25">
      <c r="A95" s="14">
        <v>87</v>
      </c>
      <c r="B95" s="8"/>
      <c r="C95" s="15"/>
      <c r="D95" s="10" t="s">
        <v>12</v>
      </c>
      <c r="E95" s="32"/>
      <c r="F95" s="27"/>
      <c r="G95" s="18">
        <f t="shared" si="1"/>
        <v>85</v>
      </c>
      <c r="H95" s="28"/>
      <c r="I95" s="137"/>
    </row>
    <row r="96" spans="1:9" ht="18" customHeight="1" x14ac:dyDescent="0.25">
      <c r="A96" s="14">
        <v>88</v>
      </c>
      <c r="B96" s="8"/>
      <c r="C96" s="15"/>
      <c r="D96" s="10" t="s">
        <v>12</v>
      </c>
      <c r="E96" s="32"/>
      <c r="F96" s="27"/>
      <c r="G96" s="18">
        <f t="shared" si="1"/>
        <v>85</v>
      </c>
      <c r="H96" s="28"/>
      <c r="I96" s="137"/>
    </row>
    <row r="97" spans="1:9" ht="18" customHeight="1" x14ac:dyDescent="0.25">
      <c r="A97" s="14">
        <v>89</v>
      </c>
      <c r="B97" s="8"/>
      <c r="C97" s="15"/>
      <c r="D97" s="10" t="s">
        <v>12</v>
      </c>
      <c r="E97" s="32"/>
      <c r="F97" s="27"/>
      <c r="G97" s="18">
        <f t="shared" si="1"/>
        <v>85</v>
      </c>
      <c r="H97" s="28"/>
      <c r="I97" s="137"/>
    </row>
    <row r="98" spans="1:9" ht="18" customHeight="1" x14ac:dyDescent="0.25">
      <c r="A98" s="14">
        <v>90</v>
      </c>
      <c r="B98" s="8"/>
      <c r="C98" s="15"/>
      <c r="D98" s="10" t="s">
        <v>12</v>
      </c>
      <c r="E98" s="32"/>
      <c r="F98" s="27"/>
      <c r="G98" s="18">
        <f t="shared" si="1"/>
        <v>85</v>
      </c>
      <c r="H98" s="28"/>
      <c r="I98" s="137"/>
    </row>
    <row r="99" spans="1:9" ht="18" customHeight="1" x14ac:dyDescent="0.25">
      <c r="A99" s="14">
        <v>91</v>
      </c>
      <c r="B99" s="8"/>
      <c r="C99" s="15"/>
      <c r="D99" s="10" t="s">
        <v>12</v>
      </c>
      <c r="E99" s="32"/>
      <c r="F99" s="27"/>
      <c r="G99" s="18">
        <f t="shared" si="1"/>
        <v>85</v>
      </c>
      <c r="H99" s="28"/>
      <c r="I99" s="137"/>
    </row>
    <row r="100" spans="1:9" ht="18" customHeight="1" x14ac:dyDescent="0.25">
      <c r="A100" s="14">
        <v>92</v>
      </c>
      <c r="B100" s="8"/>
      <c r="C100" s="15"/>
      <c r="D100" s="10" t="s">
        <v>12</v>
      </c>
      <c r="E100" s="32"/>
      <c r="F100" s="27"/>
      <c r="G100" s="18">
        <f t="shared" si="1"/>
        <v>85</v>
      </c>
      <c r="H100" s="28"/>
      <c r="I100" s="137"/>
    </row>
    <row r="101" spans="1:9" ht="18" customHeight="1" x14ac:dyDescent="0.25">
      <c r="A101" s="14">
        <v>93</v>
      </c>
      <c r="B101" s="8"/>
      <c r="C101" s="15"/>
      <c r="D101" s="10" t="s">
        <v>12</v>
      </c>
      <c r="E101" s="32"/>
      <c r="F101" s="27"/>
      <c r="G101" s="18">
        <f t="shared" si="1"/>
        <v>85</v>
      </c>
      <c r="H101" s="28"/>
      <c r="I101" s="137"/>
    </row>
    <row r="102" spans="1:9" ht="18" customHeight="1" x14ac:dyDescent="0.25">
      <c r="A102" s="14">
        <v>94</v>
      </c>
      <c r="B102" s="8"/>
      <c r="C102" s="15"/>
      <c r="D102" s="10" t="s">
        <v>12</v>
      </c>
      <c r="E102" s="32"/>
      <c r="F102" s="27"/>
      <c r="G102" s="18">
        <f t="shared" si="1"/>
        <v>85</v>
      </c>
      <c r="H102" s="28"/>
      <c r="I102" s="137"/>
    </row>
    <row r="103" spans="1:9" ht="18" customHeight="1" x14ac:dyDescent="0.25">
      <c r="A103" s="14">
        <v>95</v>
      </c>
      <c r="B103" s="8"/>
      <c r="C103" s="15"/>
      <c r="D103" s="10" t="s">
        <v>12</v>
      </c>
      <c r="E103" s="32"/>
      <c r="F103" s="27"/>
      <c r="G103" s="18">
        <f t="shared" si="1"/>
        <v>85</v>
      </c>
      <c r="H103" s="28"/>
      <c r="I103" s="137"/>
    </row>
    <row r="104" spans="1:9" ht="18" customHeight="1" x14ac:dyDescent="0.25">
      <c r="A104" s="14">
        <v>96</v>
      </c>
      <c r="B104" s="8"/>
      <c r="C104" s="15"/>
      <c r="D104" s="10"/>
      <c r="E104" s="32"/>
      <c r="F104" s="27"/>
      <c r="G104" s="18">
        <f t="shared" si="1"/>
        <v>85</v>
      </c>
      <c r="H104" s="28"/>
      <c r="I104" s="137"/>
    </row>
    <row r="105" spans="1:9" ht="18" customHeight="1" x14ac:dyDescent="0.25">
      <c r="A105" s="14">
        <v>97</v>
      </c>
      <c r="B105" s="8"/>
      <c r="C105" s="15"/>
      <c r="D105" s="10"/>
      <c r="E105" s="32"/>
      <c r="F105" s="27"/>
      <c r="G105" s="18">
        <f t="shared" si="1"/>
        <v>85</v>
      </c>
      <c r="H105" s="28"/>
      <c r="I105" s="137"/>
    </row>
    <row r="106" spans="1:9" ht="18" customHeight="1" x14ac:dyDescent="0.25">
      <c r="A106" s="14">
        <v>98</v>
      </c>
      <c r="B106" s="8"/>
      <c r="C106" s="15"/>
      <c r="D106" s="10"/>
      <c r="E106" s="32"/>
      <c r="F106" s="27"/>
      <c r="G106" s="18">
        <f t="shared" si="1"/>
        <v>85</v>
      </c>
      <c r="H106" s="28"/>
      <c r="I106" s="137"/>
    </row>
    <row r="107" spans="1:9" ht="18" customHeight="1" x14ac:dyDescent="0.25">
      <c r="A107" s="14">
        <v>99</v>
      </c>
      <c r="B107" s="8"/>
      <c r="C107" s="15"/>
      <c r="D107" s="10"/>
      <c r="E107" s="32"/>
      <c r="F107" s="27"/>
      <c r="G107" s="18">
        <f t="shared" si="1"/>
        <v>85</v>
      </c>
      <c r="H107" s="28"/>
      <c r="I107" s="137"/>
    </row>
    <row r="108" spans="1:9" ht="18" customHeight="1" x14ac:dyDescent="0.25">
      <c r="A108" s="14">
        <v>100</v>
      </c>
      <c r="B108" s="8"/>
      <c r="C108" s="15"/>
      <c r="D108" s="10"/>
      <c r="E108" s="32"/>
      <c r="F108" s="27"/>
      <c r="G108" s="18">
        <f t="shared" si="1"/>
        <v>85</v>
      </c>
      <c r="H108" s="28"/>
      <c r="I108" s="137"/>
    </row>
    <row r="109" spans="1:9" ht="18" customHeight="1" x14ac:dyDescent="0.25">
      <c r="A109" s="14">
        <v>101</v>
      </c>
      <c r="B109" s="8"/>
      <c r="C109" s="15"/>
      <c r="D109" s="10"/>
      <c r="E109" s="32"/>
      <c r="F109" s="27"/>
      <c r="G109" s="18">
        <f t="shared" si="1"/>
        <v>85</v>
      </c>
      <c r="H109" s="28"/>
      <c r="I109" s="137"/>
    </row>
    <row r="110" spans="1:9" ht="18" customHeight="1" x14ac:dyDescent="0.25">
      <c r="A110" s="14">
        <v>102</v>
      </c>
      <c r="B110" s="8"/>
      <c r="C110" s="15"/>
      <c r="D110" s="10"/>
      <c r="E110" s="32"/>
      <c r="F110" s="27"/>
      <c r="G110" s="18">
        <f t="shared" si="1"/>
        <v>85</v>
      </c>
      <c r="H110" s="28"/>
      <c r="I110" s="137"/>
    </row>
    <row r="111" spans="1:9" ht="18" customHeight="1" x14ac:dyDescent="0.25">
      <c r="A111" s="14">
        <v>103</v>
      </c>
      <c r="B111" s="8"/>
      <c r="C111" s="15"/>
      <c r="D111" s="10"/>
      <c r="E111" s="32"/>
      <c r="F111" s="27"/>
      <c r="G111" s="18">
        <f t="shared" si="1"/>
        <v>85</v>
      </c>
      <c r="H111" s="28"/>
      <c r="I111" s="137"/>
    </row>
    <row r="112" spans="1:9" ht="18" customHeight="1" x14ac:dyDescent="0.25">
      <c r="A112" s="14">
        <v>104</v>
      </c>
      <c r="B112" s="8"/>
      <c r="C112" s="15"/>
      <c r="D112" s="10"/>
      <c r="E112" s="32"/>
      <c r="F112" s="27"/>
      <c r="G112" s="18">
        <f t="shared" si="1"/>
        <v>85</v>
      </c>
      <c r="H112" s="28"/>
      <c r="I112" s="137"/>
    </row>
    <row r="113" spans="1:9" ht="18" customHeight="1" x14ac:dyDescent="0.25">
      <c r="A113" s="14">
        <v>105</v>
      </c>
      <c r="B113" s="8"/>
      <c r="C113" s="15"/>
      <c r="D113" s="10"/>
      <c r="E113" s="32"/>
      <c r="F113" s="27"/>
      <c r="G113" s="18">
        <f t="shared" si="1"/>
        <v>85</v>
      </c>
      <c r="H113" s="28"/>
      <c r="I113" s="137"/>
    </row>
    <row r="114" spans="1:9" ht="18" customHeight="1" x14ac:dyDescent="0.25">
      <c r="A114" s="14">
        <v>106</v>
      </c>
      <c r="B114" s="8"/>
      <c r="C114" s="15"/>
      <c r="D114" s="10"/>
      <c r="E114" s="32"/>
      <c r="F114" s="27"/>
      <c r="G114" s="18">
        <f t="shared" si="1"/>
        <v>85</v>
      </c>
      <c r="H114" s="28"/>
      <c r="I114" s="137"/>
    </row>
    <row r="115" spans="1:9" ht="18" customHeight="1" x14ac:dyDescent="0.25">
      <c r="A115" s="14">
        <v>107</v>
      </c>
      <c r="B115" s="8"/>
      <c r="C115" s="15"/>
      <c r="D115" s="10"/>
      <c r="E115" s="32"/>
      <c r="F115" s="27"/>
      <c r="G115" s="18">
        <f t="shared" si="1"/>
        <v>85</v>
      </c>
      <c r="H115" s="28"/>
      <c r="I115" s="137"/>
    </row>
    <row r="116" spans="1:9" ht="18" customHeight="1" x14ac:dyDescent="0.25">
      <c r="A116" s="14">
        <v>108</v>
      </c>
      <c r="B116" s="8"/>
      <c r="C116" s="15"/>
      <c r="D116" s="10"/>
      <c r="E116" s="32"/>
      <c r="F116" s="27"/>
      <c r="G116" s="18">
        <f t="shared" si="1"/>
        <v>85</v>
      </c>
      <c r="H116" s="28"/>
      <c r="I116" s="137"/>
    </row>
    <row r="117" spans="1:9" ht="18" customHeight="1" x14ac:dyDescent="0.25">
      <c r="A117" s="14">
        <v>109</v>
      </c>
      <c r="B117" s="8"/>
      <c r="C117" s="15"/>
      <c r="D117" s="10"/>
      <c r="E117" s="32"/>
      <c r="F117" s="27"/>
      <c r="G117" s="18">
        <f t="shared" si="1"/>
        <v>85</v>
      </c>
      <c r="H117" s="28"/>
      <c r="I117" s="137"/>
    </row>
    <row r="118" spans="1:9" ht="18" customHeight="1" x14ac:dyDescent="0.25">
      <c r="A118" s="14">
        <v>110</v>
      </c>
      <c r="B118" s="8"/>
      <c r="C118" s="15"/>
      <c r="D118" s="10"/>
      <c r="E118" s="32"/>
      <c r="F118" s="27"/>
      <c r="G118" s="18">
        <f t="shared" si="1"/>
        <v>85</v>
      </c>
      <c r="H118" s="28"/>
      <c r="I118" s="137"/>
    </row>
    <row r="119" spans="1:9" x14ac:dyDescent="0.25">
      <c r="A119" s="14">
        <v>111</v>
      </c>
      <c r="B119" s="8"/>
      <c r="C119" s="7"/>
      <c r="D119" s="14"/>
      <c r="E119" s="140"/>
      <c r="F119" s="141"/>
      <c r="G119" s="18">
        <f t="shared" si="1"/>
        <v>85</v>
      </c>
      <c r="H119" s="18"/>
      <c r="I119" s="7"/>
    </row>
    <row r="120" spans="1:9" x14ac:dyDescent="0.25">
      <c r="A120" s="14">
        <v>112</v>
      </c>
      <c r="B120" s="33"/>
      <c r="C120" s="7"/>
      <c r="D120" s="14"/>
      <c r="E120" s="140"/>
      <c r="F120" s="141"/>
      <c r="G120" s="18">
        <f t="shared" si="1"/>
        <v>85</v>
      </c>
      <c r="H120" s="18"/>
      <c r="I120" s="7"/>
    </row>
    <row r="121" spans="1:9" x14ac:dyDescent="0.25">
      <c r="A121" s="7"/>
      <c r="B121" s="7"/>
      <c r="C121" s="34" t="s">
        <v>13</v>
      </c>
      <c r="D121" s="7"/>
      <c r="E121" s="35">
        <f>SUM(E9:E120)</f>
        <v>0</v>
      </c>
      <c r="F121" s="35">
        <f>SUM(F9:F120)</f>
        <v>529</v>
      </c>
      <c r="G121" s="35">
        <f>+E121-F121+G8</f>
        <v>85</v>
      </c>
      <c r="H121" s="35"/>
      <c r="I121" s="36"/>
    </row>
    <row r="153" spans="6:6" x14ac:dyDescent="0.25">
      <c r="F153">
        <f>3507+360</f>
        <v>3867</v>
      </c>
    </row>
    <row r="154" spans="6:6" x14ac:dyDescent="0.25">
      <c r="F154">
        <f>58+6</f>
        <v>64</v>
      </c>
    </row>
  </sheetData>
  <mergeCells count="1">
    <mergeCell ref="A4:I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63"/>
  <dimension ref="A1:I37"/>
  <sheetViews>
    <sheetView workbookViewId="0">
      <selection activeCell="F24" sqref="F24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6.140625" customWidth="1"/>
    <col min="5" max="7" width="12.28515625" customWidth="1"/>
    <col min="8" max="8" width="20.5703125" customWidth="1"/>
    <col min="9" max="9" width="15" customWidth="1"/>
    <col min="257" max="257" width="6" customWidth="1"/>
    <col min="258" max="258" width="11.5703125" customWidth="1"/>
    <col min="259" max="259" width="45.42578125" customWidth="1"/>
    <col min="260" max="260" width="6.140625" customWidth="1"/>
    <col min="261" max="263" width="12.28515625" customWidth="1"/>
    <col min="264" max="264" width="13.5703125" customWidth="1"/>
    <col min="265" max="265" width="15" customWidth="1"/>
    <col min="513" max="513" width="6" customWidth="1"/>
    <col min="514" max="514" width="11.5703125" customWidth="1"/>
    <col min="515" max="515" width="45.42578125" customWidth="1"/>
    <col min="516" max="516" width="6.140625" customWidth="1"/>
    <col min="517" max="519" width="12.28515625" customWidth="1"/>
    <col min="520" max="520" width="13.5703125" customWidth="1"/>
    <col min="521" max="521" width="15" customWidth="1"/>
    <col min="769" max="769" width="6" customWidth="1"/>
    <col min="770" max="770" width="11.5703125" customWidth="1"/>
    <col min="771" max="771" width="45.42578125" customWidth="1"/>
    <col min="772" max="772" width="6.140625" customWidth="1"/>
    <col min="773" max="775" width="12.28515625" customWidth="1"/>
    <col min="776" max="776" width="13.5703125" customWidth="1"/>
    <col min="777" max="777" width="15" customWidth="1"/>
    <col min="1025" max="1025" width="6" customWidth="1"/>
    <col min="1026" max="1026" width="11.5703125" customWidth="1"/>
    <col min="1027" max="1027" width="45.42578125" customWidth="1"/>
    <col min="1028" max="1028" width="6.140625" customWidth="1"/>
    <col min="1029" max="1031" width="12.28515625" customWidth="1"/>
    <col min="1032" max="1032" width="13.5703125" customWidth="1"/>
    <col min="1033" max="1033" width="15" customWidth="1"/>
    <col min="1281" max="1281" width="6" customWidth="1"/>
    <col min="1282" max="1282" width="11.5703125" customWidth="1"/>
    <col min="1283" max="1283" width="45.42578125" customWidth="1"/>
    <col min="1284" max="1284" width="6.140625" customWidth="1"/>
    <col min="1285" max="1287" width="12.28515625" customWidth="1"/>
    <col min="1288" max="1288" width="13.5703125" customWidth="1"/>
    <col min="1289" max="1289" width="15" customWidth="1"/>
    <col min="1537" max="1537" width="6" customWidth="1"/>
    <col min="1538" max="1538" width="11.5703125" customWidth="1"/>
    <col min="1539" max="1539" width="45.42578125" customWidth="1"/>
    <col min="1540" max="1540" width="6.140625" customWidth="1"/>
    <col min="1541" max="1543" width="12.28515625" customWidth="1"/>
    <col min="1544" max="1544" width="13.5703125" customWidth="1"/>
    <col min="1545" max="1545" width="15" customWidth="1"/>
    <col min="1793" max="1793" width="6" customWidth="1"/>
    <col min="1794" max="1794" width="11.5703125" customWidth="1"/>
    <col min="1795" max="1795" width="45.42578125" customWidth="1"/>
    <col min="1796" max="1796" width="6.140625" customWidth="1"/>
    <col min="1797" max="1799" width="12.28515625" customWidth="1"/>
    <col min="1800" max="1800" width="13.5703125" customWidth="1"/>
    <col min="1801" max="1801" width="15" customWidth="1"/>
    <col min="2049" max="2049" width="6" customWidth="1"/>
    <col min="2050" max="2050" width="11.5703125" customWidth="1"/>
    <col min="2051" max="2051" width="45.42578125" customWidth="1"/>
    <col min="2052" max="2052" width="6.140625" customWidth="1"/>
    <col min="2053" max="2055" width="12.28515625" customWidth="1"/>
    <col min="2056" max="2056" width="13.5703125" customWidth="1"/>
    <col min="2057" max="2057" width="15" customWidth="1"/>
    <col min="2305" max="2305" width="6" customWidth="1"/>
    <col min="2306" max="2306" width="11.5703125" customWidth="1"/>
    <col min="2307" max="2307" width="45.42578125" customWidth="1"/>
    <col min="2308" max="2308" width="6.140625" customWidth="1"/>
    <col min="2309" max="2311" width="12.28515625" customWidth="1"/>
    <col min="2312" max="2312" width="13.5703125" customWidth="1"/>
    <col min="2313" max="2313" width="15" customWidth="1"/>
    <col min="2561" max="2561" width="6" customWidth="1"/>
    <col min="2562" max="2562" width="11.5703125" customWidth="1"/>
    <col min="2563" max="2563" width="45.42578125" customWidth="1"/>
    <col min="2564" max="2564" width="6.140625" customWidth="1"/>
    <col min="2565" max="2567" width="12.28515625" customWidth="1"/>
    <col min="2568" max="2568" width="13.5703125" customWidth="1"/>
    <col min="2569" max="2569" width="15" customWidth="1"/>
    <col min="2817" max="2817" width="6" customWidth="1"/>
    <col min="2818" max="2818" width="11.5703125" customWidth="1"/>
    <col min="2819" max="2819" width="45.42578125" customWidth="1"/>
    <col min="2820" max="2820" width="6.140625" customWidth="1"/>
    <col min="2821" max="2823" width="12.28515625" customWidth="1"/>
    <col min="2824" max="2824" width="13.5703125" customWidth="1"/>
    <col min="2825" max="2825" width="15" customWidth="1"/>
    <col min="3073" max="3073" width="6" customWidth="1"/>
    <col min="3074" max="3074" width="11.5703125" customWidth="1"/>
    <col min="3075" max="3075" width="45.42578125" customWidth="1"/>
    <col min="3076" max="3076" width="6.140625" customWidth="1"/>
    <col min="3077" max="3079" width="12.28515625" customWidth="1"/>
    <col min="3080" max="3080" width="13.5703125" customWidth="1"/>
    <col min="3081" max="3081" width="15" customWidth="1"/>
    <col min="3329" max="3329" width="6" customWidth="1"/>
    <col min="3330" max="3330" width="11.5703125" customWidth="1"/>
    <col min="3331" max="3331" width="45.42578125" customWidth="1"/>
    <col min="3332" max="3332" width="6.140625" customWidth="1"/>
    <col min="3333" max="3335" width="12.28515625" customWidth="1"/>
    <col min="3336" max="3336" width="13.5703125" customWidth="1"/>
    <col min="3337" max="3337" width="15" customWidth="1"/>
    <col min="3585" max="3585" width="6" customWidth="1"/>
    <col min="3586" max="3586" width="11.5703125" customWidth="1"/>
    <col min="3587" max="3587" width="45.42578125" customWidth="1"/>
    <col min="3588" max="3588" width="6.140625" customWidth="1"/>
    <col min="3589" max="3591" width="12.28515625" customWidth="1"/>
    <col min="3592" max="3592" width="13.5703125" customWidth="1"/>
    <col min="3593" max="3593" width="15" customWidth="1"/>
    <col min="3841" max="3841" width="6" customWidth="1"/>
    <col min="3842" max="3842" width="11.5703125" customWidth="1"/>
    <col min="3843" max="3843" width="45.42578125" customWidth="1"/>
    <col min="3844" max="3844" width="6.140625" customWidth="1"/>
    <col min="3845" max="3847" width="12.28515625" customWidth="1"/>
    <col min="3848" max="3848" width="13.5703125" customWidth="1"/>
    <col min="3849" max="3849" width="15" customWidth="1"/>
    <col min="4097" max="4097" width="6" customWidth="1"/>
    <col min="4098" max="4098" width="11.5703125" customWidth="1"/>
    <col min="4099" max="4099" width="45.42578125" customWidth="1"/>
    <col min="4100" max="4100" width="6.140625" customWidth="1"/>
    <col min="4101" max="4103" width="12.28515625" customWidth="1"/>
    <col min="4104" max="4104" width="13.5703125" customWidth="1"/>
    <col min="4105" max="4105" width="15" customWidth="1"/>
    <col min="4353" max="4353" width="6" customWidth="1"/>
    <col min="4354" max="4354" width="11.5703125" customWidth="1"/>
    <col min="4355" max="4355" width="45.42578125" customWidth="1"/>
    <col min="4356" max="4356" width="6.140625" customWidth="1"/>
    <col min="4357" max="4359" width="12.28515625" customWidth="1"/>
    <col min="4360" max="4360" width="13.5703125" customWidth="1"/>
    <col min="4361" max="4361" width="15" customWidth="1"/>
    <col min="4609" max="4609" width="6" customWidth="1"/>
    <col min="4610" max="4610" width="11.5703125" customWidth="1"/>
    <col min="4611" max="4611" width="45.42578125" customWidth="1"/>
    <col min="4612" max="4612" width="6.140625" customWidth="1"/>
    <col min="4613" max="4615" width="12.28515625" customWidth="1"/>
    <col min="4616" max="4616" width="13.5703125" customWidth="1"/>
    <col min="4617" max="4617" width="15" customWidth="1"/>
    <col min="4865" max="4865" width="6" customWidth="1"/>
    <col min="4866" max="4866" width="11.5703125" customWidth="1"/>
    <col min="4867" max="4867" width="45.42578125" customWidth="1"/>
    <col min="4868" max="4868" width="6.140625" customWidth="1"/>
    <col min="4869" max="4871" width="12.28515625" customWidth="1"/>
    <col min="4872" max="4872" width="13.5703125" customWidth="1"/>
    <col min="4873" max="4873" width="15" customWidth="1"/>
    <col min="5121" max="5121" width="6" customWidth="1"/>
    <col min="5122" max="5122" width="11.5703125" customWidth="1"/>
    <col min="5123" max="5123" width="45.42578125" customWidth="1"/>
    <col min="5124" max="5124" width="6.140625" customWidth="1"/>
    <col min="5125" max="5127" width="12.28515625" customWidth="1"/>
    <col min="5128" max="5128" width="13.5703125" customWidth="1"/>
    <col min="5129" max="5129" width="15" customWidth="1"/>
    <col min="5377" max="5377" width="6" customWidth="1"/>
    <col min="5378" max="5378" width="11.5703125" customWidth="1"/>
    <col min="5379" max="5379" width="45.42578125" customWidth="1"/>
    <col min="5380" max="5380" width="6.140625" customWidth="1"/>
    <col min="5381" max="5383" width="12.28515625" customWidth="1"/>
    <col min="5384" max="5384" width="13.5703125" customWidth="1"/>
    <col min="5385" max="5385" width="15" customWidth="1"/>
    <col min="5633" max="5633" width="6" customWidth="1"/>
    <col min="5634" max="5634" width="11.5703125" customWidth="1"/>
    <col min="5635" max="5635" width="45.42578125" customWidth="1"/>
    <col min="5636" max="5636" width="6.140625" customWidth="1"/>
    <col min="5637" max="5639" width="12.28515625" customWidth="1"/>
    <col min="5640" max="5640" width="13.5703125" customWidth="1"/>
    <col min="5641" max="5641" width="15" customWidth="1"/>
    <col min="5889" max="5889" width="6" customWidth="1"/>
    <col min="5890" max="5890" width="11.5703125" customWidth="1"/>
    <col min="5891" max="5891" width="45.42578125" customWidth="1"/>
    <col min="5892" max="5892" width="6.140625" customWidth="1"/>
    <col min="5893" max="5895" width="12.28515625" customWidth="1"/>
    <col min="5896" max="5896" width="13.5703125" customWidth="1"/>
    <col min="5897" max="5897" width="15" customWidth="1"/>
    <col min="6145" max="6145" width="6" customWidth="1"/>
    <col min="6146" max="6146" width="11.5703125" customWidth="1"/>
    <col min="6147" max="6147" width="45.42578125" customWidth="1"/>
    <col min="6148" max="6148" width="6.140625" customWidth="1"/>
    <col min="6149" max="6151" width="12.28515625" customWidth="1"/>
    <col min="6152" max="6152" width="13.5703125" customWidth="1"/>
    <col min="6153" max="6153" width="15" customWidth="1"/>
    <col min="6401" max="6401" width="6" customWidth="1"/>
    <col min="6402" max="6402" width="11.5703125" customWidth="1"/>
    <col min="6403" max="6403" width="45.42578125" customWidth="1"/>
    <col min="6404" max="6404" width="6.140625" customWidth="1"/>
    <col min="6405" max="6407" width="12.28515625" customWidth="1"/>
    <col min="6408" max="6408" width="13.5703125" customWidth="1"/>
    <col min="6409" max="6409" width="15" customWidth="1"/>
    <col min="6657" max="6657" width="6" customWidth="1"/>
    <col min="6658" max="6658" width="11.5703125" customWidth="1"/>
    <col min="6659" max="6659" width="45.42578125" customWidth="1"/>
    <col min="6660" max="6660" width="6.140625" customWidth="1"/>
    <col min="6661" max="6663" width="12.28515625" customWidth="1"/>
    <col min="6664" max="6664" width="13.5703125" customWidth="1"/>
    <col min="6665" max="6665" width="15" customWidth="1"/>
    <col min="6913" max="6913" width="6" customWidth="1"/>
    <col min="6914" max="6914" width="11.5703125" customWidth="1"/>
    <col min="6915" max="6915" width="45.42578125" customWidth="1"/>
    <col min="6916" max="6916" width="6.140625" customWidth="1"/>
    <col min="6917" max="6919" width="12.28515625" customWidth="1"/>
    <col min="6920" max="6920" width="13.5703125" customWidth="1"/>
    <col min="6921" max="6921" width="15" customWidth="1"/>
    <col min="7169" max="7169" width="6" customWidth="1"/>
    <col min="7170" max="7170" width="11.5703125" customWidth="1"/>
    <col min="7171" max="7171" width="45.42578125" customWidth="1"/>
    <col min="7172" max="7172" width="6.140625" customWidth="1"/>
    <col min="7173" max="7175" width="12.28515625" customWidth="1"/>
    <col min="7176" max="7176" width="13.5703125" customWidth="1"/>
    <col min="7177" max="7177" width="15" customWidth="1"/>
    <col min="7425" max="7425" width="6" customWidth="1"/>
    <col min="7426" max="7426" width="11.5703125" customWidth="1"/>
    <col min="7427" max="7427" width="45.42578125" customWidth="1"/>
    <col min="7428" max="7428" width="6.140625" customWidth="1"/>
    <col min="7429" max="7431" width="12.28515625" customWidth="1"/>
    <col min="7432" max="7432" width="13.5703125" customWidth="1"/>
    <col min="7433" max="7433" width="15" customWidth="1"/>
    <col min="7681" max="7681" width="6" customWidth="1"/>
    <col min="7682" max="7682" width="11.5703125" customWidth="1"/>
    <col min="7683" max="7683" width="45.42578125" customWidth="1"/>
    <col min="7684" max="7684" width="6.140625" customWidth="1"/>
    <col min="7685" max="7687" width="12.28515625" customWidth="1"/>
    <col min="7688" max="7688" width="13.5703125" customWidth="1"/>
    <col min="7689" max="7689" width="15" customWidth="1"/>
    <col min="7937" max="7937" width="6" customWidth="1"/>
    <col min="7938" max="7938" width="11.5703125" customWidth="1"/>
    <col min="7939" max="7939" width="45.42578125" customWidth="1"/>
    <col min="7940" max="7940" width="6.140625" customWidth="1"/>
    <col min="7941" max="7943" width="12.28515625" customWidth="1"/>
    <col min="7944" max="7944" width="13.5703125" customWidth="1"/>
    <col min="7945" max="7945" width="15" customWidth="1"/>
    <col min="8193" max="8193" width="6" customWidth="1"/>
    <col min="8194" max="8194" width="11.5703125" customWidth="1"/>
    <col min="8195" max="8195" width="45.42578125" customWidth="1"/>
    <col min="8196" max="8196" width="6.140625" customWidth="1"/>
    <col min="8197" max="8199" width="12.28515625" customWidth="1"/>
    <col min="8200" max="8200" width="13.5703125" customWidth="1"/>
    <col min="8201" max="8201" width="15" customWidth="1"/>
    <col min="8449" max="8449" width="6" customWidth="1"/>
    <col min="8450" max="8450" width="11.5703125" customWidth="1"/>
    <col min="8451" max="8451" width="45.42578125" customWidth="1"/>
    <col min="8452" max="8452" width="6.140625" customWidth="1"/>
    <col min="8453" max="8455" width="12.28515625" customWidth="1"/>
    <col min="8456" max="8456" width="13.5703125" customWidth="1"/>
    <col min="8457" max="8457" width="15" customWidth="1"/>
    <col min="8705" max="8705" width="6" customWidth="1"/>
    <col min="8706" max="8706" width="11.5703125" customWidth="1"/>
    <col min="8707" max="8707" width="45.42578125" customWidth="1"/>
    <col min="8708" max="8708" width="6.140625" customWidth="1"/>
    <col min="8709" max="8711" width="12.28515625" customWidth="1"/>
    <col min="8712" max="8712" width="13.5703125" customWidth="1"/>
    <col min="8713" max="8713" width="15" customWidth="1"/>
    <col min="8961" max="8961" width="6" customWidth="1"/>
    <col min="8962" max="8962" width="11.5703125" customWidth="1"/>
    <col min="8963" max="8963" width="45.42578125" customWidth="1"/>
    <col min="8964" max="8964" width="6.140625" customWidth="1"/>
    <col min="8965" max="8967" width="12.28515625" customWidth="1"/>
    <col min="8968" max="8968" width="13.5703125" customWidth="1"/>
    <col min="8969" max="8969" width="15" customWidth="1"/>
    <col min="9217" max="9217" width="6" customWidth="1"/>
    <col min="9218" max="9218" width="11.5703125" customWidth="1"/>
    <col min="9219" max="9219" width="45.42578125" customWidth="1"/>
    <col min="9220" max="9220" width="6.140625" customWidth="1"/>
    <col min="9221" max="9223" width="12.28515625" customWidth="1"/>
    <col min="9224" max="9224" width="13.5703125" customWidth="1"/>
    <col min="9225" max="9225" width="15" customWidth="1"/>
    <col min="9473" max="9473" width="6" customWidth="1"/>
    <col min="9474" max="9474" width="11.5703125" customWidth="1"/>
    <col min="9475" max="9475" width="45.42578125" customWidth="1"/>
    <col min="9476" max="9476" width="6.140625" customWidth="1"/>
    <col min="9477" max="9479" width="12.28515625" customWidth="1"/>
    <col min="9480" max="9480" width="13.5703125" customWidth="1"/>
    <col min="9481" max="9481" width="15" customWidth="1"/>
    <col min="9729" max="9729" width="6" customWidth="1"/>
    <col min="9730" max="9730" width="11.5703125" customWidth="1"/>
    <col min="9731" max="9731" width="45.42578125" customWidth="1"/>
    <col min="9732" max="9732" width="6.140625" customWidth="1"/>
    <col min="9733" max="9735" width="12.28515625" customWidth="1"/>
    <col min="9736" max="9736" width="13.5703125" customWidth="1"/>
    <col min="9737" max="9737" width="15" customWidth="1"/>
    <col min="9985" max="9985" width="6" customWidth="1"/>
    <col min="9986" max="9986" width="11.5703125" customWidth="1"/>
    <col min="9987" max="9987" width="45.42578125" customWidth="1"/>
    <col min="9988" max="9988" width="6.140625" customWidth="1"/>
    <col min="9989" max="9991" width="12.28515625" customWidth="1"/>
    <col min="9992" max="9992" width="13.5703125" customWidth="1"/>
    <col min="9993" max="9993" width="15" customWidth="1"/>
    <col min="10241" max="10241" width="6" customWidth="1"/>
    <col min="10242" max="10242" width="11.5703125" customWidth="1"/>
    <col min="10243" max="10243" width="45.42578125" customWidth="1"/>
    <col min="10244" max="10244" width="6.140625" customWidth="1"/>
    <col min="10245" max="10247" width="12.28515625" customWidth="1"/>
    <col min="10248" max="10248" width="13.5703125" customWidth="1"/>
    <col min="10249" max="10249" width="15" customWidth="1"/>
    <col min="10497" max="10497" width="6" customWidth="1"/>
    <col min="10498" max="10498" width="11.5703125" customWidth="1"/>
    <col min="10499" max="10499" width="45.42578125" customWidth="1"/>
    <col min="10500" max="10500" width="6.140625" customWidth="1"/>
    <col min="10501" max="10503" width="12.28515625" customWidth="1"/>
    <col min="10504" max="10504" width="13.5703125" customWidth="1"/>
    <col min="10505" max="10505" width="15" customWidth="1"/>
    <col min="10753" max="10753" width="6" customWidth="1"/>
    <col min="10754" max="10754" width="11.5703125" customWidth="1"/>
    <col min="10755" max="10755" width="45.42578125" customWidth="1"/>
    <col min="10756" max="10756" width="6.140625" customWidth="1"/>
    <col min="10757" max="10759" width="12.28515625" customWidth="1"/>
    <col min="10760" max="10760" width="13.5703125" customWidth="1"/>
    <col min="10761" max="10761" width="15" customWidth="1"/>
    <col min="11009" max="11009" width="6" customWidth="1"/>
    <col min="11010" max="11010" width="11.5703125" customWidth="1"/>
    <col min="11011" max="11011" width="45.42578125" customWidth="1"/>
    <col min="11012" max="11012" width="6.140625" customWidth="1"/>
    <col min="11013" max="11015" width="12.28515625" customWidth="1"/>
    <col min="11016" max="11016" width="13.5703125" customWidth="1"/>
    <col min="11017" max="11017" width="15" customWidth="1"/>
    <col min="11265" max="11265" width="6" customWidth="1"/>
    <col min="11266" max="11266" width="11.5703125" customWidth="1"/>
    <col min="11267" max="11267" width="45.42578125" customWidth="1"/>
    <col min="11268" max="11268" width="6.140625" customWidth="1"/>
    <col min="11269" max="11271" width="12.28515625" customWidth="1"/>
    <col min="11272" max="11272" width="13.5703125" customWidth="1"/>
    <col min="11273" max="11273" width="15" customWidth="1"/>
    <col min="11521" max="11521" width="6" customWidth="1"/>
    <col min="11522" max="11522" width="11.5703125" customWidth="1"/>
    <col min="11523" max="11523" width="45.42578125" customWidth="1"/>
    <col min="11524" max="11524" width="6.140625" customWidth="1"/>
    <col min="11525" max="11527" width="12.28515625" customWidth="1"/>
    <col min="11528" max="11528" width="13.5703125" customWidth="1"/>
    <col min="11529" max="11529" width="15" customWidth="1"/>
    <col min="11777" max="11777" width="6" customWidth="1"/>
    <col min="11778" max="11778" width="11.5703125" customWidth="1"/>
    <col min="11779" max="11779" width="45.42578125" customWidth="1"/>
    <col min="11780" max="11780" width="6.140625" customWidth="1"/>
    <col min="11781" max="11783" width="12.28515625" customWidth="1"/>
    <col min="11784" max="11784" width="13.5703125" customWidth="1"/>
    <col min="11785" max="11785" width="15" customWidth="1"/>
    <col min="12033" max="12033" width="6" customWidth="1"/>
    <col min="12034" max="12034" width="11.5703125" customWidth="1"/>
    <col min="12035" max="12035" width="45.42578125" customWidth="1"/>
    <col min="12036" max="12036" width="6.140625" customWidth="1"/>
    <col min="12037" max="12039" width="12.28515625" customWidth="1"/>
    <col min="12040" max="12040" width="13.5703125" customWidth="1"/>
    <col min="12041" max="12041" width="15" customWidth="1"/>
    <col min="12289" max="12289" width="6" customWidth="1"/>
    <col min="12290" max="12290" width="11.5703125" customWidth="1"/>
    <col min="12291" max="12291" width="45.42578125" customWidth="1"/>
    <col min="12292" max="12292" width="6.140625" customWidth="1"/>
    <col min="12293" max="12295" width="12.28515625" customWidth="1"/>
    <col min="12296" max="12296" width="13.5703125" customWidth="1"/>
    <col min="12297" max="12297" width="15" customWidth="1"/>
    <col min="12545" max="12545" width="6" customWidth="1"/>
    <col min="12546" max="12546" width="11.5703125" customWidth="1"/>
    <col min="12547" max="12547" width="45.42578125" customWidth="1"/>
    <col min="12548" max="12548" width="6.140625" customWidth="1"/>
    <col min="12549" max="12551" width="12.28515625" customWidth="1"/>
    <col min="12552" max="12552" width="13.5703125" customWidth="1"/>
    <col min="12553" max="12553" width="15" customWidth="1"/>
    <col min="12801" max="12801" width="6" customWidth="1"/>
    <col min="12802" max="12802" width="11.5703125" customWidth="1"/>
    <col min="12803" max="12803" width="45.42578125" customWidth="1"/>
    <col min="12804" max="12804" width="6.140625" customWidth="1"/>
    <col min="12805" max="12807" width="12.28515625" customWidth="1"/>
    <col min="12808" max="12808" width="13.5703125" customWidth="1"/>
    <col min="12809" max="12809" width="15" customWidth="1"/>
    <col min="13057" max="13057" width="6" customWidth="1"/>
    <col min="13058" max="13058" width="11.5703125" customWidth="1"/>
    <col min="13059" max="13059" width="45.42578125" customWidth="1"/>
    <col min="13060" max="13060" width="6.140625" customWidth="1"/>
    <col min="13061" max="13063" width="12.28515625" customWidth="1"/>
    <col min="13064" max="13064" width="13.5703125" customWidth="1"/>
    <col min="13065" max="13065" width="15" customWidth="1"/>
    <col min="13313" max="13313" width="6" customWidth="1"/>
    <col min="13314" max="13314" width="11.5703125" customWidth="1"/>
    <col min="13315" max="13315" width="45.42578125" customWidth="1"/>
    <col min="13316" max="13316" width="6.140625" customWidth="1"/>
    <col min="13317" max="13319" width="12.28515625" customWidth="1"/>
    <col min="13320" max="13320" width="13.5703125" customWidth="1"/>
    <col min="13321" max="13321" width="15" customWidth="1"/>
    <col min="13569" max="13569" width="6" customWidth="1"/>
    <col min="13570" max="13570" width="11.5703125" customWidth="1"/>
    <col min="13571" max="13571" width="45.42578125" customWidth="1"/>
    <col min="13572" max="13572" width="6.140625" customWidth="1"/>
    <col min="13573" max="13575" width="12.28515625" customWidth="1"/>
    <col min="13576" max="13576" width="13.5703125" customWidth="1"/>
    <col min="13577" max="13577" width="15" customWidth="1"/>
    <col min="13825" max="13825" width="6" customWidth="1"/>
    <col min="13826" max="13826" width="11.5703125" customWidth="1"/>
    <col min="13827" max="13827" width="45.42578125" customWidth="1"/>
    <col min="13828" max="13828" width="6.140625" customWidth="1"/>
    <col min="13829" max="13831" width="12.28515625" customWidth="1"/>
    <col min="13832" max="13832" width="13.5703125" customWidth="1"/>
    <col min="13833" max="13833" width="15" customWidth="1"/>
    <col min="14081" max="14081" width="6" customWidth="1"/>
    <col min="14082" max="14082" width="11.5703125" customWidth="1"/>
    <col min="14083" max="14083" width="45.42578125" customWidth="1"/>
    <col min="14084" max="14084" width="6.140625" customWidth="1"/>
    <col min="14085" max="14087" width="12.28515625" customWidth="1"/>
    <col min="14088" max="14088" width="13.5703125" customWidth="1"/>
    <col min="14089" max="14089" width="15" customWidth="1"/>
    <col min="14337" max="14337" width="6" customWidth="1"/>
    <col min="14338" max="14338" width="11.5703125" customWidth="1"/>
    <col min="14339" max="14339" width="45.42578125" customWidth="1"/>
    <col min="14340" max="14340" width="6.140625" customWidth="1"/>
    <col min="14341" max="14343" width="12.28515625" customWidth="1"/>
    <col min="14344" max="14344" width="13.5703125" customWidth="1"/>
    <col min="14345" max="14345" width="15" customWidth="1"/>
    <col min="14593" max="14593" width="6" customWidth="1"/>
    <col min="14594" max="14594" width="11.5703125" customWidth="1"/>
    <col min="14595" max="14595" width="45.42578125" customWidth="1"/>
    <col min="14596" max="14596" width="6.140625" customWidth="1"/>
    <col min="14597" max="14599" width="12.28515625" customWidth="1"/>
    <col min="14600" max="14600" width="13.5703125" customWidth="1"/>
    <col min="14601" max="14601" width="15" customWidth="1"/>
    <col min="14849" max="14849" width="6" customWidth="1"/>
    <col min="14850" max="14850" width="11.5703125" customWidth="1"/>
    <col min="14851" max="14851" width="45.42578125" customWidth="1"/>
    <col min="14852" max="14852" width="6.140625" customWidth="1"/>
    <col min="14853" max="14855" width="12.28515625" customWidth="1"/>
    <col min="14856" max="14856" width="13.5703125" customWidth="1"/>
    <col min="14857" max="14857" width="15" customWidth="1"/>
    <col min="15105" max="15105" width="6" customWidth="1"/>
    <col min="15106" max="15106" width="11.5703125" customWidth="1"/>
    <col min="15107" max="15107" width="45.42578125" customWidth="1"/>
    <col min="15108" max="15108" width="6.140625" customWidth="1"/>
    <col min="15109" max="15111" width="12.28515625" customWidth="1"/>
    <col min="15112" max="15112" width="13.5703125" customWidth="1"/>
    <col min="15113" max="15113" width="15" customWidth="1"/>
    <col min="15361" max="15361" width="6" customWidth="1"/>
    <col min="15362" max="15362" width="11.5703125" customWidth="1"/>
    <col min="15363" max="15363" width="45.42578125" customWidth="1"/>
    <col min="15364" max="15364" width="6.140625" customWidth="1"/>
    <col min="15365" max="15367" width="12.28515625" customWidth="1"/>
    <col min="15368" max="15368" width="13.5703125" customWidth="1"/>
    <col min="15369" max="15369" width="15" customWidth="1"/>
    <col min="15617" max="15617" width="6" customWidth="1"/>
    <col min="15618" max="15618" width="11.5703125" customWidth="1"/>
    <col min="15619" max="15619" width="45.42578125" customWidth="1"/>
    <col min="15620" max="15620" width="6.140625" customWidth="1"/>
    <col min="15621" max="15623" width="12.28515625" customWidth="1"/>
    <col min="15624" max="15624" width="13.5703125" customWidth="1"/>
    <col min="15625" max="15625" width="15" customWidth="1"/>
    <col min="15873" max="15873" width="6" customWidth="1"/>
    <col min="15874" max="15874" width="11.5703125" customWidth="1"/>
    <col min="15875" max="15875" width="45.42578125" customWidth="1"/>
    <col min="15876" max="15876" width="6.140625" customWidth="1"/>
    <col min="15877" max="15879" width="12.28515625" customWidth="1"/>
    <col min="15880" max="15880" width="13.5703125" customWidth="1"/>
    <col min="15881" max="15881" width="15" customWidth="1"/>
    <col min="16129" max="16129" width="6" customWidth="1"/>
    <col min="16130" max="16130" width="11.5703125" customWidth="1"/>
    <col min="16131" max="16131" width="45.42578125" customWidth="1"/>
    <col min="16132" max="16132" width="6.140625" customWidth="1"/>
    <col min="16133" max="16135" width="12.28515625" customWidth="1"/>
    <col min="16136" max="16136" width="13.5703125" customWidth="1"/>
    <col min="16137" max="16137" width="1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s="457" t="str">
        <f>+'[1]Nilong NK lá cây'!A4:I5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9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9" ht="27.75" customHeight="1" x14ac:dyDescent="0.25">
      <c r="A7" s="14" t="s">
        <v>3</v>
      </c>
      <c r="B7" s="14" t="s">
        <v>4</v>
      </c>
      <c r="C7" s="4" t="s">
        <v>117</v>
      </c>
      <c r="D7" s="14" t="s">
        <v>5</v>
      </c>
      <c r="E7" s="208" t="s">
        <v>6</v>
      </c>
      <c r="F7" s="208" t="s">
        <v>7</v>
      </c>
      <c r="G7" s="208" t="s">
        <v>8</v>
      </c>
      <c r="H7" s="208" t="s">
        <v>9</v>
      </c>
      <c r="I7" s="4" t="s">
        <v>10</v>
      </c>
    </row>
    <row r="8" spans="1:9" ht="18" customHeight="1" x14ac:dyDescent="0.25">
      <c r="A8" s="7"/>
      <c r="B8" s="8">
        <v>45658</v>
      </c>
      <c r="C8" s="46" t="s">
        <v>15</v>
      </c>
      <c r="D8" s="209"/>
      <c r="E8" s="30"/>
      <c r="F8" s="30"/>
      <c r="G8" s="11">
        <v>1743.6</v>
      </c>
      <c r="H8" s="30"/>
      <c r="I8" s="28"/>
    </row>
    <row r="9" spans="1:9" ht="18" customHeight="1" x14ac:dyDescent="0.25">
      <c r="A9" s="7"/>
      <c r="B9" s="8">
        <v>45664</v>
      </c>
      <c r="C9" s="46" t="s">
        <v>39</v>
      </c>
      <c r="D9" s="10" t="s">
        <v>19</v>
      </c>
      <c r="E9" s="30"/>
      <c r="F9" s="11">
        <v>112.5</v>
      </c>
      <c r="G9" s="11">
        <f>+G8+E9-F9</f>
        <v>1631.1</v>
      </c>
      <c r="H9" s="30" t="s">
        <v>132</v>
      </c>
      <c r="I9" s="13" t="s">
        <v>90</v>
      </c>
    </row>
    <row r="10" spans="1:9" ht="18" customHeight="1" x14ac:dyDescent="0.25">
      <c r="A10" s="7"/>
      <c r="B10" s="8">
        <v>45671</v>
      </c>
      <c r="C10" s="46" t="s">
        <v>39</v>
      </c>
      <c r="D10" s="10" t="s">
        <v>19</v>
      </c>
      <c r="E10" s="11"/>
      <c r="F10" s="210">
        <v>113.5</v>
      </c>
      <c r="G10" s="11">
        <f>+G9+E10-F10</f>
        <v>1517.6</v>
      </c>
      <c r="H10" s="30" t="s">
        <v>132</v>
      </c>
      <c r="I10" s="13" t="s">
        <v>90</v>
      </c>
    </row>
    <row r="11" spans="1:9" ht="18" customHeight="1" x14ac:dyDescent="0.25">
      <c r="A11" s="7"/>
      <c r="B11" s="8">
        <v>45705</v>
      </c>
      <c r="C11" s="46" t="s">
        <v>39</v>
      </c>
      <c r="D11" s="10" t="s">
        <v>19</v>
      </c>
      <c r="E11" s="211"/>
      <c r="F11" s="211">
        <v>111.5</v>
      </c>
      <c r="G11" s="11">
        <f t="shared" ref="G11:G36" si="0">+G10+E11-F11</f>
        <v>1406.1</v>
      </c>
      <c r="H11" s="30" t="s">
        <v>132</v>
      </c>
      <c r="I11" s="13" t="s">
        <v>90</v>
      </c>
    </row>
    <row r="12" spans="1:9" ht="18" customHeight="1" x14ac:dyDescent="0.25">
      <c r="A12" s="7"/>
      <c r="B12" s="8">
        <v>45714</v>
      </c>
      <c r="C12" s="46" t="s">
        <v>39</v>
      </c>
      <c r="D12" s="10" t="s">
        <v>19</v>
      </c>
      <c r="E12" s="135"/>
      <c r="F12" s="212">
        <v>110</v>
      </c>
      <c r="G12" s="11">
        <f t="shared" si="0"/>
        <v>1296.0999999999999</v>
      </c>
      <c r="H12" s="30"/>
      <c r="I12" s="13"/>
    </row>
    <row r="13" spans="1:9" ht="18" customHeight="1" x14ac:dyDescent="0.25">
      <c r="A13" s="14"/>
      <c r="B13" s="8">
        <v>45715</v>
      </c>
      <c r="C13" s="46" t="s">
        <v>39</v>
      </c>
      <c r="D13" s="10" t="s">
        <v>19</v>
      </c>
      <c r="E13" s="11"/>
      <c r="F13" s="123">
        <v>111</v>
      </c>
      <c r="G13" s="11">
        <f t="shared" si="0"/>
        <v>1185.0999999999999</v>
      </c>
      <c r="H13" s="30"/>
      <c r="I13" s="13"/>
    </row>
    <row r="14" spans="1:9" ht="18" customHeight="1" x14ac:dyDescent="0.25">
      <c r="A14" s="14"/>
      <c r="B14" s="8">
        <v>45716</v>
      </c>
      <c r="C14" s="46" t="s">
        <v>39</v>
      </c>
      <c r="D14" s="10" t="s">
        <v>19</v>
      </c>
      <c r="E14" s="16"/>
      <c r="F14" s="125">
        <v>110</v>
      </c>
      <c r="G14" s="11">
        <f t="shared" si="0"/>
        <v>1075.0999999999999</v>
      </c>
      <c r="H14" s="30"/>
      <c r="I14" s="13"/>
    </row>
    <row r="15" spans="1:9" ht="18" customHeight="1" x14ac:dyDescent="0.25">
      <c r="A15" s="14"/>
      <c r="B15" s="8">
        <v>45717</v>
      </c>
      <c r="C15" s="46" t="s">
        <v>39</v>
      </c>
      <c r="D15" s="10" t="s">
        <v>19</v>
      </c>
      <c r="E15" s="16"/>
      <c r="F15" s="125">
        <v>116.5</v>
      </c>
      <c r="G15" s="11">
        <f t="shared" si="0"/>
        <v>958.59999999999991</v>
      </c>
      <c r="H15" s="30"/>
      <c r="I15" s="13"/>
    </row>
    <row r="16" spans="1:9" ht="18" customHeight="1" x14ac:dyDescent="0.25">
      <c r="A16" s="14"/>
      <c r="B16" s="8">
        <v>45751</v>
      </c>
      <c r="C16" s="46" t="s">
        <v>39</v>
      </c>
      <c r="D16" s="10" t="s">
        <v>19</v>
      </c>
      <c r="E16" s="16"/>
      <c r="F16" s="125">
        <v>116.5</v>
      </c>
      <c r="G16" s="11">
        <f t="shared" si="0"/>
        <v>842.09999999999991</v>
      </c>
      <c r="H16" s="30"/>
      <c r="I16" s="13"/>
    </row>
    <row r="17" spans="1:9" ht="18" customHeight="1" x14ac:dyDescent="0.25">
      <c r="A17" s="14"/>
      <c r="B17" s="8">
        <v>45782</v>
      </c>
      <c r="C17" s="46" t="s">
        <v>39</v>
      </c>
      <c r="D17" s="10" t="s">
        <v>19</v>
      </c>
      <c r="E17" s="16"/>
      <c r="F17" s="125">
        <v>119</v>
      </c>
      <c r="G17" s="11">
        <f t="shared" si="0"/>
        <v>723.09999999999991</v>
      </c>
      <c r="H17" s="30"/>
      <c r="I17" s="13"/>
    </row>
    <row r="18" spans="1:9" ht="18" customHeight="1" x14ac:dyDescent="0.25">
      <c r="A18" s="14"/>
      <c r="B18" s="8">
        <v>45783</v>
      </c>
      <c r="C18" s="46" t="s">
        <v>39</v>
      </c>
      <c r="D18" s="10" t="s">
        <v>19</v>
      </c>
      <c r="E18" s="16"/>
      <c r="F18" s="125">
        <v>118</v>
      </c>
      <c r="G18" s="11">
        <f t="shared" si="0"/>
        <v>605.09999999999991</v>
      </c>
      <c r="H18" s="30"/>
      <c r="I18" s="13"/>
    </row>
    <row r="19" spans="1:9" ht="18" customHeight="1" x14ac:dyDescent="0.25">
      <c r="A19" s="14"/>
      <c r="B19" s="8">
        <v>45817</v>
      </c>
      <c r="C19" s="46" t="s">
        <v>39</v>
      </c>
      <c r="D19" s="10" t="s">
        <v>19</v>
      </c>
      <c r="E19" s="16"/>
      <c r="F19" s="152">
        <v>124.8</v>
      </c>
      <c r="G19" s="11">
        <f t="shared" si="0"/>
        <v>480.2999999999999</v>
      </c>
      <c r="H19" s="30"/>
      <c r="I19" s="13"/>
    </row>
    <row r="20" spans="1:9" ht="18" customHeight="1" x14ac:dyDescent="0.25">
      <c r="A20" s="14"/>
      <c r="B20" s="8">
        <v>45818</v>
      </c>
      <c r="C20" s="46" t="s">
        <v>39</v>
      </c>
      <c r="D20" s="10" t="s">
        <v>19</v>
      </c>
      <c r="E20" s="16"/>
      <c r="F20" s="152">
        <v>125.9</v>
      </c>
      <c r="G20" s="11">
        <f t="shared" si="0"/>
        <v>354.39999999999986</v>
      </c>
      <c r="H20" s="30"/>
      <c r="I20" s="13"/>
    </row>
    <row r="21" spans="1:9" ht="18" customHeight="1" x14ac:dyDescent="0.25">
      <c r="A21" s="14"/>
      <c r="B21" s="8">
        <v>45820</v>
      </c>
      <c r="C21" s="46" t="s">
        <v>39</v>
      </c>
      <c r="D21" s="10" t="s">
        <v>19</v>
      </c>
      <c r="E21" s="113"/>
      <c r="F21" s="152">
        <v>122.3</v>
      </c>
      <c r="G21" s="11">
        <f t="shared" si="0"/>
        <v>232.09999999999985</v>
      </c>
      <c r="H21" s="30"/>
      <c r="I21" s="13"/>
    </row>
    <row r="22" spans="1:9" ht="18" customHeight="1" x14ac:dyDescent="0.25">
      <c r="A22" s="14"/>
      <c r="B22" s="8">
        <v>45835</v>
      </c>
      <c r="C22" s="46"/>
      <c r="D22" s="10"/>
      <c r="E22" s="13"/>
      <c r="F22" s="152">
        <v>117</v>
      </c>
      <c r="G22" s="11">
        <f t="shared" si="0"/>
        <v>115.09999999999985</v>
      </c>
      <c r="H22" s="30"/>
      <c r="I22" s="140"/>
    </row>
    <row r="23" spans="1:9" ht="18" customHeight="1" x14ac:dyDescent="0.25">
      <c r="A23" s="14"/>
      <c r="B23" s="8">
        <v>45836</v>
      </c>
      <c r="C23" s="46"/>
      <c r="D23" s="10"/>
      <c r="E23" s="113"/>
      <c r="F23" s="152">
        <v>115.1</v>
      </c>
      <c r="G23" s="11">
        <f t="shared" si="0"/>
        <v>-1.4210854715202004E-13</v>
      </c>
      <c r="H23" s="30"/>
      <c r="I23" s="7"/>
    </row>
    <row r="24" spans="1:9" ht="18" customHeight="1" x14ac:dyDescent="0.25">
      <c r="A24" s="14"/>
      <c r="B24" s="8"/>
      <c r="C24" s="46"/>
      <c r="D24" s="10"/>
      <c r="E24" s="16"/>
      <c r="F24" s="152"/>
      <c r="G24" s="11">
        <f t="shared" si="0"/>
        <v>-1.4210854715202004E-13</v>
      </c>
      <c r="H24" s="30"/>
      <c r="I24" s="7"/>
    </row>
    <row r="25" spans="1:9" ht="18" customHeight="1" x14ac:dyDescent="0.25">
      <c r="A25" s="14"/>
      <c r="B25" s="8"/>
      <c r="C25" s="46"/>
      <c r="D25" s="10"/>
      <c r="E25" s="30"/>
      <c r="F25" s="152"/>
      <c r="G25" s="11">
        <f t="shared" si="0"/>
        <v>-1.4210854715202004E-13</v>
      </c>
      <c r="H25" s="30"/>
      <c r="I25" s="7"/>
    </row>
    <row r="26" spans="1:9" ht="18" customHeight="1" x14ac:dyDescent="0.25">
      <c r="A26" s="14"/>
      <c r="B26" s="8"/>
      <c r="C26" s="46"/>
      <c r="D26" s="10"/>
      <c r="E26" s="16"/>
      <c r="F26" s="119"/>
      <c r="G26" s="11">
        <f t="shared" si="0"/>
        <v>-1.4210854715202004E-13</v>
      </c>
      <c r="H26" s="28"/>
      <c r="I26" s="7"/>
    </row>
    <row r="27" spans="1:9" ht="18" customHeight="1" x14ac:dyDescent="0.25">
      <c r="A27" s="14"/>
      <c r="B27" s="8"/>
      <c r="C27" s="46"/>
      <c r="D27" s="10"/>
      <c r="E27" s="16"/>
      <c r="F27" s="119"/>
      <c r="G27" s="11">
        <f t="shared" si="0"/>
        <v>-1.4210854715202004E-13</v>
      </c>
      <c r="H27" s="28"/>
      <c r="I27" s="7"/>
    </row>
    <row r="28" spans="1:9" ht="18" customHeight="1" x14ac:dyDescent="0.25">
      <c r="A28" s="14"/>
      <c r="B28" s="8"/>
      <c r="C28" s="46"/>
      <c r="D28" s="10"/>
      <c r="E28" s="16"/>
      <c r="F28" s="119"/>
      <c r="G28" s="11">
        <f t="shared" si="0"/>
        <v>-1.4210854715202004E-13</v>
      </c>
      <c r="H28" s="28"/>
      <c r="I28" s="213"/>
    </row>
    <row r="29" spans="1:9" x14ac:dyDescent="0.25">
      <c r="A29" s="14"/>
      <c r="B29" s="8"/>
      <c r="C29" s="46"/>
      <c r="D29" s="10"/>
      <c r="E29" s="32"/>
      <c r="F29" s="27"/>
      <c r="G29" s="11">
        <f t="shared" si="0"/>
        <v>-1.4210854715202004E-13</v>
      </c>
      <c r="H29" s="28"/>
      <c r="I29" s="213"/>
    </row>
    <row r="30" spans="1:9" x14ac:dyDescent="0.25">
      <c r="A30" s="14"/>
      <c r="B30" s="8"/>
      <c r="C30" s="46"/>
      <c r="D30" s="10"/>
      <c r="E30" s="32"/>
      <c r="F30" s="27"/>
      <c r="G30" s="11">
        <f t="shared" si="0"/>
        <v>-1.4210854715202004E-13</v>
      </c>
      <c r="H30" s="28"/>
      <c r="I30" s="213"/>
    </row>
    <row r="31" spans="1:9" x14ac:dyDescent="0.25">
      <c r="A31" s="14"/>
      <c r="B31" s="8"/>
      <c r="C31" s="46"/>
      <c r="D31" s="10"/>
      <c r="E31" s="32"/>
      <c r="F31" s="118"/>
      <c r="G31" s="11">
        <f t="shared" si="0"/>
        <v>-1.4210854715202004E-13</v>
      </c>
      <c r="H31" s="28"/>
      <c r="I31" s="29"/>
    </row>
    <row r="32" spans="1:9" x14ac:dyDescent="0.25">
      <c r="A32" s="14"/>
      <c r="B32" s="8"/>
      <c r="C32" s="46"/>
      <c r="D32" s="10"/>
      <c r="E32" s="32"/>
      <c r="F32" s="27"/>
      <c r="G32" s="11">
        <f t="shared" si="0"/>
        <v>-1.4210854715202004E-13</v>
      </c>
      <c r="H32" s="18"/>
      <c r="I32" s="7"/>
    </row>
    <row r="33" spans="1:9" x14ac:dyDescent="0.25">
      <c r="A33" s="14"/>
      <c r="B33" s="8"/>
      <c r="C33" s="46"/>
      <c r="D33" s="10"/>
      <c r="E33" s="32"/>
      <c r="F33" s="27"/>
      <c r="G33" s="11">
        <f t="shared" si="0"/>
        <v>-1.4210854715202004E-13</v>
      </c>
      <c r="H33" s="18"/>
      <c r="I33" s="7"/>
    </row>
    <row r="34" spans="1:9" x14ac:dyDescent="0.25">
      <c r="A34" s="14"/>
      <c r="B34" s="8"/>
      <c r="C34" s="7"/>
      <c r="D34" s="10"/>
      <c r="E34" s="140"/>
      <c r="F34" s="141"/>
      <c r="G34" s="11">
        <f t="shared" si="0"/>
        <v>-1.4210854715202004E-13</v>
      </c>
      <c r="H34" s="18"/>
      <c r="I34" s="7"/>
    </row>
    <row r="35" spans="1:9" x14ac:dyDescent="0.25">
      <c r="A35" s="14"/>
      <c r="B35" s="8"/>
      <c r="C35" s="7"/>
      <c r="D35" s="14"/>
      <c r="E35" s="140"/>
      <c r="F35" s="141"/>
      <c r="G35" s="11">
        <f t="shared" si="0"/>
        <v>-1.4210854715202004E-13</v>
      </c>
      <c r="H35" s="18"/>
      <c r="I35" s="7"/>
    </row>
    <row r="36" spans="1:9" x14ac:dyDescent="0.25">
      <c r="A36" s="14"/>
      <c r="B36" s="33"/>
      <c r="C36" s="7"/>
      <c r="D36" s="14"/>
      <c r="E36" s="140"/>
      <c r="F36" s="141"/>
      <c r="G36" s="11">
        <f t="shared" si="0"/>
        <v>-1.4210854715202004E-13</v>
      </c>
      <c r="H36" s="18"/>
      <c r="I36" s="7"/>
    </row>
    <row r="37" spans="1:9" x14ac:dyDescent="0.25">
      <c r="A37" s="7"/>
      <c r="B37" s="33"/>
      <c r="C37" s="34" t="s">
        <v>13</v>
      </c>
      <c r="D37" s="7"/>
      <c r="E37" s="35">
        <f>SUM(E9:E36)</f>
        <v>0</v>
      </c>
      <c r="F37" s="121">
        <f>SUM(F9:F36)</f>
        <v>1743.6</v>
      </c>
      <c r="G37" s="35">
        <f>+G8+E37-F37</f>
        <v>0</v>
      </c>
      <c r="H37" s="35"/>
      <c r="I37" s="36"/>
    </row>
  </sheetData>
  <mergeCells count="1">
    <mergeCell ref="A4:I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4"/>
  <dimension ref="A1:Q108"/>
  <sheetViews>
    <sheetView topLeftCell="A32" workbookViewId="0">
      <selection activeCell="N56" sqref="N56:N57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1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1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1" ht="17.25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16307</v>
      </c>
      <c r="H8" s="7"/>
      <c r="I8" s="7">
        <v>2188</v>
      </c>
    </row>
    <row r="9" spans="1:11" ht="17.25" customHeight="1" x14ac:dyDescent="0.25">
      <c r="A9" s="14">
        <v>1</v>
      </c>
      <c r="B9" s="8">
        <v>45660</v>
      </c>
      <c r="C9" s="46" t="s">
        <v>40</v>
      </c>
      <c r="D9" s="214" t="s">
        <v>19</v>
      </c>
      <c r="E9" s="11"/>
      <c r="F9" s="27">
        <v>81.5</v>
      </c>
      <c r="G9" s="18">
        <f t="shared" ref="G9:G72" si="0">+G8+E9-F9</f>
        <v>16225.5</v>
      </c>
      <c r="H9" s="28" t="s">
        <v>89</v>
      </c>
      <c r="I9" s="7" t="s">
        <v>90</v>
      </c>
      <c r="J9" t="s">
        <v>41</v>
      </c>
    </row>
    <row r="10" spans="1:11" ht="17.25" customHeight="1" x14ac:dyDescent="0.25">
      <c r="A10" s="14">
        <f t="shared" ref="A10:A73" si="1">+A9+1</f>
        <v>2</v>
      </c>
      <c r="B10" s="8">
        <v>45661</v>
      </c>
      <c r="C10" s="46" t="s">
        <v>40</v>
      </c>
      <c r="D10" s="214" t="s">
        <v>19</v>
      </c>
      <c r="E10" s="30"/>
      <c r="F10" s="27">
        <v>74.5</v>
      </c>
      <c r="G10" s="18">
        <f t="shared" si="0"/>
        <v>16151</v>
      </c>
      <c r="H10" s="28" t="s">
        <v>89</v>
      </c>
      <c r="I10" s="7" t="s">
        <v>90</v>
      </c>
    </row>
    <row r="11" spans="1:11" ht="17.25" customHeight="1" x14ac:dyDescent="0.25">
      <c r="A11" s="14">
        <f t="shared" si="1"/>
        <v>3</v>
      </c>
      <c r="B11" s="8">
        <v>45666</v>
      </c>
      <c r="C11" s="46" t="s">
        <v>40</v>
      </c>
      <c r="D11" s="214" t="s">
        <v>19</v>
      </c>
      <c r="E11" s="16"/>
      <c r="F11" s="27">
        <v>74.5</v>
      </c>
      <c r="G11" s="18">
        <f t="shared" si="0"/>
        <v>16076.5</v>
      </c>
      <c r="H11" s="28" t="s">
        <v>89</v>
      </c>
      <c r="I11" s="7" t="s">
        <v>90</v>
      </c>
      <c r="J11" s="26"/>
    </row>
    <row r="12" spans="1:11" ht="17.25" customHeight="1" x14ac:dyDescent="0.25">
      <c r="A12" s="14">
        <f t="shared" si="1"/>
        <v>4</v>
      </c>
      <c r="B12" s="8">
        <v>45667</v>
      </c>
      <c r="C12" s="46" t="s">
        <v>40</v>
      </c>
      <c r="D12" s="214" t="s">
        <v>19</v>
      </c>
      <c r="E12" s="16"/>
      <c r="F12" s="125">
        <v>75.5</v>
      </c>
      <c r="G12" s="18">
        <f t="shared" si="0"/>
        <v>16001</v>
      </c>
      <c r="H12" s="28" t="s">
        <v>89</v>
      </c>
      <c r="I12" s="7" t="s">
        <v>90</v>
      </c>
    </row>
    <row r="13" spans="1:11" ht="17.25" customHeight="1" x14ac:dyDescent="0.25">
      <c r="A13" s="14">
        <f t="shared" si="1"/>
        <v>5</v>
      </c>
      <c r="B13" s="205">
        <v>45678</v>
      </c>
      <c r="C13" s="46" t="s">
        <v>40</v>
      </c>
      <c r="D13" s="214" t="s">
        <v>19</v>
      </c>
      <c r="E13" s="16"/>
      <c r="F13" s="125">
        <v>71.5</v>
      </c>
      <c r="G13" s="18">
        <f t="shared" si="0"/>
        <v>15929.5</v>
      </c>
      <c r="H13" s="28" t="s">
        <v>89</v>
      </c>
      <c r="I13" s="7" t="s">
        <v>90</v>
      </c>
      <c r="J13" s="26"/>
    </row>
    <row r="14" spans="1:11" ht="17.25" customHeight="1" x14ac:dyDescent="0.25">
      <c r="A14" s="14">
        <f t="shared" si="1"/>
        <v>6</v>
      </c>
      <c r="B14" s="8">
        <v>45680</v>
      </c>
      <c r="C14" s="46" t="s">
        <v>40</v>
      </c>
      <c r="D14" s="214" t="s">
        <v>19</v>
      </c>
      <c r="E14" s="16"/>
      <c r="F14" s="118">
        <v>69.5</v>
      </c>
      <c r="G14" s="18">
        <f t="shared" si="0"/>
        <v>15860</v>
      </c>
      <c r="H14" s="28" t="s">
        <v>89</v>
      </c>
      <c r="I14" s="7" t="s">
        <v>90</v>
      </c>
    </row>
    <row r="15" spans="1:11" ht="17.25" customHeight="1" x14ac:dyDescent="0.25">
      <c r="A15" s="14">
        <f t="shared" si="1"/>
        <v>7</v>
      </c>
      <c r="B15" s="8">
        <v>45681</v>
      </c>
      <c r="C15" s="46" t="s">
        <v>40</v>
      </c>
      <c r="D15" s="214" t="s">
        <v>19</v>
      </c>
      <c r="E15" s="16"/>
      <c r="F15" s="118">
        <v>71.5</v>
      </c>
      <c r="G15" s="18">
        <f t="shared" si="0"/>
        <v>15788.5</v>
      </c>
      <c r="H15" s="28" t="s">
        <v>89</v>
      </c>
      <c r="I15" s="7" t="s">
        <v>90</v>
      </c>
      <c r="J15" s="26"/>
    </row>
    <row r="16" spans="1:11" ht="17.25" customHeight="1" x14ac:dyDescent="0.25">
      <c r="A16" s="14">
        <f t="shared" si="1"/>
        <v>8</v>
      </c>
      <c r="B16" s="8">
        <v>45695</v>
      </c>
      <c r="C16" s="46" t="s">
        <v>40</v>
      </c>
      <c r="D16" s="214" t="s">
        <v>19</v>
      </c>
      <c r="E16" s="16"/>
      <c r="F16" s="27">
        <v>71.5</v>
      </c>
      <c r="G16" s="18">
        <f t="shared" si="0"/>
        <v>15717</v>
      </c>
      <c r="H16" s="28" t="s">
        <v>89</v>
      </c>
      <c r="I16" s="7" t="s">
        <v>90</v>
      </c>
      <c r="K16">
        <f>16000/80</f>
        <v>200</v>
      </c>
    </row>
    <row r="17" spans="1:12" ht="17.25" customHeight="1" x14ac:dyDescent="0.25">
      <c r="A17" s="14">
        <f t="shared" si="1"/>
        <v>9</v>
      </c>
      <c r="B17" s="8">
        <v>45696</v>
      </c>
      <c r="C17" s="46" t="s">
        <v>40</v>
      </c>
      <c r="D17" s="214" t="s">
        <v>19</v>
      </c>
      <c r="E17" s="30"/>
      <c r="F17" s="27">
        <v>72.5</v>
      </c>
      <c r="G17" s="18">
        <f t="shared" si="0"/>
        <v>15644.5</v>
      </c>
      <c r="H17" s="28" t="s">
        <v>89</v>
      </c>
      <c r="I17" s="7" t="s">
        <v>90</v>
      </c>
    </row>
    <row r="18" spans="1:12" s="221" customFormat="1" ht="17.25" customHeight="1" x14ac:dyDescent="0.25">
      <c r="A18" s="215">
        <f>+A17+1</f>
        <v>10</v>
      </c>
      <c r="B18" s="216">
        <v>45698</v>
      </c>
      <c r="C18" s="46" t="s">
        <v>40</v>
      </c>
      <c r="D18" s="217" t="s">
        <v>19</v>
      </c>
      <c r="E18" s="218"/>
      <c r="F18" s="219">
        <v>142.5</v>
      </c>
      <c r="G18" s="220">
        <f t="shared" si="0"/>
        <v>15502</v>
      </c>
      <c r="H18" s="28" t="s">
        <v>89</v>
      </c>
      <c r="I18" s="7" t="s">
        <v>90</v>
      </c>
    </row>
    <row r="19" spans="1:12" s="221" customFormat="1" ht="17.25" customHeight="1" x14ac:dyDescent="0.25">
      <c r="A19" s="215">
        <f t="shared" si="1"/>
        <v>11</v>
      </c>
      <c r="B19" s="216">
        <v>45701</v>
      </c>
      <c r="C19" s="46" t="s">
        <v>40</v>
      </c>
      <c r="D19" s="217" t="s">
        <v>19</v>
      </c>
      <c r="E19" s="222"/>
      <c r="F19" s="219">
        <v>145.5</v>
      </c>
      <c r="G19" s="220">
        <f t="shared" si="0"/>
        <v>15356.5</v>
      </c>
      <c r="H19" s="28" t="s">
        <v>89</v>
      </c>
      <c r="I19" s="7" t="s">
        <v>90</v>
      </c>
    </row>
    <row r="20" spans="1:12" ht="17.25" customHeight="1" x14ac:dyDescent="0.25">
      <c r="A20" s="14">
        <f t="shared" si="1"/>
        <v>12</v>
      </c>
      <c r="B20" s="8">
        <v>45702</v>
      </c>
      <c r="C20" s="46" t="s">
        <v>40</v>
      </c>
      <c r="D20" s="214" t="s">
        <v>19</v>
      </c>
      <c r="E20" s="32"/>
      <c r="F20" s="17">
        <v>69.5</v>
      </c>
      <c r="G20" s="18">
        <f t="shared" si="0"/>
        <v>15287</v>
      </c>
      <c r="H20" s="28" t="s">
        <v>89</v>
      </c>
      <c r="I20" s="7" t="s">
        <v>90</v>
      </c>
    </row>
    <row r="21" spans="1:12" ht="17.25" customHeight="1" x14ac:dyDescent="0.25">
      <c r="A21" s="14">
        <f t="shared" si="1"/>
        <v>13</v>
      </c>
      <c r="B21" s="8">
        <v>45705</v>
      </c>
      <c r="C21" s="46" t="s">
        <v>40</v>
      </c>
      <c r="D21" s="214" t="s">
        <v>19</v>
      </c>
      <c r="E21" s="32"/>
      <c r="F21" s="27">
        <v>69.5</v>
      </c>
      <c r="G21" s="18">
        <f t="shared" si="0"/>
        <v>15217.5</v>
      </c>
      <c r="H21" s="28"/>
      <c r="I21" s="7"/>
    </row>
    <row r="22" spans="1:12" ht="17.25" customHeight="1" x14ac:dyDescent="0.25">
      <c r="A22" s="14">
        <f t="shared" si="1"/>
        <v>14</v>
      </c>
      <c r="B22" s="8">
        <v>45708</v>
      </c>
      <c r="C22" s="46" t="s">
        <v>40</v>
      </c>
      <c r="D22" s="214" t="s">
        <v>19</v>
      </c>
      <c r="E22" s="32"/>
      <c r="F22" s="17">
        <v>77.5</v>
      </c>
      <c r="G22" s="18">
        <f t="shared" si="0"/>
        <v>15140</v>
      </c>
      <c r="H22" s="28" t="s">
        <v>89</v>
      </c>
      <c r="I22" s="7" t="s">
        <v>90</v>
      </c>
    </row>
    <row r="23" spans="1:12" ht="17.25" customHeight="1" x14ac:dyDescent="0.25">
      <c r="A23" s="14">
        <f t="shared" si="1"/>
        <v>15</v>
      </c>
      <c r="B23" s="8">
        <v>45710</v>
      </c>
      <c r="C23" s="46" t="s">
        <v>40</v>
      </c>
      <c r="D23" s="214" t="s">
        <v>19</v>
      </c>
      <c r="E23" s="32"/>
      <c r="F23" s="17">
        <v>77.5</v>
      </c>
      <c r="G23" s="18">
        <f t="shared" si="0"/>
        <v>15062.5</v>
      </c>
      <c r="H23" s="28" t="s">
        <v>89</v>
      </c>
      <c r="I23" s="7" t="s">
        <v>90</v>
      </c>
    </row>
    <row r="24" spans="1:12" ht="17.25" customHeight="1" x14ac:dyDescent="0.25">
      <c r="A24" s="14">
        <f t="shared" si="1"/>
        <v>16</v>
      </c>
      <c r="B24" s="8">
        <v>45710</v>
      </c>
      <c r="C24" s="46" t="s">
        <v>40</v>
      </c>
      <c r="D24" s="214" t="s">
        <v>19</v>
      </c>
      <c r="E24" s="32"/>
      <c r="F24" s="17">
        <v>80.5</v>
      </c>
      <c r="G24" s="18">
        <f t="shared" si="0"/>
        <v>14982</v>
      </c>
      <c r="H24" s="28" t="s">
        <v>89</v>
      </c>
      <c r="I24" s="7" t="s">
        <v>90</v>
      </c>
      <c r="L24">
        <f>12*15+5</f>
        <v>185</v>
      </c>
    </row>
    <row r="25" spans="1:12" ht="17.25" customHeight="1" x14ac:dyDescent="0.25">
      <c r="A25" s="14">
        <f t="shared" si="1"/>
        <v>17</v>
      </c>
      <c r="B25" s="8">
        <v>45712</v>
      </c>
      <c r="C25" s="46" t="s">
        <v>40</v>
      </c>
      <c r="D25" s="214" t="s">
        <v>19</v>
      </c>
      <c r="E25" s="32"/>
      <c r="F25" s="17">
        <v>77.5</v>
      </c>
      <c r="G25" s="18">
        <f t="shared" si="0"/>
        <v>14904.5</v>
      </c>
      <c r="H25" s="28" t="s">
        <v>89</v>
      </c>
      <c r="I25" s="7" t="s">
        <v>90</v>
      </c>
    </row>
    <row r="26" spans="1:12" ht="17.25" customHeight="1" x14ac:dyDescent="0.25">
      <c r="A26" s="14">
        <f t="shared" si="1"/>
        <v>18</v>
      </c>
      <c r="B26" s="8">
        <v>45713</v>
      </c>
      <c r="C26" s="46" t="s">
        <v>40</v>
      </c>
      <c r="D26" s="214" t="s">
        <v>19</v>
      </c>
      <c r="E26" s="32"/>
      <c r="F26" s="17">
        <v>83</v>
      </c>
      <c r="G26" s="18">
        <f t="shared" si="0"/>
        <v>14821.5</v>
      </c>
      <c r="H26" s="28" t="s">
        <v>89</v>
      </c>
      <c r="I26" s="7" t="s">
        <v>90</v>
      </c>
    </row>
    <row r="27" spans="1:12" ht="17.25" customHeight="1" x14ac:dyDescent="0.25">
      <c r="A27" s="14">
        <f>+A26+1</f>
        <v>19</v>
      </c>
      <c r="B27" s="8">
        <v>45716</v>
      </c>
      <c r="C27" s="46" t="s">
        <v>40</v>
      </c>
      <c r="D27" s="214" t="s">
        <v>19</v>
      </c>
      <c r="E27" s="32"/>
      <c r="F27" s="17">
        <v>83</v>
      </c>
      <c r="G27" s="18">
        <f t="shared" si="0"/>
        <v>14738.5</v>
      </c>
      <c r="H27" s="28" t="s">
        <v>89</v>
      </c>
      <c r="I27" s="7" t="s">
        <v>90</v>
      </c>
    </row>
    <row r="28" spans="1:12" ht="17.25" customHeight="1" x14ac:dyDescent="0.25">
      <c r="A28" s="14">
        <f t="shared" si="1"/>
        <v>20</v>
      </c>
      <c r="B28" s="8">
        <v>45717</v>
      </c>
      <c r="C28" s="46" t="s">
        <v>40</v>
      </c>
      <c r="D28" s="214" t="s">
        <v>19</v>
      </c>
      <c r="E28" s="129"/>
      <c r="F28" s="17">
        <v>85.5</v>
      </c>
      <c r="G28" s="18">
        <f t="shared" si="0"/>
        <v>14653</v>
      </c>
      <c r="H28" s="28" t="s">
        <v>89</v>
      </c>
      <c r="I28" s="7" t="s">
        <v>90</v>
      </c>
    </row>
    <row r="29" spans="1:12" ht="17.25" customHeight="1" x14ac:dyDescent="0.25">
      <c r="A29" s="14">
        <f t="shared" si="1"/>
        <v>21</v>
      </c>
      <c r="B29" s="8">
        <v>45720</v>
      </c>
      <c r="C29" s="46" t="s">
        <v>40</v>
      </c>
      <c r="D29" s="214" t="s">
        <v>19</v>
      </c>
      <c r="E29" s="32"/>
      <c r="F29" s="17">
        <v>77.5</v>
      </c>
      <c r="G29" s="18">
        <f t="shared" si="0"/>
        <v>14575.5</v>
      </c>
      <c r="H29" s="28" t="s">
        <v>89</v>
      </c>
      <c r="I29" s="7" t="s">
        <v>90</v>
      </c>
    </row>
    <row r="30" spans="1:12" ht="17.25" customHeight="1" x14ac:dyDescent="0.25">
      <c r="A30" s="14">
        <f t="shared" si="1"/>
        <v>22</v>
      </c>
      <c r="B30" s="8">
        <v>45741</v>
      </c>
      <c r="C30" s="46" t="s">
        <v>40</v>
      </c>
      <c r="D30" s="214" t="s">
        <v>19</v>
      </c>
      <c r="E30" s="32"/>
      <c r="F30" s="17">
        <v>174</v>
      </c>
      <c r="G30" s="18">
        <f t="shared" si="0"/>
        <v>14401.5</v>
      </c>
      <c r="H30" s="28" t="s">
        <v>89</v>
      </c>
      <c r="I30" s="7" t="s">
        <v>90</v>
      </c>
    </row>
    <row r="31" spans="1:12" ht="17.25" customHeight="1" x14ac:dyDescent="0.25">
      <c r="A31" s="14">
        <f t="shared" si="1"/>
        <v>23</v>
      </c>
      <c r="B31" s="8">
        <v>45742</v>
      </c>
      <c r="C31" s="46" t="s">
        <v>40</v>
      </c>
      <c r="D31" s="214" t="s">
        <v>19</v>
      </c>
      <c r="E31" s="32"/>
      <c r="F31" s="17">
        <v>79.5</v>
      </c>
      <c r="G31" s="18">
        <f t="shared" si="0"/>
        <v>14322</v>
      </c>
      <c r="H31" s="28" t="s">
        <v>89</v>
      </c>
      <c r="I31" s="7" t="s">
        <v>90</v>
      </c>
    </row>
    <row r="32" spans="1:12" ht="17.25" customHeight="1" x14ac:dyDescent="0.25">
      <c r="A32" s="14">
        <f t="shared" si="1"/>
        <v>24</v>
      </c>
      <c r="B32" s="8">
        <v>45743</v>
      </c>
      <c r="C32" s="46" t="s">
        <v>40</v>
      </c>
      <c r="D32" s="214" t="s">
        <v>19</v>
      </c>
      <c r="E32" s="13"/>
      <c r="F32" s="17">
        <v>151.5</v>
      </c>
      <c r="G32" s="18">
        <f t="shared" si="0"/>
        <v>14170.5</v>
      </c>
      <c r="H32" s="28" t="s">
        <v>89</v>
      </c>
      <c r="I32" s="7"/>
    </row>
    <row r="33" spans="1:9" ht="17.25" customHeight="1" x14ac:dyDescent="0.25">
      <c r="A33" s="14">
        <f t="shared" si="1"/>
        <v>25</v>
      </c>
      <c r="B33" s="44">
        <v>45744</v>
      </c>
      <c r="C33" s="46" t="s">
        <v>40</v>
      </c>
      <c r="D33" s="214" t="s">
        <v>19</v>
      </c>
      <c r="E33" s="13"/>
      <c r="F33" s="17">
        <v>154</v>
      </c>
      <c r="G33" s="18">
        <f t="shared" si="0"/>
        <v>14016.5</v>
      </c>
      <c r="H33" s="28" t="s">
        <v>89</v>
      </c>
      <c r="I33" s="7"/>
    </row>
    <row r="34" spans="1:9" ht="17.25" customHeight="1" x14ac:dyDescent="0.25">
      <c r="A34" s="14">
        <f t="shared" si="1"/>
        <v>26</v>
      </c>
      <c r="B34" s="8">
        <v>45747</v>
      </c>
      <c r="C34" s="46" t="s">
        <v>40</v>
      </c>
      <c r="D34" s="214" t="s">
        <v>19</v>
      </c>
      <c r="E34" s="32"/>
      <c r="F34" s="40">
        <v>80</v>
      </c>
      <c r="G34" s="18">
        <f t="shared" si="0"/>
        <v>13936.5</v>
      </c>
      <c r="H34" s="28"/>
      <c r="I34" s="7"/>
    </row>
    <row r="35" spans="1:9" ht="17.25" customHeight="1" x14ac:dyDescent="0.25">
      <c r="A35" s="14">
        <f t="shared" si="1"/>
        <v>27</v>
      </c>
      <c r="B35" s="45">
        <v>45748</v>
      </c>
      <c r="C35" s="46" t="s">
        <v>40</v>
      </c>
      <c r="D35" s="214" t="s">
        <v>19</v>
      </c>
      <c r="E35" s="32"/>
      <c r="F35" s="40">
        <v>165.5</v>
      </c>
      <c r="G35" s="18">
        <f t="shared" si="0"/>
        <v>13771</v>
      </c>
      <c r="H35" s="28"/>
      <c r="I35" s="7"/>
    </row>
    <row r="36" spans="1:9" ht="17.25" customHeight="1" x14ac:dyDescent="0.25">
      <c r="A36" s="14">
        <f t="shared" si="1"/>
        <v>28</v>
      </c>
      <c r="B36" s="8">
        <v>45749</v>
      </c>
      <c r="C36" s="46" t="s">
        <v>40</v>
      </c>
      <c r="D36" s="214" t="s">
        <v>19</v>
      </c>
      <c r="E36" s="32"/>
      <c r="F36" s="40">
        <v>77.5</v>
      </c>
      <c r="G36" s="18">
        <f t="shared" si="0"/>
        <v>13693.5</v>
      </c>
      <c r="H36" s="28"/>
      <c r="I36" s="7"/>
    </row>
    <row r="37" spans="1:9" ht="17.25" customHeight="1" x14ac:dyDescent="0.25">
      <c r="A37" s="14">
        <f t="shared" si="1"/>
        <v>29</v>
      </c>
      <c r="B37" s="8">
        <v>45750</v>
      </c>
      <c r="C37" s="46" t="s">
        <v>40</v>
      </c>
      <c r="D37" s="214" t="s">
        <v>19</v>
      </c>
      <c r="E37" s="32"/>
      <c r="F37" s="17">
        <v>73</v>
      </c>
      <c r="G37" s="18">
        <f t="shared" si="0"/>
        <v>13620.5</v>
      </c>
      <c r="H37" s="28"/>
      <c r="I37" s="7"/>
    </row>
    <row r="38" spans="1:9" ht="17.25" customHeight="1" x14ac:dyDescent="0.25">
      <c r="A38" s="14">
        <f t="shared" si="1"/>
        <v>30</v>
      </c>
      <c r="B38" s="8">
        <v>45751</v>
      </c>
      <c r="C38" s="46" t="s">
        <v>40</v>
      </c>
      <c r="D38" s="214" t="s">
        <v>19</v>
      </c>
      <c r="E38" s="32"/>
      <c r="F38" s="17">
        <v>80.5</v>
      </c>
      <c r="G38" s="18">
        <f t="shared" si="0"/>
        <v>13540</v>
      </c>
      <c r="H38" s="28"/>
      <c r="I38" s="7"/>
    </row>
    <row r="39" spans="1:9" ht="17.25" customHeight="1" x14ac:dyDescent="0.25">
      <c r="A39" s="14">
        <f t="shared" si="1"/>
        <v>31</v>
      </c>
      <c r="B39" s="8">
        <v>45752</v>
      </c>
      <c r="C39" s="46" t="s">
        <v>40</v>
      </c>
      <c r="D39" s="214"/>
      <c r="E39" s="32"/>
      <c r="F39" s="17">
        <v>82</v>
      </c>
      <c r="G39" s="18">
        <f t="shared" si="0"/>
        <v>13458</v>
      </c>
      <c r="H39" s="28"/>
      <c r="I39" s="7"/>
    </row>
    <row r="40" spans="1:9" ht="17.25" customHeight="1" x14ac:dyDescent="0.25">
      <c r="A40" s="14">
        <f t="shared" si="1"/>
        <v>32</v>
      </c>
      <c r="B40" s="8">
        <v>45755</v>
      </c>
      <c r="C40" s="46" t="s">
        <v>40</v>
      </c>
      <c r="D40" s="214"/>
      <c r="E40" s="32"/>
      <c r="F40" s="17">
        <v>80.5</v>
      </c>
      <c r="G40" s="18">
        <f t="shared" si="0"/>
        <v>13377.5</v>
      </c>
      <c r="H40" s="28"/>
      <c r="I40" s="7"/>
    </row>
    <row r="41" spans="1:9" ht="17.25" customHeight="1" x14ac:dyDescent="0.25">
      <c r="A41" s="14">
        <f t="shared" si="1"/>
        <v>33</v>
      </c>
      <c r="B41" s="8">
        <v>45761</v>
      </c>
      <c r="C41" s="46" t="s">
        <v>40</v>
      </c>
      <c r="D41" s="214"/>
      <c r="E41" s="32"/>
      <c r="F41" s="17">
        <v>82.5</v>
      </c>
      <c r="G41" s="18">
        <f t="shared" si="0"/>
        <v>13295</v>
      </c>
      <c r="H41" s="28"/>
      <c r="I41" s="7"/>
    </row>
    <row r="42" spans="1:9" ht="17.25" customHeight="1" x14ac:dyDescent="0.25">
      <c r="A42" s="14">
        <f t="shared" si="1"/>
        <v>34</v>
      </c>
      <c r="B42" s="8">
        <v>45768</v>
      </c>
      <c r="C42" s="46" t="s">
        <v>40</v>
      </c>
      <c r="D42" s="214"/>
      <c r="E42" s="32"/>
      <c r="F42" s="17">
        <v>160</v>
      </c>
      <c r="G42" s="18">
        <f t="shared" si="0"/>
        <v>13135</v>
      </c>
      <c r="H42" s="28"/>
      <c r="I42" s="7"/>
    </row>
    <row r="43" spans="1:9" ht="17.25" customHeight="1" x14ac:dyDescent="0.25">
      <c r="A43" s="14">
        <f t="shared" si="1"/>
        <v>35</v>
      </c>
      <c r="B43" s="8">
        <v>45769</v>
      </c>
      <c r="C43" s="46" t="s">
        <v>40</v>
      </c>
      <c r="D43" s="214"/>
      <c r="E43" s="32"/>
      <c r="F43" s="17">
        <v>164.5</v>
      </c>
      <c r="G43" s="18">
        <f t="shared" si="0"/>
        <v>12970.5</v>
      </c>
      <c r="H43" s="28"/>
      <c r="I43" s="7"/>
    </row>
    <row r="44" spans="1:9" ht="17.25" customHeight="1" x14ac:dyDescent="0.25">
      <c r="A44" s="14">
        <f t="shared" si="1"/>
        <v>36</v>
      </c>
      <c r="B44" s="8">
        <v>45770</v>
      </c>
      <c r="C44" s="46"/>
      <c r="D44" s="214"/>
      <c r="E44" s="32"/>
      <c r="F44" s="17">
        <v>167.5</v>
      </c>
      <c r="G44" s="18">
        <f t="shared" si="0"/>
        <v>12803</v>
      </c>
      <c r="H44" s="28"/>
      <c r="I44" s="7"/>
    </row>
    <row r="45" spans="1:9" ht="17.25" customHeight="1" x14ac:dyDescent="0.25">
      <c r="A45" s="14">
        <f t="shared" si="1"/>
        <v>37</v>
      </c>
      <c r="B45" s="8">
        <v>45771</v>
      </c>
      <c r="C45" s="46"/>
      <c r="D45" s="214"/>
      <c r="E45" s="32"/>
      <c r="F45" s="17">
        <v>85</v>
      </c>
      <c r="G45" s="18">
        <f t="shared" si="0"/>
        <v>12718</v>
      </c>
      <c r="H45" s="28"/>
      <c r="I45" s="7"/>
    </row>
    <row r="46" spans="1:9" ht="17.25" customHeight="1" x14ac:dyDescent="0.25">
      <c r="A46" s="14">
        <f t="shared" si="1"/>
        <v>38</v>
      </c>
      <c r="B46" s="8">
        <v>38467</v>
      </c>
      <c r="C46" s="46"/>
      <c r="D46" s="214"/>
      <c r="E46" s="32"/>
      <c r="F46" s="17">
        <v>84.5</v>
      </c>
      <c r="G46" s="18">
        <f t="shared" si="0"/>
        <v>12633.5</v>
      </c>
      <c r="H46" s="28"/>
      <c r="I46" s="7"/>
    </row>
    <row r="47" spans="1:9" ht="17.25" customHeight="1" x14ac:dyDescent="0.25">
      <c r="A47" s="14">
        <f t="shared" si="1"/>
        <v>39</v>
      </c>
      <c r="B47" s="8">
        <v>45774</v>
      </c>
      <c r="C47" s="46"/>
      <c r="D47" s="214"/>
      <c r="E47" s="32"/>
      <c r="F47" s="17">
        <v>84.5</v>
      </c>
      <c r="G47" s="18">
        <f t="shared" si="0"/>
        <v>12549</v>
      </c>
      <c r="H47" s="28"/>
      <c r="I47" s="7"/>
    </row>
    <row r="48" spans="1:9" ht="17.25" customHeight="1" x14ac:dyDescent="0.25">
      <c r="A48" s="14">
        <f t="shared" si="1"/>
        <v>40</v>
      </c>
      <c r="B48" s="8">
        <v>45775</v>
      </c>
      <c r="C48" s="46"/>
      <c r="D48" s="214"/>
      <c r="E48" s="32"/>
      <c r="F48" s="17">
        <v>160</v>
      </c>
      <c r="G48" s="18">
        <f t="shared" si="0"/>
        <v>12389</v>
      </c>
      <c r="H48" s="28"/>
      <c r="I48" s="7"/>
    </row>
    <row r="49" spans="1:9" ht="17.25" customHeight="1" x14ac:dyDescent="0.25">
      <c r="A49" s="14">
        <f t="shared" si="1"/>
        <v>41</v>
      </c>
      <c r="B49" s="8">
        <v>45776</v>
      </c>
      <c r="C49" s="46"/>
      <c r="D49" s="214"/>
      <c r="E49" s="32"/>
      <c r="F49" s="17">
        <v>78.5</v>
      </c>
      <c r="G49" s="18">
        <f t="shared" si="0"/>
        <v>12310.5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/>
      <c r="E50" s="32"/>
      <c r="F50" s="17"/>
      <c r="G50" s="18">
        <f t="shared" si="0"/>
        <v>12310.5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/>
      <c r="E51" s="32"/>
      <c r="F51" s="17"/>
      <c r="G51" s="18">
        <f t="shared" si="0"/>
        <v>12310.5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/>
      <c r="E52" s="32"/>
      <c r="F52" s="17"/>
      <c r="G52" s="18">
        <f t="shared" si="0"/>
        <v>12310.5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/>
      <c r="E53" s="32"/>
      <c r="F53" s="17"/>
      <c r="G53" s="18">
        <f t="shared" si="0"/>
        <v>12310.5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/>
      <c r="E54" s="32"/>
      <c r="F54" s="17"/>
      <c r="G54" s="18">
        <f t="shared" si="0"/>
        <v>12310.5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/>
      <c r="E55" s="32"/>
      <c r="F55" s="17"/>
      <c r="G55" s="18">
        <f t="shared" si="0"/>
        <v>12310.5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12310.5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12310.5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12310.5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12310.5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12310.5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12310.5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12310.5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12310.5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12310.5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12310.5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12310.5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>+G66+E67-F67</f>
        <v>12310.5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>+G67+E68-F68</f>
        <v>12310.5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>+G68+E69-F69</f>
        <v>12310.5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12310.5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12310.5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12310.5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1" si="2">+G72+E73-F73</f>
        <v>12310.5</v>
      </c>
      <c r="H73" s="28"/>
      <c r="I73" s="7"/>
    </row>
    <row r="74" spans="1:10" ht="17.25" customHeight="1" x14ac:dyDescent="0.25">
      <c r="A74" s="14">
        <f t="shared" ref="A74:A96" si="3">+A73+1</f>
        <v>66</v>
      </c>
      <c r="B74" s="8"/>
      <c r="C74" s="46"/>
      <c r="D74" s="214"/>
      <c r="E74" s="32"/>
      <c r="F74" s="17"/>
      <c r="G74" s="18">
        <f t="shared" si="2"/>
        <v>12310.5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12310.5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12310.5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12310.5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12310.5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12310.5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12310.5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12310.5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12310.5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12310.5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12310.5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12310.5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12310.5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12310.5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12310.5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12310.5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12310.5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12310.5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>+G91+E92-F92</f>
        <v>12310.5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>+G92+E93-F93</f>
        <v>12310.5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>+G93+E94-F94</f>
        <v>12310.5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>+G94+E95-F95</f>
        <v>12310.5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>+G95+E96-F96</f>
        <v>12310.5</v>
      </c>
      <c r="H96" s="28"/>
      <c r="I96" s="7"/>
      <c r="L96" s="199"/>
      <c r="Q96" s="199"/>
    </row>
    <row r="97" spans="1:9" ht="17.25" customHeight="1" x14ac:dyDescent="0.25">
      <c r="A97" s="7"/>
      <c r="B97" s="7"/>
      <c r="C97" s="34" t="s">
        <v>13</v>
      </c>
      <c r="D97" s="14"/>
      <c r="E97" s="35">
        <f>SUM(E8:E96)</f>
        <v>0</v>
      </c>
      <c r="F97" s="35">
        <f>SUM(F8:F96)</f>
        <v>3996.5</v>
      </c>
      <c r="G97" s="35">
        <f>+E97-F97+G8</f>
        <v>12310.5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5"/>
  <dimension ref="A1:Q119"/>
  <sheetViews>
    <sheetView topLeftCell="A81" workbookViewId="0">
      <selection activeCell="C105" sqref="C105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6190</v>
      </c>
      <c r="H8" s="7"/>
      <c r="I8" s="7"/>
    </row>
    <row r="9" spans="1:10" ht="17.25" customHeight="1" x14ac:dyDescent="0.25">
      <c r="A9" s="14">
        <v>1</v>
      </c>
      <c r="B9" s="8">
        <v>45659</v>
      </c>
      <c r="C9" s="46" t="s">
        <v>42</v>
      </c>
      <c r="D9" s="214" t="s">
        <v>19</v>
      </c>
      <c r="E9" s="30"/>
      <c r="F9" s="27">
        <v>323</v>
      </c>
      <c r="G9" s="18">
        <f>+G8+E9-F9</f>
        <v>5867</v>
      </c>
      <c r="H9" s="28" t="s">
        <v>91</v>
      </c>
      <c r="I9" s="7" t="s">
        <v>90</v>
      </c>
    </row>
    <row r="10" spans="1:10" ht="17.25" customHeight="1" x14ac:dyDescent="0.25">
      <c r="A10" s="14">
        <f t="shared" ref="A10:A73" si="0">+A9+1</f>
        <v>2</v>
      </c>
      <c r="B10" s="8">
        <v>45674</v>
      </c>
      <c r="C10" s="46" t="s">
        <v>42</v>
      </c>
      <c r="D10" s="214" t="s">
        <v>19</v>
      </c>
      <c r="E10" s="30"/>
      <c r="F10" s="27">
        <v>331</v>
      </c>
      <c r="G10" s="18">
        <f t="shared" ref="G10:G73" si="1">+G9+E10-F10</f>
        <v>5536</v>
      </c>
      <c r="H10" s="28" t="s">
        <v>91</v>
      </c>
      <c r="I10" s="7" t="s">
        <v>90</v>
      </c>
    </row>
    <row r="11" spans="1:10" ht="18" customHeight="1" x14ac:dyDescent="0.25">
      <c r="A11" s="14">
        <f t="shared" si="0"/>
        <v>3</v>
      </c>
      <c r="B11" s="8">
        <v>45867</v>
      </c>
      <c r="C11" s="46" t="s">
        <v>42</v>
      </c>
      <c r="D11" s="214" t="s">
        <v>19</v>
      </c>
      <c r="E11" s="16"/>
      <c r="F11" s="27">
        <v>315</v>
      </c>
      <c r="G11" s="18">
        <f t="shared" si="1"/>
        <v>5221</v>
      </c>
      <c r="H11" s="28" t="s">
        <v>91</v>
      </c>
      <c r="I11" s="7" t="s">
        <v>90</v>
      </c>
      <c r="J11" s="26" t="s">
        <v>147</v>
      </c>
    </row>
    <row r="12" spans="1:10" ht="18" customHeight="1" x14ac:dyDescent="0.25">
      <c r="A12" s="14">
        <f t="shared" si="0"/>
        <v>4</v>
      </c>
      <c r="B12" s="205">
        <v>45869</v>
      </c>
      <c r="C12" s="46" t="s">
        <v>42</v>
      </c>
      <c r="D12" s="214" t="s">
        <v>19</v>
      </c>
      <c r="E12" s="16"/>
      <c r="F12" s="17">
        <v>305</v>
      </c>
      <c r="G12" s="18">
        <f t="shared" si="1"/>
        <v>4916</v>
      </c>
      <c r="H12" s="28" t="s">
        <v>91</v>
      </c>
      <c r="I12" s="7" t="s">
        <v>90</v>
      </c>
      <c r="J12" s="26">
        <f>+F12+F13</f>
        <v>602</v>
      </c>
    </row>
    <row r="13" spans="1:10" ht="18" customHeight="1" x14ac:dyDescent="0.25">
      <c r="A13" s="14">
        <f t="shared" si="0"/>
        <v>5</v>
      </c>
      <c r="B13" s="8">
        <v>45898</v>
      </c>
      <c r="C13" s="46" t="s">
        <v>42</v>
      </c>
      <c r="D13" s="214" t="s">
        <v>19</v>
      </c>
      <c r="E13" s="16"/>
      <c r="F13" s="27">
        <v>297</v>
      </c>
      <c r="G13" s="18">
        <f t="shared" si="1"/>
        <v>4619</v>
      </c>
      <c r="H13" s="28" t="s">
        <v>91</v>
      </c>
      <c r="I13" s="7" t="s">
        <v>90</v>
      </c>
    </row>
    <row r="14" spans="1:10" ht="18" customHeight="1" x14ac:dyDescent="0.25">
      <c r="A14" s="14">
        <f t="shared" si="0"/>
        <v>6</v>
      </c>
      <c r="B14" s="8"/>
      <c r="C14" s="46" t="s">
        <v>42</v>
      </c>
      <c r="D14" s="214" t="s">
        <v>19</v>
      </c>
      <c r="E14" s="16"/>
      <c r="F14" s="27"/>
      <c r="G14" s="18">
        <f t="shared" si="1"/>
        <v>4619</v>
      </c>
      <c r="H14" s="28" t="s">
        <v>91</v>
      </c>
      <c r="I14" s="7" t="s">
        <v>90</v>
      </c>
      <c r="J14" s="26" t="s">
        <v>147</v>
      </c>
    </row>
    <row r="15" spans="1:10" ht="18" customHeight="1" x14ac:dyDescent="0.25">
      <c r="A15" s="14">
        <f t="shared" si="0"/>
        <v>7</v>
      </c>
      <c r="B15" s="8"/>
      <c r="C15" s="46" t="s">
        <v>42</v>
      </c>
      <c r="D15" s="214" t="s">
        <v>19</v>
      </c>
      <c r="E15" s="16"/>
      <c r="F15" s="27"/>
      <c r="G15" s="18">
        <f t="shared" si="1"/>
        <v>4619</v>
      </c>
      <c r="H15" s="28" t="s">
        <v>91</v>
      </c>
      <c r="I15" s="7" t="s">
        <v>90</v>
      </c>
    </row>
    <row r="16" spans="1:10" ht="18" customHeight="1" x14ac:dyDescent="0.25">
      <c r="A16" s="14">
        <f t="shared" si="0"/>
        <v>8</v>
      </c>
      <c r="B16" s="8"/>
      <c r="C16" s="46" t="s">
        <v>42</v>
      </c>
      <c r="D16" s="214" t="s">
        <v>19</v>
      </c>
      <c r="E16" s="30"/>
      <c r="F16" s="27"/>
      <c r="G16" s="18">
        <f t="shared" si="1"/>
        <v>4619</v>
      </c>
      <c r="H16" s="28" t="s">
        <v>91</v>
      </c>
      <c r="I16" s="7" t="s">
        <v>90</v>
      </c>
    </row>
    <row r="17" spans="1:9" s="230" customFormat="1" ht="18" customHeight="1" x14ac:dyDescent="0.25">
      <c r="A17" s="14">
        <f t="shared" si="0"/>
        <v>9</v>
      </c>
      <c r="B17" s="224"/>
      <c r="C17" s="225" t="s">
        <v>42</v>
      </c>
      <c r="D17" s="226" t="s">
        <v>19</v>
      </c>
      <c r="E17" s="227"/>
      <c r="F17" s="228"/>
      <c r="G17" s="18">
        <f t="shared" si="1"/>
        <v>4619</v>
      </c>
      <c r="H17" s="28" t="s">
        <v>91</v>
      </c>
      <c r="I17" s="7" t="s">
        <v>90</v>
      </c>
    </row>
    <row r="18" spans="1:9" s="230" customFormat="1" ht="18" customHeight="1" x14ac:dyDescent="0.25">
      <c r="A18" s="14">
        <f t="shared" si="0"/>
        <v>10</v>
      </c>
      <c r="B18" s="224"/>
      <c r="C18" s="225" t="s">
        <v>42</v>
      </c>
      <c r="D18" s="226" t="s">
        <v>19</v>
      </c>
      <c r="E18" s="231"/>
      <c r="F18" s="228"/>
      <c r="G18" s="18">
        <f t="shared" si="1"/>
        <v>4619</v>
      </c>
      <c r="H18" s="28" t="s">
        <v>91</v>
      </c>
      <c r="I18" s="7" t="s">
        <v>90</v>
      </c>
    </row>
    <row r="19" spans="1:9" ht="18" customHeight="1" x14ac:dyDescent="0.25">
      <c r="A19" s="14">
        <f t="shared" si="0"/>
        <v>11</v>
      </c>
      <c r="B19" s="8"/>
      <c r="C19" s="46" t="s">
        <v>42</v>
      </c>
      <c r="D19" s="214" t="s">
        <v>19</v>
      </c>
      <c r="E19" s="32"/>
      <c r="F19" s="17"/>
      <c r="G19" s="18">
        <f t="shared" si="1"/>
        <v>4619</v>
      </c>
      <c r="H19" s="28" t="s">
        <v>91</v>
      </c>
      <c r="I19" s="7" t="s">
        <v>90</v>
      </c>
    </row>
    <row r="20" spans="1:9" ht="18" customHeight="1" x14ac:dyDescent="0.25">
      <c r="A20" s="14">
        <f t="shared" si="0"/>
        <v>12</v>
      </c>
      <c r="B20" s="8"/>
      <c r="C20" s="46" t="s">
        <v>42</v>
      </c>
      <c r="D20" s="214" t="s">
        <v>19</v>
      </c>
      <c r="E20" s="32"/>
      <c r="F20" s="17"/>
      <c r="G20" s="18">
        <f t="shared" si="1"/>
        <v>4619</v>
      </c>
      <c r="H20" s="28" t="s">
        <v>91</v>
      </c>
      <c r="I20" s="7" t="s">
        <v>90</v>
      </c>
    </row>
    <row r="21" spans="1:9" ht="18" customHeight="1" x14ac:dyDescent="0.25">
      <c r="A21" s="14">
        <f t="shared" si="0"/>
        <v>13</v>
      </c>
      <c r="B21" s="8"/>
      <c r="C21" s="46" t="s">
        <v>42</v>
      </c>
      <c r="D21" s="214" t="s">
        <v>19</v>
      </c>
      <c r="E21" s="32"/>
      <c r="F21" s="27"/>
      <c r="G21" s="18">
        <f t="shared" si="1"/>
        <v>4619</v>
      </c>
      <c r="H21" s="28" t="s">
        <v>91</v>
      </c>
      <c r="I21" s="7" t="s">
        <v>90</v>
      </c>
    </row>
    <row r="22" spans="1:9" ht="18" customHeight="1" x14ac:dyDescent="0.25">
      <c r="A22" s="14">
        <f t="shared" si="0"/>
        <v>14</v>
      </c>
      <c r="B22" s="370"/>
      <c r="C22" s="233" t="s">
        <v>42</v>
      </c>
      <c r="D22" s="234" t="s">
        <v>19</v>
      </c>
      <c r="E22" s="235"/>
      <c r="F22" s="172"/>
      <c r="G22" s="18">
        <f t="shared" si="1"/>
        <v>4619</v>
      </c>
      <c r="H22" s="28" t="s">
        <v>129</v>
      </c>
      <c r="I22" s="7" t="s">
        <v>90</v>
      </c>
    </row>
    <row r="23" spans="1:9" ht="18" customHeight="1" x14ac:dyDescent="0.25">
      <c r="A23" s="14">
        <f t="shared" si="0"/>
        <v>15</v>
      </c>
      <c r="B23" s="44"/>
      <c r="C23" s="46" t="s">
        <v>42</v>
      </c>
      <c r="D23" s="214" t="s">
        <v>19</v>
      </c>
      <c r="E23" s="32"/>
      <c r="F23" s="17"/>
      <c r="G23" s="18">
        <f t="shared" si="1"/>
        <v>4619</v>
      </c>
      <c r="H23" s="28" t="s">
        <v>129</v>
      </c>
      <c r="I23" s="7" t="s">
        <v>142</v>
      </c>
    </row>
    <row r="24" spans="1:9" ht="18" customHeight="1" x14ac:dyDescent="0.25">
      <c r="A24" s="14">
        <f t="shared" si="0"/>
        <v>16</v>
      </c>
      <c r="B24" s="44"/>
      <c r="C24" s="46" t="s">
        <v>42</v>
      </c>
      <c r="D24" s="214" t="s">
        <v>19</v>
      </c>
      <c r="E24" s="32"/>
      <c r="F24" s="17"/>
      <c r="G24" s="18">
        <f t="shared" si="1"/>
        <v>4619</v>
      </c>
      <c r="H24" s="28" t="s">
        <v>91</v>
      </c>
      <c r="I24" s="7" t="s">
        <v>90</v>
      </c>
    </row>
    <row r="25" spans="1:9" ht="18" customHeight="1" x14ac:dyDescent="0.25">
      <c r="A25" s="14">
        <f t="shared" si="0"/>
        <v>17</v>
      </c>
      <c r="B25" s="8"/>
      <c r="C25" s="46" t="s">
        <v>42</v>
      </c>
      <c r="D25" s="214" t="s">
        <v>19</v>
      </c>
      <c r="E25" s="32"/>
      <c r="F25" s="17"/>
      <c r="G25" s="18">
        <f t="shared" si="1"/>
        <v>4619</v>
      </c>
      <c r="H25" s="28" t="s">
        <v>91</v>
      </c>
      <c r="I25" s="7" t="s">
        <v>90</v>
      </c>
    </row>
    <row r="26" spans="1:9" ht="18" customHeight="1" x14ac:dyDescent="0.25">
      <c r="A26" s="14">
        <f t="shared" si="0"/>
        <v>18</v>
      </c>
      <c r="B26" s="8"/>
      <c r="C26" s="46" t="s">
        <v>42</v>
      </c>
      <c r="D26" s="214" t="s">
        <v>19</v>
      </c>
      <c r="E26" s="32"/>
      <c r="F26" s="17"/>
      <c r="G26" s="18">
        <f t="shared" si="1"/>
        <v>4619</v>
      </c>
      <c r="H26" s="28" t="s">
        <v>91</v>
      </c>
      <c r="I26" s="7" t="s">
        <v>90</v>
      </c>
    </row>
    <row r="27" spans="1:9" ht="18" customHeight="1" x14ac:dyDescent="0.25">
      <c r="A27" s="14">
        <f t="shared" si="0"/>
        <v>19</v>
      </c>
      <c r="B27" s="8"/>
      <c r="C27" s="46" t="s">
        <v>42</v>
      </c>
      <c r="D27" s="214" t="s">
        <v>19</v>
      </c>
      <c r="E27" s="32"/>
      <c r="F27" s="17"/>
      <c r="G27" s="18">
        <f t="shared" si="1"/>
        <v>4619</v>
      </c>
      <c r="H27" s="28" t="s">
        <v>91</v>
      </c>
      <c r="I27" s="7" t="s">
        <v>90</v>
      </c>
    </row>
    <row r="28" spans="1:9" ht="18" customHeight="1" x14ac:dyDescent="0.25">
      <c r="A28" s="14">
        <f t="shared" si="0"/>
        <v>20</v>
      </c>
      <c r="B28" s="8"/>
      <c r="C28" s="46" t="s">
        <v>42</v>
      </c>
      <c r="D28" s="214" t="s">
        <v>19</v>
      </c>
      <c r="E28" s="129"/>
      <c r="F28" s="17"/>
      <c r="G28" s="18">
        <f t="shared" si="1"/>
        <v>4619</v>
      </c>
      <c r="H28" s="28" t="s">
        <v>91</v>
      </c>
      <c r="I28" s="7" t="s">
        <v>90</v>
      </c>
    </row>
    <row r="29" spans="1:9" ht="18" customHeight="1" x14ac:dyDescent="0.25">
      <c r="A29" s="14">
        <f t="shared" si="0"/>
        <v>21</v>
      </c>
      <c r="B29" s="8"/>
      <c r="C29" s="46" t="s">
        <v>42</v>
      </c>
      <c r="D29" s="214" t="s">
        <v>19</v>
      </c>
      <c r="E29" s="32"/>
      <c r="F29" s="172"/>
      <c r="G29" s="18">
        <f t="shared" si="1"/>
        <v>4619</v>
      </c>
      <c r="H29" s="28" t="s">
        <v>91</v>
      </c>
      <c r="I29" s="7" t="s">
        <v>90</v>
      </c>
    </row>
    <row r="30" spans="1:9" ht="18" customHeight="1" x14ac:dyDescent="0.25">
      <c r="A30" s="14">
        <f t="shared" si="0"/>
        <v>22</v>
      </c>
      <c r="B30" s="8"/>
      <c r="C30" s="46" t="s">
        <v>42</v>
      </c>
      <c r="D30" s="214" t="s">
        <v>19</v>
      </c>
      <c r="E30" s="32"/>
      <c r="F30" s="17"/>
      <c r="G30" s="18">
        <f t="shared" si="1"/>
        <v>4619</v>
      </c>
      <c r="H30" s="28" t="s">
        <v>91</v>
      </c>
      <c r="I30" s="7" t="s">
        <v>90</v>
      </c>
    </row>
    <row r="31" spans="1:9" ht="18" customHeight="1" x14ac:dyDescent="0.25">
      <c r="A31" s="14">
        <f t="shared" si="0"/>
        <v>23</v>
      </c>
      <c r="B31" s="8"/>
      <c r="C31" s="46" t="s">
        <v>42</v>
      </c>
      <c r="D31" s="214" t="s">
        <v>19</v>
      </c>
      <c r="E31" s="32"/>
      <c r="F31" s="17"/>
      <c r="G31" s="18">
        <f t="shared" si="1"/>
        <v>4619</v>
      </c>
      <c r="H31" s="28" t="s">
        <v>91</v>
      </c>
      <c r="I31" s="7" t="s">
        <v>90</v>
      </c>
    </row>
    <row r="32" spans="1:9" ht="17.25" customHeight="1" x14ac:dyDescent="0.25">
      <c r="A32" s="14">
        <f t="shared" si="0"/>
        <v>24</v>
      </c>
      <c r="B32" s="8"/>
      <c r="C32" s="46" t="s">
        <v>42</v>
      </c>
      <c r="D32" s="214" t="s">
        <v>19</v>
      </c>
      <c r="E32" s="13"/>
      <c r="F32" s="17"/>
      <c r="G32" s="18">
        <f t="shared" si="1"/>
        <v>4619</v>
      </c>
      <c r="H32" s="28" t="s">
        <v>91</v>
      </c>
      <c r="I32" s="7" t="s">
        <v>90</v>
      </c>
    </row>
    <row r="33" spans="1:16" ht="17.25" customHeight="1" x14ac:dyDescent="0.25">
      <c r="A33" s="14">
        <f t="shared" si="0"/>
        <v>25</v>
      </c>
      <c r="B33" s="44"/>
      <c r="C33" s="46" t="s">
        <v>42</v>
      </c>
      <c r="D33" s="214" t="s">
        <v>19</v>
      </c>
      <c r="E33" s="13"/>
      <c r="F33" s="17"/>
      <c r="G33" s="18">
        <f t="shared" si="1"/>
        <v>4619</v>
      </c>
      <c r="H33" s="178"/>
      <c r="I33" s="7"/>
    </row>
    <row r="34" spans="1:16" ht="18" customHeight="1" x14ac:dyDescent="0.25">
      <c r="A34" s="14">
        <f t="shared" si="0"/>
        <v>26</v>
      </c>
      <c r="B34" s="8"/>
      <c r="C34" s="46" t="s">
        <v>42</v>
      </c>
      <c r="D34" s="214" t="s">
        <v>19</v>
      </c>
      <c r="E34" s="32"/>
      <c r="F34" s="40"/>
      <c r="G34" s="18">
        <f t="shared" si="1"/>
        <v>4619</v>
      </c>
      <c r="H34" s="178"/>
      <c r="I34" s="7"/>
    </row>
    <row r="35" spans="1:16" ht="18" customHeight="1" x14ac:dyDescent="0.25">
      <c r="A35" s="14">
        <f t="shared" si="0"/>
        <v>27</v>
      </c>
      <c r="B35" s="45"/>
      <c r="C35" s="46" t="s">
        <v>42</v>
      </c>
      <c r="D35" s="214" t="s">
        <v>19</v>
      </c>
      <c r="E35" s="32"/>
      <c r="F35" s="40"/>
      <c r="G35" s="18">
        <f t="shared" si="1"/>
        <v>4619</v>
      </c>
      <c r="H35" s="178"/>
      <c r="I35" s="7"/>
    </row>
    <row r="36" spans="1:16" ht="18" customHeight="1" x14ac:dyDescent="0.25">
      <c r="A36" s="14">
        <f t="shared" si="0"/>
        <v>28</v>
      </c>
      <c r="B36" s="8"/>
      <c r="C36" s="46" t="s">
        <v>42</v>
      </c>
      <c r="D36" s="214" t="s">
        <v>19</v>
      </c>
      <c r="E36" s="32"/>
      <c r="F36" s="40"/>
      <c r="G36" s="18">
        <f t="shared" si="1"/>
        <v>4619</v>
      </c>
      <c r="H36" s="178"/>
      <c r="I36" s="7"/>
    </row>
    <row r="37" spans="1:16" ht="18" customHeight="1" x14ac:dyDescent="0.25">
      <c r="A37" s="14">
        <f t="shared" si="0"/>
        <v>29</v>
      </c>
      <c r="B37" s="8"/>
      <c r="C37" s="46" t="s">
        <v>42</v>
      </c>
      <c r="D37" s="214" t="s">
        <v>19</v>
      </c>
      <c r="E37" s="32"/>
      <c r="F37" s="17"/>
      <c r="G37" s="18">
        <f t="shared" si="1"/>
        <v>4619</v>
      </c>
      <c r="H37" s="178"/>
      <c r="I37" s="7"/>
      <c r="K37">
        <f>911-338</f>
        <v>573</v>
      </c>
    </row>
    <row r="38" spans="1:16" ht="18" customHeight="1" x14ac:dyDescent="0.25">
      <c r="A38" s="14">
        <f t="shared" si="0"/>
        <v>30</v>
      </c>
      <c r="B38" s="8"/>
      <c r="C38" s="46" t="s">
        <v>42</v>
      </c>
      <c r="D38" s="214" t="s">
        <v>19</v>
      </c>
      <c r="E38" s="32"/>
      <c r="F38" s="17"/>
      <c r="G38" s="18">
        <f t="shared" si="1"/>
        <v>4619</v>
      </c>
      <c r="H38" s="178"/>
      <c r="I38" s="7"/>
      <c r="K38">
        <f>+K37-314</f>
        <v>259</v>
      </c>
    </row>
    <row r="39" spans="1:16" ht="18" customHeight="1" x14ac:dyDescent="0.25">
      <c r="A39" s="14">
        <f t="shared" si="0"/>
        <v>31</v>
      </c>
      <c r="B39" s="8"/>
      <c r="C39" s="46" t="s">
        <v>42</v>
      </c>
      <c r="D39" s="214" t="s">
        <v>19</v>
      </c>
      <c r="E39" s="32"/>
      <c r="F39" s="17"/>
      <c r="G39" s="18">
        <f t="shared" si="1"/>
        <v>4619</v>
      </c>
      <c r="H39" s="178"/>
      <c r="I39" s="7"/>
    </row>
    <row r="40" spans="1:16" ht="18" customHeight="1" x14ac:dyDescent="0.25">
      <c r="A40" s="14">
        <f t="shared" si="0"/>
        <v>32</v>
      </c>
      <c r="B40" s="8"/>
      <c r="C40" s="46" t="s">
        <v>42</v>
      </c>
      <c r="D40" s="214" t="s">
        <v>19</v>
      </c>
      <c r="E40" s="32"/>
      <c r="F40" s="17"/>
      <c r="G40" s="18">
        <f t="shared" si="1"/>
        <v>4619</v>
      </c>
      <c r="H40" s="178"/>
      <c r="I40" s="7"/>
    </row>
    <row r="41" spans="1:16" ht="18" customHeight="1" x14ac:dyDescent="0.25">
      <c r="A41" s="14">
        <f t="shared" si="0"/>
        <v>33</v>
      </c>
      <c r="B41" s="8"/>
      <c r="C41" s="46" t="s">
        <v>42</v>
      </c>
      <c r="D41" s="214" t="s">
        <v>19</v>
      </c>
      <c r="E41" s="32"/>
      <c r="F41" s="172"/>
      <c r="G41" s="18">
        <f t="shared" si="1"/>
        <v>4619</v>
      </c>
      <c r="H41" s="178"/>
      <c r="I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42</v>
      </c>
      <c r="D42" s="214" t="s">
        <v>19</v>
      </c>
      <c r="E42" s="32"/>
      <c r="F42" s="17"/>
      <c r="G42" s="18">
        <f t="shared" si="1"/>
        <v>4619</v>
      </c>
      <c r="H42" s="178"/>
      <c r="I42" s="7"/>
    </row>
    <row r="43" spans="1:16" ht="18" customHeight="1" x14ac:dyDescent="0.25">
      <c r="A43" s="14">
        <f t="shared" si="0"/>
        <v>35</v>
      </c>
      <c r="B43" s="8"/>
      <c r="C43" s="46" t="s">
        <v>42</v>
      </c>
      <c r="D43" s="214" t="s">
        <v>19</v>
      </c>
      <c r="E43" s="32"/>
      <c r="F43" s="17"/>
      <c r="G43" s="18">
        <f t="shared" si="1"/>
        <v>4619</v>
      </c>
      <c r="H43" s="178"/>
      <c r="I43" s="7"/>
    </row>
    <row r="44" spans="1:16" ht="18" customHeight="1" x14ac:dyDescent="0.25">
      <c r="A44" s="14">
        <f t="shared" si="0"/>
        <v>36</v>
      </c>
      <c r="B44" s="8"/>
      <c r="C44" s="46" t="s">
        <v>42</v>
      </c>
      <c r="D44" s="214" t="s">
        <v>19</v>
      </c>
      <c r="E44" s="32"/>
      <c r="F44" s="17"/>
      <c r="G44" s="18">
        <f t="shared" si="1"/>
        <v>4619</v>
      </c>
      <c r="H44" s="178"/>
      <c r="I44" s="7"/>
    </row>
    <row r="45" spans="1:16" ht="18" customHeight="1" x14ac:dyDescent="0.25">
      <c r="A45" s="14">
        <f t="shared" si="0"/>
        <v>37</v>
      </c>
      <c r="B45" s="8"/>
      <c r="C45" s="46" t="s">
        <v>42</v>
      </c>
      <c r="D45" s="214" t="s">
        <v>19</v>
      </c>
      <c r="E45" s="32"/>
      <c r="F45" s="17"/>
      <c r="G45" s="18">
        <f t="shared" si="1"/>
        <v>4619</v>
      </c>
      <c r="H45" s="178"/>
      <c r="I45" s="29"/>
    </row>
    <row r="46" spans="1:16" ht="18" customHeight="1" x14ac:dyDescent="0.25">
      <c r="A46" s="14">
        <f t="shared" si="0"/>
        <v>38</v>
      </c>
      <c r="B46" s="8"/>
      <c r="C46" s="46" t="s">
        <v>42</v>
      </c>
      <c r="D46" s="214" t="s">
        <v>19</v>
      </c>
      <c r="E46" s="32"/>
      <c r="F46" s="17"/>
      <c r="G46" s="18">
        <f t="shared" si="1"/>
        <v>4619</v>
      </c>
      <c r="H46" s="178"/>
      <c r="I46" s="29"/>
    </row>
    <row r="47" spans="1:16" ht="18" customHeight="1" x14ac:dyDescent="0.25">
      <c r="A47" s="14">
        <f t="shared" si="0"/>
        <v>39</v>
      </c>
      <c r="B47" s="8"/>
      <c r="C47" s="46" t="s">
        <v>42</v>
      </c>
      <c r="D47" s="214" t="s">
        <v>19</v>
      </c>
      <c r="E47" s="32"/>
      <c r="F47" s="17"/>
      <c r="G47" s="18">
        <f t="shared" si="1"/>
        <v>4619</v>
      </c>
      <c r="H47" s="178"/>
      <c r="I47" s="29"/>
    </row>
    <row r="48" spans="1:16" ht="18" customHeight="1" x14ac:dyDescent="0.25">
      <c r="A48" s="14">
        <f t="shared" si="0"/>
        <v>40</v>
      </c>
      <c r="B48" s="8"/>
      <c r="C48" s="46" t="s">
        <v>42</v>
      </c>
      <c r="D48" s="214" t="s">
        <v>19</v>
      </c>
      <c r="E48" s="32"/>
      <c r="F48" s="17"/>
      <c r="G48" s="18">
        <f t="shared" si="1"/>
        <v>4619</v>
      </c>
      <c r="H48" s="178"/>
      <c r="I48" s="29"/>
    </row>
    <row r="49" spans="1:16" ht="18" customHeight="1" x14ac:dyDescent="0.25">
      <c r="A49" s="14">
        <f t="shared" si="0"/>
        <v>41</v>
      </c>
      <c r="B49" s="8"/>
      <c r="C49" s="46" t="s">
        <v>42</v>
      </c>
      <c r="D49" s="214" t="s">
        <v>19</v>
      </c>
      <c r="E49" s="32"/>
      <c r="F49" s="17"/>
      <c r="G49" s="18">
        <f t="shared" si="1"/>
        <v>4619</v>
      </c>
      <c r="H49" s="178"/>
      <c r="I49" s="7"/>
    </row>
    <row r="50" spans="1:16" s="162" customFormat="1" ht="18" customHeight="1" x14ac:dyDescent="0.25">
      <c r="A50" s="14">
        <f t="shared" si="0"/>
        <v>42</v>
      </c>
      <c r="B50" s="174"/>
      <c r="C50" s="236" t="s">
        <v>42</v>
      </c>
      <c r="D50" s="237" t="s">
        <v>19</v>
      </c>
      <c r="E50" s="175"/>
      <c r="F50" s="172"/>
      <c r="G50" s="18">
        <f t="shared" si="1"/>
        <v>4619</v>
      </c>
      <c r="H50" s="178"/>
      <c r="I50" s="7"/>
      <c r="P50"/>
    </row>
    <row r="51" spans="1:16" ht="18" customHeight="1" x14ac:dyDescent="0.25">
      <c r="A51" s="14">
        <f t="shared" si="0"/>
        <v>43</v>
      </c>
      <c r="B51" s="8"/>
      <c r="C51" s="46" t="s">
        <v>42</v>
      </c>
      <c r="D51" s="214" t="s">
        <v>19</v>
      </c>
      <c r="E51" s="32"/>
      <c r="F51" s="17"/>
      <c r="G51" s="18">
        <f t="shared" si="1"/>
        <v>4619</v>
      </c>
      <c r="H51" s="239"/>
      <c r="I51" s="7"/>
    </row>
    <row r="52" spans="1:16" ht="18" customHeight="1" x14ac:dyDescent="0.25">
      <c r="A52" s="14">
        <f t="shared" si="0"/>
        <v>44</v>
      </c>
      <c r="B52" s="8"/>
      <c r="C52" s="46" t="s">
        <v>42</v>
      </c>
      <c r="D52" s="214" t="s">
        <v>19</v>
      </c>
      <c r="E52" s="32"/>
      <c r="F52" s="17"/>
      <c r="G52" s="18">
        <f t="shared" si="1"/>
        <v>4619</v>
      </c>
      <c r="H52" s="239"/>
      <c r="I52" s="7"/>
    </row>
    <row r="53" spans="1:16" ht="18" customHeight="1" x14ac:dyDescent="0.25">
      <c r="A53" s="14">
        <f t="shared" si="0"/>
        <v>45</v>
      </c>
      <c r="B53" s="8"/>
      <c r="C53" s="46" t="s">
        <v>42</v>
      </c>
      <c r="D53" s="214" t="s">
        <v>19</v>
      </c>
      <c r="E53" s="32"/>
      <c r="F53" s="17"/>
      <c r="G53" s="18">
        <f t="shared" si="1"/>
        <v>4619</v>
      </c>
      <c r="H53" s="239"/>
      <c r="I53" s="7"/>
    </row>
    <row r="54" spans="1:16" ht="18" customHeight="1" x14ac:dyDescent="0.25">
      <c r="A54" s="14">
        <f t="shared" si="0"/>
        <v>46</v>
      </c>
      <c r="B54" s="8"/>
      <c r="C54" s="46" t="s">
        <v>42</v>
      </c>
      <c r="D54" s="214" t="s">
        <v>19</v>
      </c>
      <c r="E54" s="32"/>
      <c r="F54" s="17"/>
      <c r="G54" s="18">
        <f t="shared" si="1"/>
        <v>4619</v>
      </c>
      <c r="H54" s="28"/>
      <c r="I54" s="7"/>
    </row>
    <row r="55" spans="1:16" ht="18" customHeight="1" x14ac:dyDescent="0.25">
      <c r="A55" s="14">
        <f t="shared" si="0"/>
        <v>47</v>
      </c>
      <c r="B55" s="8"/>
      <c r="C55" s="46" t="s">
        <v>42</v>
      </c>
      <c r="D55" s="214" t="s">
        <v>19</v>
      </c>
      <c r="E55" s="32"/>
      <c r="F55" s="17"/>
      <c r="G55" s="18">
        <f t="shared" si="1"/>
        <v>4619</v>
      </c>
      <c r="H55" s="240"/>
      <c r="I55" s="7"/>
    </row>
    <row r="56" spans="1:16" ht="18" customHeight="1" x14ac:dyDescent="0.25">
      <c r="A56" s="14">
        <f t="shared" si="0"/>
        <v>48</v>
      </c>
      <c r="B56" s="8"/>
      <c r="C56" s="46" t="s">
        <v>42</v>
      </c>
      <c r="D56" s="214" t="s">
        <v>19</v>
      </c>
      <c r="E56" s="32"/>
      <c r="F56" s="17"/>
      <c r="G56" s="18">
        <f t="shared" si="1"/>
        <v>4619</v>
      </c>
      <c r="H56" s="240"/>
      <c r="I56" s="7"/>
    </row>
    <row r="57" spans="1:16" ht="18" customHeight="1" x14ac:dyDescent="0.25">
      <c r="A57" s="14">
        <f t="shared" si="0"/>
        <v>49</v>
      </c>
      <c r="B57" s="8"/>
      <c r="C57" s="46" t="s">
        <v>42</v>
      </c>
      <c r="D57" s="214" t="s">
        <v>19</v>
      </c>
      <c r="E57" s="32"/>
      <c r="F57" s="17"/>
      <c r="G57" s="18">
        <f t="shared" si="1"/>
        <v>4619</v>
      </c>
      <c r="H57" s="240"/>
      <c r="I57" s="7" t="s">
        <v>14</v>
      </c>
    </row>
    <row r="58" spans="1:16" ht="18" customHeight="1" x14ac:dyDescent="0.25">
      <c r="A58" s="14">
        <f t="shared" si="0"/>
        <v>50</v>
      </c>
      <c r="B58" s="8"/>
      <c r="C58" s="46" t="s">
        <v>42</v>
      </c>
      <c r="D58" s="214" t="s">
        <v>19</v>
      </c>
      <c r="E58" s="32"/>
      <c r="F58" s="17"/>
      <c r="G58" s="18">
        <f t="shared" si="1"/>
        <v>4619</v>
      </c>
      <c r="H58" s="240"/>
      <c r="I58" s="7" t="s">
        <v>14</v>
      </c>
    </row>
    <row r="59" spans="1:16" ht="18" customHeight="1" x14ac:dyDescent="0.25">
      <c r="A59" s="14">
        <f t="shared" si="0"/>
        <v>51</v>
      </c>
      <c r="B59" s="8"/>
      <c r="C59" s="46" t="s">
        <v>42</v>
      </c>
      <c r="D59" s="214" t="s">
        <v>19</v>
      </c>
      <c r="E59" s="32"/>
      <c r="F59" s="17"/>
      <c r="G59" s="18">
        <f t="shared" si="1"/>
        <v>4619</v>
      </c>
      <c r="H59" s="240"/>
      <c r="I59" s="7" t="s">
        <v>14</v>
      </c>
    </row>
    <row r="60" spans="1:16" ht="18" customHeight="1" x14ac:dyDescent="0.25">
      <c r="A60" s="14">
        <f t="shared" si="0"/>
        <v>52</v>
      </c>
      <c r="B60" s="8"/>
      <c r="C60" s="46" t="s">
        <v>42</v>
      </c>
      <c r="D60" s="214" t="s">
        <v>19</v>
      </c>
      <c r="E60" s="32"/>
      <c r="F60" s="17"/>
      <c r="G60" s="18">
        <f t="shared" si="1"/>
        <v>4619</v>
      </c>
      <c r="H60" s="240"/>
      <c r="I60" s="7" t="s">
        <v>14</v>
      </c>
    </row>
    <row r="61" spans="1:16" ht="18" customHeight="1" x14ac:dyDescent="0.25">
      <c r="A61" s="14">
        <f t="shared" si="0"/>
        <v>53</v>
      </c>
      <c r="B61" s="8"/>
      <c r="C61" s="46" t="s">
        <v>42</v>
      </c>
      <c r="D61" s="214" t="s">
        <v>19</v>
      </c>
      <c r="E61" s="32"/>
      <c r="F61" s="17"/>
      <c r="G61" s="18">
        <f t="shared" si="1"/>
        <v>4619</v>
      </c>
      <c r="H61" s="240"/>
      <c r="I61" s="7" t="s">
        <v>14</v>
      </c>
    </row>
    <row r="62" spans="1:16" ht="18" customHeight="1" x14ac:dyDescent="0.25">
      <c r="A62" s="14">
        <f t="shared" si="0"/>
        <v>54</v>
      </c>
      <c r="B62" s="8"/>
      <c r="C62" s="46" t="s">
        <v>42</v>
      </c>
      <c r="D62" s="214" t="s">
        <v>19</v>
      </c>
      <c r="E62" s="32"/>
      <c r="F62" s="17"/>
      <c r="G62" s="18">
        <f t="shared" si="1"/>
        <v>4619</v>
      </c>
      <c r="H62" s="240"/>
      <c r="I62" s="7" t="s">
        <v>14</v>
      </c>
    </row>
    <row r="63" spans="1:16" ht="18" customHeight="1" x14ac:dyDescent="0.25">
      <c r="A63" s="14">
        <f t="shared" si="0"/>
        <v>55</v>
      </c>
      <c r="B63" s="8"/>
      <c r="C63" s="46" t="s">
        <v>42</v>
      </c>
      <c r="D63" s="214" t="s">
        <v>19</v>
      </c>
      <c r="E63" s="32"/>
      <c r="F63" s="17"/>
      <c r="G63" s="18">
        <f t="shared" si="1"/>
        <v>4619</v>
      </c>
      <c r="H63" s="240"/>
      <c r="I63" s="7" t="s">
        <v>14</v>
      </c>
    </row>
    <row r="64" spans="1:16" ht="18" customHeight="1" x14ac:dyDescent="0.25">
      <c r="A64" s="14">
        <f t="shared" si="0"/>
        <v>56</v>
      </c>
      <c r="B64" s="8"/>
      <c r="C64" s="46" t="s">
        <v>42</v>
      </c>
      <c r="D64" s="214" t="s">
        <v>19</v>
      </c>
      <c r="E64" s="32"/>
      <c r="F64" s="17"/>
      <c r="G64" s="18">
        <f t="shared" si="1"/>
        <v>4619</v>
      </c>
      <c r="H64" s="240"/>
      <c r="I64" s="7" t="s">
        <v>14</v>
      </c>
    </row>
    <row r="65" spans="1:10" ht="18" customHeight="1" x14ac:dyDescent="0.25">
      <c r="A65" s="14">
        <f t="shared" si="0"/>
        <v>57</v>
      </c>
      <c r="B65" s="8"/>
      <c r="C65" s="46" t="s">
        <v>42</v>
      </c>
      <c r="D65" s="214" t="s">
        <v>19</v>
      </c>
      <c r="E65" s="32"/>
      <c r="F65" s="17"/>
      <c r="G65" s="18">
        <f t="shared" si="1"/>
        <v>4619</v>
      </c>
      <c r="H65" s="240"/>
      <c r="I65" s="7" t="s">
        <v>14</v>
      </c>
      <c r="J65" s="26"/>
    </row>
    <row r="66" spans="1:10" ht="18" customHeight="1" x14ac:dyDescent="0.25">
      <c r="A66" s="14">
        <f t="shared" si="0"/>
        <v>58</v>
      </c>
      <c r="B66" s="8"/>
      <c r="C66" s="46" t="s">
        <v>42</v>
      </c>
      <c r="D66" s="214" t="s">
        <v>19</v>
      </c>
      <c r="E66" s="32"/>
      <c r="F66" s="17"/>
      <c r="G66" s="18">
        <f t="shared" si="1"/>
        <v>4619</v>
      </c>
      <c r="H66" s="240"/>
      <c r="I66" s="7" t="s">
        <v>14</v>
      </c>
    </row>
    <row r="67" spans="1:10" ht="18" customHeight="1" x14ac:dyDescent="0.25">
      <c r="A67" s="14">
        <f t="shared" si="0"/>
        <v>59</v>
      </c>
      <c r="B67" s="8"/>
      <c r="C67" s="46" t="s">
        <v>42</v>
      </c>
      <c r="D67" s="214" t="s">
        <v>19</v>
      </c>
      <c r="E67" s="32"/>
      <c r="F67" s="17"/>
      <c r="G67" s="18">
        <f t="shared" si="1"/>
        <v>4619</v>
      </c>
      <c r="H67" s="240"/>
      <c r="I67" s="7" t="s">
        <v>14</v>
      </c>
    </row>
    <row r="68" spans="1:10" ht="18" customHeight="1" x14ac:dyDescent="0.25">
      <c r="A68" s="14">
        <f t="shared" si="0"/>
        <v>60</v>
      </c>
      <c r="B68" s="8"/>
      <c r="C68" s="46" t="s">
        <v>42</v>
      </c>
      <c r="D68" s="214" t="s">
        <v>19</v>
      </c>
      <c r="E68" s="32"/>
      <c r="F68" s="17"/>
      <c r="G68" s="18">
        <f t="shared" si="1"/>
        <v>4619</v>
      </c>
      <c r="H68" s="240"/>
      <c r="I68" s="7" t="s">
        <v>14</v>
      </c>
    </row>
    <row r="69" spans="1:10" ht="18" customHeight="1" x14ac:dyDescent="0.25">
      <c r="A69" s="14">
        <f t="shared" si="0"/>
        <v>61</v>
      </c>
      <c r="B69" s="8"/>
      <c r="C69" s="46" t="s">
        <v>42</v>
      </c>
      <c r="D69" s="214" t="s">
        <v>19</v>
      </c>
      <c r="E69" s="32"/>
      <c r="F69" s="17"/>
      <c r="G69" s="18">
        <f t="shared" si="1"/>
        <v>4619</v>
      </c>
      <c r="H69" s="240"/>
      <c r="I69" s="7" t="s">
        <v>14</v>
      </c>
    </row>
    <row r="70" spans="1:10" ht="18" customHeight="1" x14ac:dyDescent="0.25">
      <c r="A70" s="14">
        <f t="shared" si="0"/>
        <v>62</v>
      </c>
      <c r="B70" s="8"/>
      <c r="C70" s="46" t="s">
        <v>42</v>
      </c>
      <c r="D70" s="214" t="s">
        <v>19</v>
      </c>
      <c r="E70" s="32"/>
      <c r="F70" s="17"/>
      <c r="G70" s="18">
        <f t="shared" si="1"/>
        <v>4619</v>
      </c>
      <c r="H70" s="240"/>
      <c r="I70" s="7" t="s">
        <v>14</v>
      </c>
    </row>
    <row r="71" spans="1:10" ht="18" customHeight="1" x14ac:dyDescent="0.25">
      <c r="A71" s="14">
        <f t="shared" si="0"/>
        <v>63</v>
      </c>
      <c r="B71" s="8"/>
      <c r="C71" s="46" t="s">
        <v>42</v>
      </c>
      <c r="D71" s="214" t="s">
        <v>19</v>
      </c>
      <c r="E71" s="32"/>
      <c r="F71" s="17"/>
      <c r="G71" s="18">
        <f t="shared" si="1"/>
        <v>4619</v>
      </c>
      <c r="H71" s="240"/>
      <c r="I71" s="7" t="s">
        <v>14</v>
      </c>
    </row>
    <row r="72" spans="1:10" ht="18" customHeight="1" x14ac:dyDescent="0.25">
      <c r="A72" s="14">
        <f t="shared" si="0"/>
        <v>64</v>
      </c>
      <c r="B72" s="8"/>
      <c r="C72" s="46" t="s">
        <v>42</v>
      </c>
      <c r="D72" s="214" t="s">
        <v>19</v>
      </c>
      <c r="E72" s="32"/>
      <c r="F72" s="17"/>
      <c r="G72" s="18">
        <f t="shared" si="1"/>
        <v>4619</v>
      </c>
      <c r="H72" s="240"/>
      <c r="I72" s="7" t="s">
        <v>14</v>
      </c>
    </row>
    <row r="73" spans="1:10" ht="18" customHeight="1" x14ac:dyDescent="0.25">
      <c r="A73" s="14">
        <f t="shared" si="0"/>
        <v>65</v>
      </c>
      <c r="B73" s="8"/>
      <c r="C73" s="46" t="s">
        <v>42</v>
      </c>
      <c r="D73" s="214" t="s">
        <v>19</v>
      </c>
      <c r="E73" s="32"/>
      <c r="F73" s="17"/>
      <c r="G73" s="18">
        <f t="shared" si="1"/>
        <v>4619</v>
      </c>
      <c r="H73" s="240"/>
      <c r="I73" s="7" t="s">
        <v>14</v>
      </c>
    </row>
    <row r="74" spans="1:10" ht="18" customHeight="1" x14ac:dyDescent="0.25">
      <c r="A74" s="14">
        <f t="shared" ref="A74:A107" si="2">+A73+1</f>
        <v>66</v>
      </c>
      <c r="B74" s="8"/>
      <c r="C74" s="46" t="s">
        <v>42</v>
      </c>
      <c r="D74" s="214" t="s">
        <v>19</v>
      </c>
      <c r="E74" s="32"/>
      <c r="F74" s="17"/>
      <c r="G74" s="18">
        <f t="shared" ref="G74:G107" si="3">+G73+E74-F74</f>
        <v>4619</v>
      </c>
      <c r="H74" s="240"/>
      <c r="I74" s="7" t="s">
        <v>14</v>
      </c>
    </row>
    <row r="75" spans="1:10" ht="18" customHeight="1" x14ac:dyDescent="0.25">
      <c r="A75" s="14">
        <f t="shared" si="2"/>
        <v>67</v>
      </c>
      <c r="B75" s="8"/>
      <c r="C75" s="46" t="s">
        <v>42</v>
      </c>
      <c r="D75" s="214" t="s">
        <v>19</v>
      </c>
      <c r="E75" s="32"/>
      <c r="F75" s="17"/>
      <c r="G75" s="18">
        <f t="shared" si="3"/>
        <v>4619</v>
      </c>
      <c r="H75" s="240"/>
      <c r="I75" s="7" t="s">
        <v>14</v>
      </c>
    </row>
    <row r="76" spans="1:10" ht="18" customHeight="1" x14ac:dyDescent="0.25">
      <c r="A76" s="14">
        <f t="shared" si="2"/>
        <v>68</v>
      </c>
      <c r="B76" s="8"/>
      <c r="C76" s="46" t="s">
        <v>42</v>
      </c>
      <c r="D76" s="214" t="s">
        <v>19</v>
      </c>
      <c r="E76" s="32"/>
      <c r="F76" s="17"/>
      <c r="G76" s="18">
        <f t="shared" si="3"/>
        <v>4619</v>
      </c>
      <c r="H76" s="240"/>
      <c r="I76" s="7" t="s">
        <v>14</v>
      </c>
    </row>
    <row r="77" spans="1:10" ht="18" customHeight="1" x14ac:dyDescent="0.25">
      <c r="A77" s="14">
        <f t="shared" si="2"/>
        <v>69</v>
      </c>
      <c r="B77" s="8"/>
      <c r="C77" s="46" t="s">
        <v>42</v>
      </c>
      <c r="D77" s="214" t="s">
        <v>19</v>
      </c>
      <c r="E77" s="32"/>
      <c r="F77" s="17"/>
      <c r="G77" s="18">
        <f t="shared" si="3"/>
        <v>4619</v>
      </c>
      <c r="H77" s="240"/>
      <c r="I77" s="7" t="s">
        <v>14</v>
      </c>
    </row>
    <row r="78" spans="1:10" ht="18" customHeight="1" x14ac:dyDescent="0.25">
      <c r="A78" s="14">
        <f t="shared" si="2"/>
        <v>70</v>
      </c>
      <c r="B78" s="8"/>
      <c r="C78" s="46" t="s">
        <v>42</v>
      </c>
      <c r="D78" s="214" t="s">
        <v>19</v>
      </c>
      <c r="E78" s="32"/>
      <c r="F78" s="17"/>
      <c r="G78" s="18">
        <f t="shared" si="3"/>
        <v>4619</v>
      </c>
      <c r="H78" s="240"/>
      <c r="I78" s="7" t="s">
        <v>14</v>
      </c>
    </row>
    <row r="79" spans="1:10" ht="18" customHeight="1" x14ac:dyDescent="0.25">
      <c r="A79" s="14">
        <f t="shared" si="2"/>
        <v>71</v>
      </c>
      <c r="B79" s="8"/>
      <c r="C79" s="46" t="s">
        <v>42</v>
      </c>
      <c r="D79" s="214" t="s">
        <v>19</v>
      </c>
      <c r="E79" s="32"/>
      <c r="F79" s="17"/>
      <c r="G79" s="18">
        <f t="shared" si="3"/>
        <v>4619</v>
      </c>
      <c r="H79" s="240"/>
      <c r="I79" s="7" t="s">
        <v>14</v>
      </c>
    </row>
    <row r="80" spans="1:10" ht="18" customHeight="1" x14ac:dyDescent="0.25">
      <c r="A80" s="14">
        <f t="shared" si="2"/>
        <v>72</v>
      </c>
      <c r="B80" s="8"/>
      <c r="C80" s="46" t="s">
        <v>42</v>
      </c>
      <c r="D80" s="214" t="s">
        <v>19</v>
      </c>
      <c r="E80" s="32"/>
      <c r="F80" s="17"/>
      <c r="G80" s="18">
        <f t="shared" si="3"/>
        <v>4619</v>
      </c>
      <c r="H80" s="240"/>
      <c r="I80" s="7" t="s">
        <v>14</v>
      </c>
    </row>
    <row r="81" spans="1:17" ht="18" customHeight="1" x14ac:dyDescent="0.25">
      <c r="A81" s="14">
        <f t="shared" si="2"/>
        <v>73</v>
      </c>
      <c r="B81" s="8"/>
      <c r="C81" s="46" t="s">
        <v>42</v>
      </c>
      <c r="D81" s="214" t="s">
        <v>19</v>
      </c>
      <c r="E81" s="32"/>
      <c r="F81" s="17"/>
      <c r="G81" s="18">
        <f t="shared" si="3"/>
        <v>4619</v>
      </c>
      <c r="H81" s="240"/>
      <c r="I81" s="7" t="s">
        <v>14</v>
      </c>
    </row>
    <row r="82" spans="1:17" ht="18" customHeight="1" x14ac:dyDescent="0.25">
      <c r="A82" s="14">
        <f t="shared" si="2"/>
        <v>74</v>
      </c>
      <c r="B82" s="8"/>
      <c r="C82" s="46" t="s">
        <v>42</v>
      </c>
      <c r="D82" s="214" t="s">
        <v>19</v>
      </c>
      <c r="E82" s="32"/>
      <c r="F82" s="17"/>
      <c r="G82" s="18">
        <f t="shared" si="3"/>
        <v>4619</v>
      </c>
      <c r="H82" s="240"/>
      <c r="I82" s="7" t="s">
        <v>14</v>
      </c>
    </row>
    <row r="83" spans="1:17" ht="18" customHeight="1" x14ac:dyDescent="0.25">
      <c r="A83" s="14">
        <f t="shared" si="2"/>
        <v>75</v>
      </c>
      <c r="B83" s="8"/>
      <c r="C83" s="46" t="s">
        <v>42</v>
      </c>
      <c r="D83" s="214" t="s">
        <v>19</v>
      </c>
      <c r="E83" s="32"/>
      <c r="F83" s="27"/>
      <c r="G83" s="18">
        <f t="shared" si="3"/>
        <v>4619</v>
      </c>
      <c r="H83" s="240"/>
      <c r="I83" s="7" t="s">
        <v>14</v>
      </c>
    </row>
    <row r="84" spans="1:17" ht="18" customHeight="1" x14ac:dyDescent="0.25">
      <c r="A84" s="14">
        <f t="shared" si="2"/>
        <v>76</v>
      </c>
      <c r="B84" s="8"/>
      <c r="C84" s="46" t="s">
        <v>42</v>
      </c>
      <c r="D84" s="214" t="s">
        <v>19</v>
      </c>
      <c r="E84" s="32"/>
      <c r="F84" s="17"/>
      <c r="G84" s="18">
        <f t="shared" si="3"/>
        <v>4619</v>
      </c>
      <c r="H84" s="240"/>
      <c r="I84" s="7" t="s">
        <v>14</v>
      </c>
    </row>
    <row r="85" spans="1:17" ht="18" customHeight="1" x14ac:dyDescent="0.25">
      <c r="A85" s="14">
        <f t="shared" si="2"/>
        <v>77</v>
      </c>
      <c r="B85" s="8"/>
      <c r="C85" s="46" t="s">
        <v>42</v>
      </c>
      <c r="D85" s="214" t="s">
        <v>19</v>
      </c>
      <c r="E85" s="32"/>
      <c r="F85" s="17"/>
      <c r="G85" s="18">
        <f t="shared" si="3"/>
        <v>4619</v>
      </c>
      <c r="H85" s="240"/>
      <c r="I85" s="7" t="s">
        <v>14</v>
      </c>
    </row>
    <row r="86" spans="1:17" ht="18" customHeight="1" x14ac:dyDescent="0.25">
      <c r="A86" s="14">
        <f t="shared" si="2"/>
        <v>78</v>
      </c>
      <c r="B86" s="8"/>
      <c r="C86" s="46" t="s">
        <v>42</v>
      </c>
      <c r="D86" s="214" t="s">
        <v>19</v>
      </c>
      <c r="E86" s="32"/>
      <c r="F86" s="17"/>
      <c r="G86" s="18">
        <f t="shared" si="3"/>
        <v>4619</v>
      </c>
      <c r="H86" s="240"/>
      <c r="I86" s="7" t="s">
        <v>14</v>
      </c>
    </row>
    <row r="87" spans="1:17" ht="18" customHeight="1" x14ac:dyDescent="0.25">
      <c r="A87" s="14">
        <f t="shared" si="2"/>
        <v>79</v>
      </c>
      <c r="B87" s="8"/>
      <c r="C87" s="46" t="s">
        <v>42</v>
      </c>
      <c r="D87" s="214" t="s">
        <v>19</v>
      </c>
      <c r="E87" s="32"/>
      <c r="F87" s="17"/>
      <c r="G87" s="18">
        <f t="shared" si="3"/>
        <v>4619</v>
      </c>
      <c r="H87" s="240"/>
      <c r="I87" s="7" t="s">
        <v>14</v>
      </c>
    </row>
    <row r="88" spans="1:17" ht="18" customHeight="1" x14ac:dyDescent="0.25">
      <c r="A88" s="14">
        <f t="shared" si="2"/>
        <v>80</v>
      </c>
      <c r="B88" s="8"/>
      <c r="C88" s="46" t="s">
        <v>42</v>
      </c>
      <c r="D88" s="214" t="s">
        <v>19</v>
      </c>
      <c r="E88" s="32"/>
      <c r="F88" s="17"/>
      <c r="G88" s="18">
        <f t="shared" si="3"/>
        <v>4619</v>
      </c>
      <c r="H88" s="240"/>
      <c r="I88" s="7" t="s">
        <v>14</v>
      </c>
    </row>
    <row r="89" spans="1:17" ht="18" customHeight="1" x14ac:dyDescent="0.25">
      <c r="A89" s="14">
        <f t="shared" si="2"/>
        <v>81</v>
      </c>
      <c r="B89" s="8"/>
      <c r="C89" s="46" t="s">
        <v>42</v>
      </c>
      <c r="D89" s="214" t="s">
        <v>19</v>
      </c>
      <c r="E89" s="32"/>
      <c r="F89" s="17"/>
      <c r="G89" s="18">
        <f t="shared" si="3"/>
        <v>4619</v>
      </c>
      <c r="H89" s="240"/>
      <c r="I89" s="7" t="s">
        <v>14</v>
      </c>
    </row>
    <row r="90" spans="1:17" ht="18" customHeight="1" x14ac:dyDescent="0.25">
      <c r="A90" s="14">
        <f t="shared" si="2"/>
        <v>82</v>
      </c>
      <c r="B90" s="8"/>
      <c r="C90" s="46" t="s">
        <v>42</v>
      </c>
      <c r="D90" s="214" t="s">
        <v>19</v>
      </c>
      <c r="E90" s="32"/>
      <c r="F90" s="17"/>
      <c r="G90" s="18">
        <f t="shared" si="3"/>
        <v>4619</v>
      </c>
      <c r="H90" s="240"/>
      <c r="I90" s="7" t="s">
        <v>14</v>
      </c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42</v>
      </c>
      <c r="D91" s="214" t="s">
        <v>19</v>
      </c>
      <c r="E91" s="32"/>
      <c r="F91" s="27"/>
      <c r="G91" s="18">
        <f t="shared" si="3"/>
        <v>4619</v>
      </c>
      <c r="H91" s="240"/>
      <c r="I91" s="7" t="s">
        <v>14</v>
      </c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42</v>
      </c>
      <c r="D92" s="214" t="s">
        <v>19</v>
      </c>
      <c r="E92" s="32"/>
      <c r="F92" s="27"/>
      <c r="G92" s="18">
        <f t="shared" si="3"/>
        <v>4619</v>
      </c>
      <c r="H92" s="240"/>
      <c r="I92" s="7" t="s">
        <v>14</v>
      </c>
      <c r="L92" s="199"/>
      <c r="Q92" s="199"/>
    </row>
    <row r="93" spans="1:17" s="179" customFormat="1" ht="18" customHeight="1" x14ac:dyDescent="0.25">
      <c r="A93" s="14">
        <f t="shared" si="2"/>
        <v>85</v>
      </c>
      <c r="B93" s="242"/>
      <c r="C93" s="243" t="s">
        <v>42</v>
      </c>
      <c r="D93" s="244" t="s">
        <v>19</v>
      </c>
      <c r="E93" s="245"/>
      <c r="F93" s="52"/>
      <c r="G93" s="18">
        <f t="shared" si="3"/>
        <v>4619</v>
      </c>
      <c r="H93" s="240"/>
      <c r="I93" s="247" t="s">
        <v>14</v>
      </c>
      <c r="J93" s="179" t="s">
        <v>43</v>
      </c>
      <c r="L93" s="248"/>
      <c r="Q93" s="248"/>
    </row>
    <row r="94" spans="1:17" s="179" customFormat="1" ht="18" customHeight="1" x14ac:dyDescent="0.25">
      <c r="A94" s="14">
        <f t="shared" si="2"/>
        <v>86</v>
      </c>
      <c r="B94" s="242"/>
      <c r="C94" s="243" t="s">
        <v>42</v>
      </c>
      <c r="D94" s="244" t="s">
        <v>19</v>
      </c>
      <c r="E94" s="245"/>
      <c r="F94" s="52"/>
      <c r="G94" s="18">
        <f t="shared" si="3"/>
        <v>4619</v>
      </c>
      <c r="H94" s="240"/>
      <c r="I94" s="247" t="s">
        <v>14</v>
      </c>
      <c r="L94" s="248"/>
      <c r="Q94" s="248"/>
    </row>
    <row r="95" spans="1:17" s="179" customFormat="1" ht="18" customHeight="1" x14ac:dyDescent="0.25">
      <c r="A95" s="14">
        <f t="shared" si="2"/>
        <v>87</v>
      </c>
      <c r="B95" s="242"/>
      <c r="C95" s="243" t="s">
        <v>42</v>
      </c>
      <c r="D95" s="244" t="s">
        <v>19</v>
      </c>
      <c r="E95" s="245"/>
      <c r="F95" s="52"/>
      <c r="G95" s="18">
        <f t="shared" si="3"/>
        <v>4619</v>
      </c>
      <c r="H95" s="240"/>
      <c r="I95" s="247" t="s">
        <v>14</v>
      </c>
      <c r="L95" s="248"/>
      <c r="Q95" s="248"/>
    </row>
    <row r="96" spans="1:17" s="179" customFormat="1" ht="18" customHeight="1" x14ac:dyDescent="0.25">
      <c r="A96" s="14">
        <f t="shared" si="2"/>
        <v>88</v>
      </c>
      <c r="B96" s="242"/>
      <c r="C96" s="243" t="s">
        <v>42</v>
      </c>
      <c r="D96" s="244" t="s">
        <v>19</v>
      </c>
      <c r="E96" s="245"/>
      <c r="F96" s="52"/>
      <c r="G96" s="18">
        <f t="shared" si="3"/>
        <v>4619</v>
      </c>
      <c r="H96" s="240"/>
      <c r="I96" s="247" t="s">
        <v>14</v>
      </c>
      <c r="L96" s="248"/>
      <c r="Q96" s="248"/>
    </row>
    <row r="97" spans="1:17" s="179" customFormat="1" ht="18" customHeight="1" x14ac:dyDescent="0.25">
      <c r="A97" s="14">
        <f t="shared" si="2"/>
        <v>89</v>
      </c>
      <c r="B97" s="242"/>
      <c r="C97" s="243" t="s">
        <v>42</v>
      </c>
      <c r="D97" s="244" t="s">
        <v>19</v>
      </c>
      <c r="E97" s="245"/>
      <c r="F97" s="52"/>
      <c r="G97" s="18">
        <f t="shared" si="3"/>
        <v>4619</v>
      </c>
      <c r="H97" s="240"/>
      <c r="I97" s="247" t="s">
        <v>14</v>
      </c>
      <c r="L97" s="248"/>
      <c r="Q97" s="248"/>
    </row>
    <row r="98" spans="1:17" s="179" customFormat="1" ht="18" customHeight="1" x14ac:dyDescent="0.25">
      <c r="A98" s="14">
        <f t="shared" si="2"/>
        <v>90</v>
      </c>
      <c r="B98" s="242"/>
      <c r="C98" s="243" t="s">
        <v>42</v>
      </c>
      <c r="D98" s="244" t="s">
        <v>19</v>
      </c>
      <c r="E98" s="245"/>
      <c r="F98" s="52"/>
      <c r="G98" s="18">
        <f t="shared" si="3"/>
        <v>4619</v>
      </c>
      <c r="H98" s="240"/>
      <c r="I98" s="247" t="s">
        <v>14</v>
      </c>
      <c r="L98" s="248"/>
      <c r="Q98" s="248"/>
    </row>
    <row r="99" spans="1:17" s="179" customFormat="1" ht="18" customHeight="1" x14ac:dyDescent="0.25">
      <c r="A99" s="14">
        <f t="shared" si="2"/>
        <v>91</v>
      </c>
      <c r="B99" s="242"/>
      <c r="C99" s="243" t="s">
        <v>42</v>
      </c>
      <c r="D99" s="244" t="s">
        <v>19</v>
      </c>
      <c r="E99" s="245"/>
      <c r="F99" s="52"/>
      <c r="G99" s="18">
        <f t="shared" si="3"/>
        <v>4619</v>
      </c>
      <c r="H99" s="240"/>
      <c r="I99" s="247" t="s">
        <v>14</v>
      </c>
      <c r="L99" s="248"/>
      <c r="Q99" s="248"/>
    </row>
    <row r="100" spans="1:17" s="179" customFormat="1" ht="18" customHeight="1" x14ac:dyDescent="0.25">
      <c r="A100" s="14">
        <f t="shared" si="2"/>
        <v>92</v>
      </c>
      <c r="B100" s="242"/>
      <c r="C100" s="243" t="s">
        <v>42</v>
      </c>
      <c r="D100" s="244" t="s">
        <v>19</v>
      </c>
      <c r="E100" s="245"/>
      <c r="F100" s="52"/>
      <c r="G100" s="18">
        <f t="shared" si="3"/>
        <v>4619</v>
      </c>
      <c r="H100" s="240"/>
      <c r="I100" s="247" t="s">
        <v>14</v>
      </c>
      <c r="L100" s="248"/>
      <c r="Q100" s="248"/>
    </row>
    <row r="101" spans="1:17" s="179" customFormat="1" ht="18" customHeight="1" x14ac:dyDescent="0.25">
      <c r="A101" s="14">
        <f t="shared" si="2"/>
        <v>93</v>
      </c>
      <c r="B101" s="242"/>
      <c r="C101" s="243"/>
      <c r="D101" s="244"/>
      <c r="E101" s="245"/>
      <c r="F101" s="52"/>
      <c r="G101" s="18">
        <f t="shared" si="3"/>
        <v>4619</v>
      </c>
      <c r="H101" s="240"/>
      <c r="I101" s="247"/>
      <c r="L101" s="248"/>
      <c r="Q101" s="248"/>
    </row>
    <row r="102" spans="1:17" s="179" customFormat="1" ht="18" customHeight="1" x14ac:dyDescent="0.25">
      <c r="A102" s="14">
        <f t="shared" si="2"/>
        <v>94</v>
      </c>
      <c r="B102" s="242"/>
      <c r="C102" s="243"/>
      <c r="D102" s="244"/>
      <c r="E102" s="245"/>
      <c r="F102" s="52"/>
      <c r="G102" s="18">
        <f t="shared" si="3"/>
        <v>4619</v>
      </c>
      <c r="H102" s="240"/>
      <c r="I102" s="247"/>
      <c r="L102" s="248"/>
      <c r="Q102" s="248"/>
    </row>
    <row r="103" spans="1:17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4619</v>
      </c>
      <c r="H103" s="240"/>
      <c r="I103" s="247"/>
      <c r="L103" s="248"/>
      <c r="Q103" s="248"/>
    </row>
    <row r="104" spans="1:17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4619</v>
      </c>
      <c r="H104" s="240"/>
      <c r="I104" s="247"/>
      <c r="L104" s="248"/>
      <c r="Q104" s="248"/>
    </row>
    <row r="105" spans="1:17" ht="18" customHeight="1" x14ac:dyDescent="0.25">
      <c r="A105" s="14">
        <f t="shared" si="2"/>
        <v>97</v>
      </c>
      <c r="B105" s="8"/>
      <c r="C105" s="46"/>
      <c r="D105" s="214"/>
      <c r="E105" s="32"/>
      <c r="F105" s="27"/>
      <c r="G105" s="18">
        <f t="shared" si="3"/>
        <v>4619</v>
      </c>
      <c r="H105" s="28"/>
      <c r="I105" s="7"/>
      <c r="L105" s="199"/>
      <c r="Q105" s="199"/>
    </row>
    <row r="106" spans="1:17" ht="18" customHeight="1" x14ac:dyDescent="0.25">
      <c r="A106" s="14">
        <f t="shared" si="2"/>
        <v>98</v>
      </c>
      <c r="B106" s="8"/>
      <c r="C106" s="46"/>
      <c r="D106" s="214"/>
      <c r="E106" s="32"/>
      <c r="F106" s="27"/>
      <c r="G106" s="18">
        <f t="shared" si="3"/>
        <v>4619</v>
      </c>
      <c r="H106" s="28"/>
      <c r="I106" s="7"/>
      <c r="L106" s="199"/>
      <c r="Q106" s="199"/>
    </row>
    <row r="107" spans="1:17" ht="18" customHeight="1" x14ac:dyDescent="0.25">
      <c r="A107" s="14">
        <f t="shared" si="2"/>
        <v>99</v>
      </c>
      <c r="B107" s="37"/>
      <c r="C107" s="46"/>
      <c r="D107" s="10"/>
      <c r="E107" s="32"/>
      <c r="F107" s="27"/>
      <c r="G107" s="18">
        <f t="shared" si="3"/>
        <v>4619</v>
      </c>
      <c r="H107" s="28"/>
      <c r="I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1571</v>
      </c>
      <c r="G108" s="35">
        <f>+E108-F108+G8</f>
        <v>4619</v>
      </c>
      <c r="H108" s="35"/>
      <c r="I108" s="36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15A4-AF50-492D-8ADE-2939BA65D55B}">
  <sheetPr codeName="Sheet66"/>
  <dimension ref="A1:Q120"/>
  <sheetViews>
    <sheetView workbookViewId="0">
      <selection activeCell="F14" sqref="F14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45838</v>
      </c>
      <c r="C9" s="46" t="s">
        <v>414</v>
      </c>
      <c r="D9" s="214" t="s">
        <v>19</v>
      </c>
      <c r="E9" s="30">
        <v>7961.1</v>
      </c>
      <c r="F9" s="27"/>
      <c r="G9" s="18">
        <f>+G8+E9-F9</f>
        <v>7961.1</v>
      </c>
      <c r="H9" s="28" t="s">
        <v>91</v>
      </c>
      <c r="I9" s="7">
        <v>34</v>
      </c>
      <c r="J9" t="s">
        <v>416</v>
      </c>
    </row>
    <row r="10" spans="1:10" ht="17.25" customHeight="1" x14ac:dyDescent="0.25">
      <c r="A10" s="14">
        <f t="shared" ref="A10:A73" si="0">+A9+1</f>
        <v>2</v>
      </c>
      <c r="B10" s="8">
        <v>45812</v>
      </c>
      <c r="C10" s="46" t="s">
        <v>414</v>
      </c>
      <c r="D10" s="214" t="s">
        <v>19</v>
      </c>
      <c r="E10" s="30"/>
      <c r="F10" s="27">
        <v>288.39999999999998</v>
      </c>
      <c r="G10" s="18">
        <f t="shared" ref="G10:G73" si="1">+G9+E10-F10</f>
        <v>7672.7000000000007</v>
      </c>
      <c r="H10" s="28" t="s">
        <v>91</v>
      </c>
      <c r="I10" s="7" t="s">
        <v>90</v>
      </c>
    </row>
    <row r="11" spans="1:10" ht="18" customHeight="1" x14ac:dyDescent="0.25">
      <c r="A11" s="14">
        <f t="shared" si="0"/>
        <v>3</v>
      </c>
      <c r="B11" s="8">
        <v>45898</v>
      </c>
      <c r="C11" s="46" t="s">
        <v>414</v>
      </c>
      <c r="D11" s="214" t="s">
        <v>19</v>
      </c>
      <c r="E11" s="16"/>
      <c r="F11" s="27">
        <v>288.10000000000002</v>
      </c>
      <c r="G11" s="18">
        <f t="shared" si="1"/>
        <v>7384.6</v>
      </c>
      <c r="H11" s="28" t="s">
        <v>91</v>
      </c>
      <c r="I11" s="7" t="s">
        <v>90</v>
      </c>
      <c r="J11" s="26" t="s">
        <v>147</v>
      </c>
    </row>
    <row r="12" spans="1:10" ht="18" customHeight="1" x14ac:dyDescent="0.25">
      <c r="A12" s="14">
        <f t="shared" si="0"/>
        <v>4</v>
      </c>
      <c r="B12" s="8">
        <v>45925</v>
      </c>
      <c r="C12" s="46" t="s">
        <v>414</v>
      </c>
      <c r="D12" s="214" t="s">
        <v>19</v>
      </c>
      <c r="E12" s="16"/>
      <c r="F12" s="17">
        <v>187.4</v>
      </c>
      <c r="G12" s="18">
        <f t="shared" si="1"/>
        <v>7197.2000000000007</v>
      </c>
      <c r="H12" s="28" t="s">
        <v>91</v>
      </c>
      <c r="I12" s="7" t="s">
        <v>90</v>
      </c>
      <c r="J12" s="26" t="s">
        <v>147</v>
      </c>
    </row>
    <row r="13" spans="1:10" ht="18" customHeight="1" x14ac:dyDescent="0.25">
      <c r="A13" s="14">
        <f t="shared" si="0"/>
        <v>5</v>
      </c>
      <c r="B13" s="205">
        <v>45926</v>
      </c>
      <c r="C13" s="46" t="s">
        <v>414</v>
      </c>
      <c r="D13" s="214" t="s">
        <v>19</v>
      </c>
      <c r="E13" s="16"/>
      <c r="F13" s="17">
        <v>404.5</v>
      </c>
      <c r="G13" s="18">
        <f t="shared" si="1"/>
        <v>6792.7000000000007</v>
      </c>
      <c r="H13" s="28" t="s">
        <v>91</v>
      </c>
      <c r="I13" s="7" t="s">
        <v>90</v>
      </c>
      <c r="J13" s="26">
        <f>+F13+F14</f>
        <v>404.5</v>
      </c>
    </row>
    <row r="14" spans="1:10" ht="18" customHeight="1" x14ac:dyDescent="0.25">
      <c r="A14" s="14">
        <f t="shared" si="0"/>
        <v>6</v>
      </c>
      <c r="B14" s="8"/>
      <c r="C14" s="46" t="s">
        <v>414</v>
      </c>
      <c r="D14" s="214" t="s">
        <v>19</v>
      </c>
      <c r="E14" s="16"/>
      <c r="F14" s="27"/>
      <c r="G14" s="18">
        <f t="shared" si="1"/>
        <v>6792.7000000000007</v>
      </c>
      <c r="H14" s="28" t="s">
        <v>91</v>
      </c>
      <c r="I14" s="7" t="s">
        <v>90</v>
      </c>
    </row>
    <row r="15" spans="1:10" ht="18" customHeight="1" x14ac:dyDescent="0.25">
      <c r="A15" s="14">
        <f t="shared" si="0"/>
        <v>7</v>
      </c>
      <c r="B15" s="8"/>
      <c r="C15" s="46" t="s">
        <v>414</v>
      </c>
      <c r="D15" s="214" t="s">
        <v>19</v>
      </c>
      <c r="E15" s="16"/>
      <c r="F15" s="27"/>
      <c r="G15" s="18">
        <f t="shared" si="1"/>
        <v>6792.7000000000007</v>
      </c>
      <c r="H15" s="28" t="s">
        <v>91</v>
      </c>
      <c r="I15" s="7" t="s">
        <v>90</v>
      </c>
      <c r="J15" s="26" t="s">
        <v>147</v>
      </c>
    </row>
    <row r="16" spans="1:10" ht="18" customHeight="1" x14ac:dyDescent="0.25">
      <c r="A16" s="14">
        <f t="shared" si="0"/>
        <v>8</v>
      </c>
      <c r="B16" s="8"/>
      <c r="C16" s="46" t="s">
        <v>414</v>
      </c>
      <c r="D16" s="214" t="s">
        <v>19</v>
      </c>
      <c r="E16" s="16"/>
      <c r="F16" s="27"/>
      <c r="G16" s="18">
        <f t="shared" si="1"/>
        <v>6792.7000000000007</v>
      </c>
      <c r="H16" s="28" t="s">
        <v>91</v>
      </c>
      <c r="I16" s="7" t="s">
        <v>90</v>
      </c>
    </row>
    <row r="17" spans="1:9" ht="18" customHeight="1" x14ac:dyDescent="0.25">
      <c r="A17" s="14">
        <f t="shared" si="0"/>
        <v>9</v>
      </c>
      <c r="B17" s="8"/>
      <c r="C17" s="46" t="s">
        <v>414</v>
      </c>
      <c r="D17" s="214" t="s">
        <v>19</v>
      </c>
      <c r="E17" s="30"/>
      <c r="F17" s="27"/>
      <c r="G17" s="18">
        <f t="shared" si="1"/>
        <v>6792.7000000000007</v>
      </c>
      <c r="H17" s="28" t="s">
        <v>91</v>
      </c>
      <c r="I17" s="7" t="s">
        <v>90</v>
      </c>
    </row>
    <row r="18" spans="1:9" s="230" customFormat="1" ht="18" customHeight="1" x14ac:dyDescent="0.25">
      <c r="A18" s="223">
        <f>+A17+1</f>
        <v>10</v>
      </c>
      <c r="B18" s="224"/>
      <c r="C18" s="46" t="s">
        <v>414</v>
      </c>
      <c r="D18" s="226" t="s">
        <v>19</v>
      </c>
      <c r="E18" s="227"/>
      <c r="F18" s="228"/>
      <c r="G18" s="229">
        <f t="shared" si="1"/>
        <v>6792.7000000000007</v>
      </c>
      <c r="H18" s="28" t="s">
        <v>91</v>
      </c>
      <c r="I18" s="7" t="s">
        <v>90</v>
      </c>
    </row>
    <row r="19" spans="1:9" s="230" customFormat="1" ht="18" customHeight="1" x14ac:dyDescent="0.25">
      <c r="A19" s="223">
        <f t="shared" si="0"/>
        <v>11</v>
      </c>
      <c r="B19" s="224"/>
      <c r="C19" s="46" t="s">
        <v>414</v>
      </c>
      <c r="D19" s="226" t="s">
        <v>19</v>
      </c>
      <c r="E19" s="231"/>
      <c r="F19" s="228"/>
      <c r="G19" s="229">
        <f t="shared" si="1"/>
        <v>6792.7000000000007</v>
      </c>
      <c r="H19" s="28" t="s">
        <v>91</v>
      </c>
      <c r="I19" s="7" t="s">
        <v>90</v>
      </c>
    </row>
    <row r="20" spans="1:9" ht="18" customHeight="1" x14ac:dyDescent="0.25">
      <c r="A20" s="14">
        <f t="shared" si="0"/>
        <v>12</v>
      </c>
      <c r="B20" s="8"/>
      <c r="C20" s="46" t="s">
        <v>414</v>
      </c>
      <c r="D20" s="214" t="s">
        <v>19</v>
      </c>
      <c r="E20" s="32"/>
      <c r="F20" s="17"/>
      <c r="G20" s="18">
        <f t="shared" si="1"/>
        <v>6792.7000000000007</v>
      </c>
      <c r="H20" s="28" t="s">
        <v>91</v>
      </c>
      <c r="I20" s="7" t="s">
        <v>90</v>
      </c>
    </row>
    <row r="21" spans="1:9" ht="18" customHeight="1" x14ac:dyDescent="0.25">
      <c r="A21" s="14">
        <f t="shared" si="0"/>
        <v>13</v>
      </c>
      <c r="B21" s="8"/>
      <c r="C21" s="46" t="s">
        <v>414</v>
      </c>
      <c r="D21" s="214" t="s">
        <v>19</v>
      </c>
      <c r="E21" s="32"/>
      <c r="F21" s="17"/>
      <c r="G21" s="18">
        <f t="shared" si="1"/>
        <v>6792.7000000000007</v>
      </c>
      <c r="H21" s="28" t="s">
        <v>91</v>
      </c>
      <c r="I21" s="7" t="s">
        <v>90</v>
      </c>
    </row>
    <row r="22" spans="1:9" ht="18" customHeight="1" x14ac:dyDescent="0.25">
      <c r="A22" s="14">
        <f t="shared" si="0"/>
        <v>14</v>
      </c>
      <c r="B22" s="8"/>
      <c r="C22" s="46" t="s">
        <v>414</v>
      </c>
      <c r="D22" s="214" t="s">
        <v>19</v>
      </c>
      <c r="E22" s="32"/>
      <c r="F22" s="27"/>
      <c r="G22" s="18">
        <f t="shared" si="1"/>
        <v>6792.7000000000007</v>
      </c>
      <c r="H22" s="28" t="s">
        <v>91</v>
      </c>
      <c r="I22" s="7" t="s">
        <v>90</v>
      </c>
    </row>
    <row r="23" spans="1:9" ht="18" customHeight="1" x14ac:dyDescent="0.25">
      <c r="A23" s="14">
        <f t="shared" si="0"/>
        <v>15</v>
      </c>
      <c r="B23" s="370"/>
      <c r="C23" s="46" t="s">
        <v>414</v>
      </c>
      <c r="D23" s="234" t="s">
        <v>19</v>
      </c>
      <c r="E23" s="235"/>
      <c r="F23" s="172"/>
      <c r="G23" s="18">
        <f t="shared" si="1"/>
        <v>6792.7000000000007</v>
      </c>
      <c r="H23" s="28" t="s">
        <v>129</v>
      </c>
      <c r="I23" s="7" t="s">
        <v>90</v>
      </c>
    </row>
    <row r="24" spans="1:9" ht="18" customHeight="1" x14ac:dyDescent="0.25">
      <c r="A24" s="14">
        <f t="shared" si="0"/>
        <v>16</v>
      </c>
      <c r="B24" s="44"/>
      <c r="C24" s="46" t="s">
        <v>414</v>
      </c>
      <c r="D24" s="214" t="s">
        <v>19</v>
      </c>
      <c r="E24" s="32"/>
      <c r="F24" s="17"/>
      <c r="G24" s="18">
        <f t="shared" si="1"/>
        <v>6792.7000000000007</v>
      </c>
      <c r="H24" s="28" t="s">
        <v>129</v>
      </c>
      <c r="I24" s="7" t="s">
        <v>142</v>
      </c>
    </row>
    <row r="25" spans="1:9" ht="18" customHeight="1" x14ac:dyDescent="0.25">
      <c r="A25" s="14">
        <f t="shared" si="0"/>
        <v>17</v>
      </c>
      <c r="B25" s="44"/>
      <c r="C25" s="46" t="s">
        <v>414</v>
      </c>
      <c r="D25" s="214" t="s">
        <v>19</v>
      </c>
      <c r="E25" s="32"/>
      <c r="F25" s="17"/>
      <c r="G25" s="18">
        <f t="shared" si="1"/>
        <v>6792.7000000000007</v>
      </c>
      <c r="H25" s="28" t="s">
        <v>91</v>
      </c>
      <c r="I25" s="7" t="s">
        <v>90</v>
      </c>
    </row>
    <row r="26" spans="1:9" ht="18" customHeight="1" x14ac:dyDescent="0.25">
      <c r="A26" s="14">
        <f t="shared" si="0"/>
        <v>18</v>
      </c>
      <c r="B26" s="8"/>
      <c r="C26" s="46" t="s">
        <v>414</v>
      </c>
      <c r="D26" s="214" t="s">
        <v>19</v>
      </c>
      <c r="E26" s="32"/>
      <c r="F26" s="17"/>
      <c r="G26" s="18">
        <f t="shared" si="1"/>
        <v>6792.7000000000007</v>
      </c>
      <c r="H26" s="28" t="s">
        <v>91</v>
      </c>
      <c r="I26" s="7" t="s">
        <v>90</v>
      </c>
    </row>
    <row r="27" spans="1:9" ht="18" customHeight="1" x14ac:dyDescent="0.25">
      <c r="A27" s="14">
        <f t="shared" si="0"/>
        <v>19</v>
      </c>
      <c r="B27" s="8"/>
      <c r="C27" s="46" t="s">
        <v>414</v>
      </c>
      <c r="D27" s="214" t="s">
        <v>19</v>
      </c>
      <c r="E27" s="32"/>
      <c r="F27" s="17"/>
      <c r="G27" s="18">
        <f t="shared" si="1"/>
        <v>6792.7000000000007</v>
      </c>
      <c r="H27" s="28" t="s">
        <v>91</v>
      </c>
      <c r="I27" s="7" t="s">
        <v>90</v>
      </c>
    </row>
    <row r="28" spans="1:9" ht="18" customHeight="1" x14ac:dyDescent="0.25">
      <c r="A28" s="14">
        <f t="shared" si="0"/>
        <v>20</v>
      </c>
      <c r="B28" s="8"/>
      <c r="C28" s="46" t="s">
        <v>414</v>
      </c>
      <c r="D28" s="214" t="s">
        <v>19</v>
      </c>
      <c r="E28" s="32"/>
      <c r="F28" s="17"/>
      <c r="G28" s="18">
        <f t="shared" si="1"/>
        <v>6792.7000000000007</v>
      </c>
      <c r="H28" s="28" t="s">
        <v>91</v>
      </c>
      <c r="I28" s="7" t="s">
        <v>90</v>
      </c>
    </row>
    <row r="29" spans="1:9" ht="18" customHeight="1" x14ac:dyDescent="0.25">
      <c r="A29" s="14">
        <f t="shared" si="0"/>
        <v>21</v>
      </c>
      <c r="B29" s="8"/>
      <c r="C29" s="46" t="s">
        <v>414</v>
      </c>
      <c r="D29" s="214" t="s">
        <v>19</v>
      </c>
      <c r="E29" s="129"/>
      <c r="F29" s="17"/>
      <c r="G29" s="18">
        <f t="shared" si="1"/>
        <v>6792.7000000000007</v>
      </c>
      <c r="H29" s="28" t="s">
        <v>91</v>
      </c>
      <c r="I29" s="7" t="s">
        <v>90</v>
      </c>
    </row>
    <row r="30" spans="1:9" ht="18" customHeight="1" x14ac:dyDescent="0.25">
      <c r="A30" s="14">
        <f t="shared" si="0"/>
        <v>22</v>
      </c>
      <c r="B30" s="8"/>
      <c r="C30" s="46" t="s">
        <v>414</v>
      </c>
      <c r="D30" s="214" t="s">
        <v>19</v>
      </c>
      <c r="E30" s="32"/>
      <c r="F30" s="172"/>
      <c r="G30" s="18">
        <f t="shared" si="1"/>
        <v>6792.7000000000007</v>
      </c>
      <c r="H30" s="28" t="s">
        <v>91</v>
      </c>
      <c r="I30" s="7" t="s">
        <v>90</v>
      </c>
    </row>
    <row r="31" spans="1:9" ht="18" customHeight="1" x14ac:dyDescent="0.25">
      <c r="A31" s="14">
        <f t="shared" si="0"/>
        <v>23</v>
      </c>
      <c r="B31" s="8"/>
      <c r="C31" s="46" t="s">
        <v>414</v>
      </c>
      <c r="D31" s="214" t="s">
        <v>19</v>
      </c>
      <c r="E31" s="32"/>
      <c r="F31" s="17"/>
      <c r="G31" s="18">
        <f t="shared" si="1"/>
        <v>6792.7000000000007</v>
      </c>
      <c r="H31" s="28" t="s">
        <v>91</v>
      </c>
      <c r="I31" s="7" t="s">
        <v>90</v>
      </c>
    </row>
    <row r="32" spans="1:9" ht="18" customHeight="1" x14ac:dyDescent="0.25">
      <c r="A32" s="14">
        <f t="shared" si="0"/>
        <v>24</v>
      </c>
      <c r="B32" s="8"/>
      <c r="C32" s="46" t="s">
        <v>414</v>
      </c>
      <c r="D32" s="214" t="s">
        <v>19</v>
      </c>
      <c r="E32" s="32"/>
      <c r="F32" s="17"/>
      <c r="G32" s="18">
        <f t="shared" si="1"/>
        <v>6792.7000000000007</v>
      </c>
      <c r="H32" s="28" t="s">
        <v>91</v>
      </c>
      <c r="I32" s="7" t="s">
        <v>90</v>
      </c>
    </row>
    <row r="33" spans="1:16" ht="17.25" customHeight="1" x14ac:dyDescent="0.25">
      <c r="A33" s="14">
        <f t="shared" si="0"/>
        <v>25</v>
      </c>
      <c r="B33" s="8"/>
      <c r="C33" s="46" t="s">
        <v>414</v>
      </c>
      <c r="D33" s="214" t="s">
        <v>19</v>
      </c>
      <c r="E33" s="13"/>
      <c r="F33" s="17"/>
      <c r="G33" s="18">
        <f t="shared" si="1"/>
        <v>6792.7000000000007</v>
      </c>
      <c r="H33" s="28" t="s">
        <v>91</v>
      </c>
      <c r="I33" s="7" t="s">
        <v>90</v>
      </c>
    </row>
    <row r="34" spans="1:16" ht="17.25" customHeight="1" x14ac:dyDescent="0.25">
      <c r="A34" s="14">
        <f t="shared" si="0"/>
        <v>26</v>
      </c>
      <c r="B34" s="44"/>
      <c r="C34" s="46" t="s">
        <v>414</v>
      </c>
      <c r="D34" s="214" t="s">
        <v>19</v>
      </c>
      <c r="E34" s="13"/>
      <c r="F34" s="17"/>
      <c r="G34" s="18">
        <f t="shared" si="1"/>
        <v>6792.7000000000007</v>
      </c>
      <c r="H34" s="178"/>
      <c r="I34" s="7"/>
    </row>
    <row r="35" spans="1:16" ht="18" customHeight="1" x14ac:dyDescent="0.25">
      <c r="A35" s="14">
        <f t="shared" si="0"/>
        <v>27</v>
      </c>
      <c r="B35" s="8"/>
      <c r="C35" s="46" t="s">
        <v>414</v>
      </c>
      <c r="D35" s="214" t="s">
        <v>19</v>
      </c>
      <c r="E35" s="32"/>
      <c r="F35" s="40"/>
      <c r="G35" s="18">
        <f t="shared" si="1"/>
        <v>6792.7000000000007</v>
      </c>
      <c r="H35" s="178"/>
      <c r="I35" s="7"/>
    </row>
    <row r="36" spans="1:16" ht="18" customHeight="1" x14ac:dyDescent="0.25">
      <c r="A36" s="14">
        <f t="shared" si="0"/>
        <v>28</v>
      </c>
      <c r="B36" s="45"/>
      <c r="C36" s="46" t="s">
        <v>414</v>
      </c>
      <c r="D36" s="214" t="s">
        <v>19</v>
      </c>
      <c r="E36" s="32"/>
      <c r="F36" s="40"/>
      <c r="G36" s="18">
        <f t="shared" si="1"/>
        <v>6792.7000000000007</v>
      </c>
      <c r="H36" s="178"/>
      <c r="I36" s="7"/>
    </row>
    <row r="37" spans="1:16" ht="18" customHeight="1" x14ac:dyDescent="0.25">
      <c r="A37" s="14">
        <f t="shared" si="0"/>
        <v>29</v>
      </c>
      <c r="B37" s="8"/>
      <c r="C37" s="46" t="s">
        <v>414</v>
      </c>
      <c r="D37" s="214" t="s">
        <v>19</v>
      </c>
      <c r="E37" s="32"/>
      <c r="F37" s="40"/>
      <c r="G37" s="18">
        <f t="shared" si="1"/>
        <v>6792.7000000000007</v>
      </c>
      <c r="H37" s="178"/>
      <c r="I37" s="7"/>
    </row>
    <row r="38" spans="1:16" ht="18" customHeight="1" x14ac:dyDescent="0.25">
      <c r="A38" s="14">
        <f t="shared" si="0"/>
        <v>30</v>
      </c>
      <c r="B38" s="8"/>
      <c r="C38" s="46" t="s">
        <v>414</v>
      </c>
      <c r="D38" s="214" t="s">
        <v>19</v>
      </c>
      <c r="E38" s="32"/>
      <c r="F38" s="17"/>
      <c r="G38" s="18">
        <f t="shared" si="1"/>
        <v>6792.7000000000007</v>
      </c>
      <c r="H38" s="178"/>
      <c r="I38" s="7"/>
      <c r="K38">
        <f>911-338</f>
        <v>573</v>
      </c>
    </row>
    <row r="39" spans="1:16" ht="18" customHeight="1" x14ac:dyDescent="0.25">
      <c r="A39" s="14">
        <f t="shared" si="0"/>
        <v>31</v>
      </c>
      <c r="B39" s="8"/>
      <c r="C39" s="46" t="s">
        <v>414</v>
      </c>
      <c r="D39" s="214" t="s">
        <v>19</v>
      </c>
      <c r="E39" s="32"/>
      <c r="F39" s="17"/>
      <c r="G39" s="18">
        <f t="shared" si="1"/>
        <v>6792.7000000000007</v>
      </c>
      <c r="H39" s="178"/>
      <c r="I39" s="7"/>
      <c r="K39">
        <f>+K38-314</f>
        <v>259</v>
      </c>
    </row>
    <row r="40" spans="1:16" ht="18" customHeight="1" x14ac:dyDescent="0.25">
      <c r="A40" s="14">
        <f t="shared" si="0"/>
        <v>32</v>
      </c>
      <c r="B40" s="8"/>
      <c r="C40" s="46" t="s">
        <v>414</v>
      </c>
      <c r="D40" s="214" t="s">
        <v>19</v>
      </c>
      <c r="E40" s="32"/>
      <c r="F40" s="17"/>
      <c r="G40" s="18">
        <f t="shared" si="1"/>
        <v>6792.7000000000007</v>
      </c>
      <c r="H40" s="178"/>
      <c r="I40" s="7"/>
    </row>
    <row r="41" spans="1:16" ht="18" customHeight="1" x14ac:dyDescent="0.25">
      <c r="A41" s="14">
        <f t="shared" si="0"/>
        <v>33</v>
      </c>
      <c r="B41" s="8"/>
      <c r="C41" s="46" t="s">
        <v>414</v>
      </c>
      <c r="D41" s="214" t="s">
        <v>19</v>
      </c>
      <c r="E41" s="32"/>
      <c r="F41" s="17"/>
      <c r="G41" s="18">
        <f t="shared" si="1"/>
        <v>6792.7000000000007</v>
      </c>
      <c r="H41" s="178"/>
      <c r="I41" s="7"/>
    </row>
    <row r="42" spans="1:16" ht="18" customHeight="1" x14ac:dyDescent="0.25">
      <c r="A42" s="14">
        <f t="shared" si="0"/>
        <v>34</v>
      </c>
      <c r="B42" s="8"/>
      <c r="C42" s="46" t="s">
        <v>414</v>
      </c>
      <c r="D42" s="214" t="s">
        <v>19</v>
      </c>
      <c r="E42" s="32"/>
      <c r="F42" s="172"/>
      <c r="G42" s="18">
        <f t="shared" si="1"/>
        <v>6792.7000000000007</v>
      </c>
      <c r="H42" s="178"/>
      <c r="I42" s="7"/>
      <c r="P42" s="162"/>
    </row>
    <row r="43" spans="1:16" ht="18" customHeight="1" x14ac:dyDescent="0.25">
      <c r="A43" s="14">
        <f t="shared" si="0"/>
        <v>35</v>
      </c>
      <c r="B43" s="8"/>
      <c r="C43" s="46" t="s">
        <v>414</v>
      </c>
      <c r="D43" s="214" t="s">
        <v>19</v>
      </c>
      <c r="E43" s="32"/>
      <c r="F43" s="17"/>
      <c r="G43" s="18">
        <f t="shared" si="1"/>
        <v>6792.7000000000007</v>
      </c>
      <c r="H43" s="178"/>
      <c r="I43" s="7"/>
    </row>
    <row r="44" spans="1:16" ht="18" customHeight="1" x14ac:dyDescent="0.25">
      <c r="A44" s="14">
        <f t="shared" si="0"/>
        <v>36</v>
      </c>
      <c r="B44" s="8"/>
      <c r="C44" s="46" t="s">
        <v>414</v>
      </c>
      <c r="D44" s="214" t="s">
        <v>19</v>
      </c>
      <c r="E44" s="32"/>
      <c r="F44" s="17"/>
      <c r="G44" s="18">
        <f t="shared" si="1"/>
        <v>6792.7000000000007</v>
      </c>
      <c r="H44" s="178"/>
      <c r="I44" s="7"/>
    </row>
    <row r="45" spans="1:16" ht="18" customHeight="1" x14ac:dyDescent="0.25">
      <c r="A45" s="14">
        <f t="shared" si="0"/>
        <v>37</v>
      </c>
      <c r="B45" s="8"/>
      <c r="C45" s="46" t="s">
        <v>414</v>
      </c>
      <c r="D45" s="214" t="s">
        <v>19</v>
      </c>
      <c r="E45" s="32"/>
      <c r="F45" s="17"/>
      <c r="G45" s="18">
        <f t="shared" si="1"/>
        <v>6792.7000000000007</v>
      </c>
      <c r="H45" s="178"/>
      <c r="I45" s="7"/>
    </row>
    <row r="46" spans="1:16" ht="18" customHeight="1" x14ac:dyDescent="0.25">
      <c r="A46" s="14">
        <f t="shared" si="0"/>
        <v>38</v>
      </c>
      <c r="B46" s="8"/>
      <c r="C46" s="46" t="s">
        <v>414</v>
      </c>
      <c r="D46" s="214" t="s">
        <v>19</v>
      </c>
      <c r="E46" s="32"/>
      <c r="F46" s="17"/>
      <c r="G46" s="18">
        <f t="shared" si="1"/>
        <v>6792.7000000000007</v>
      </c>
      <c r="H46" s="178"/>
      <c r="I46" s="29"/>
    </row>
    <row r="47" spans="1:16" ht="18" customHeight="1" x14ac:dyDescent="0.25">
      <c r="A47" s="14">
        <f t="shared" si="0"/>
        <v>39</v>
      </c>
      <c r="B47" s="8"/>
      <c r="C47" s="46" t="s">
        <v>414</v>
      </c>
      <c r="D47" s="214" t="s">
        <v>19</v>
      </c>
      <c r="E47" s="32"/>
      <c r="F47" s="17"/>
      <c r="G47" s="18">
        <f t="shared" si="1"/>
        <v>6792.7000000000007</v>
      </c>
      <c r="H47" s="178"/>
      <c r="I47" s="29"/>
    </row>
    <row r="48" spans="1:16" ht="18" customHeight="1" x14ac:dyDescent="0.25">
      <c r="A48" s="14">
        <f t="shared" si="0"/>
        <v>40</v>
      </c>
      <c r="B48" s="8"/>
      <c r="C48" s="46" t="s">
        <v>414</v>
      </c>
      <c r="D48" s="214" t="s">
        <v>19</v>
      </c>
      <c r="E48" s="32"/>
      <c r="F48" s="17"/>
      <c r="G48" s="18">
        <f t="shared" si="1"/>
        <v>6792.7000000000007</v>
      </c>
      <c r="H48" s="178"/>
      <c r="I48" s="29"/>
    </row>
    <row r="49" spans="1:16" ht="18" customHeight="1" x14ac:dyDescent="0.25">
      <c r="A49" s="14">
        <f t="shared" si="0"/>
        <v>41</v>
      </c>
      <c r="B49" s="8"/>
      <c r="C49" s="46" t="s">
        <v>414</v>
      </c>
      <c r="D49" s="214" t="s">
        <v>19</v>
      </c>
      <c r="E49" s="32"/>
      <c r="F49" s="17"/>
      <c r="G49" s="18">
        <f t="shared" si="1"/>
        <v>6792.7000000000007</v>
      </c>
      <c r="H49" s="178"/>
      <c r="I49" s="29"/>
    </row>
    <row r="50" spans="1:16" ht="18" customHeight="1" x14ac:dyDescent="0.25">
      <c r="A50" s="14">
        <f t="shared" si="0"/>
        <v>42</v>
      </c>
      <c r="B50" s="8"/>
      <c r="C50" s="46" t="s">
        <v>414</v>
      </c>
      <c r="D50" s="214" t="s">
        <v>19</v>
      </c>
      <c r="E50" s="32"/>
      <c r="F50" s="17"/>
      <c r="G50" s="18">
        <f t="shared" si="1"/>
        <v>6792.7000000000007</v>
      </c>
      <c r="H50" s="178"/>
      <c r="I50" s="7"/>
    </row>
    <row r="51" spans="1:16" s="162" customFormat="1" ht="18" customHeight="1" x14ac:dyDescent="0.25">
      <c r="A51" s="14">
        <f t="shared" si="0"/>
        <v>43</v>
      </c>
      <c r="B51" s="174"/>
      <c r="C51" s="46" t="s">
        <v>414</v>
      </c>
      <c r="D51" s="237" t="s">
        <v>19</v>
      </c>
      <c r="E51" s="175"/>
      <c r="F51" s="172"/>
      <c r="G51" s="18">
        <f t="shared" si="1"/>
        <v>6792.7000000000007</v>
      </c>
      <c r="H51" s="178"/>
      <c r="I51" s="7"/>
      <c r="P51"/>
    </row>
    <row r="52" spans="1:16" ht="18" customHeight="1" x14ac:dyDescent="0.25">
      <c r="A52" s="14">
        <f t="shared" si="0"/>
        <v>44</v>
      </c>
      <c r="B52" s="8"/>
      <c r="C52" s="46" t="s">
        <v>414</v>
      </c>
      <c r="D52" s="214" t="s">
        <v>19</v>
      </c>
      <c r="E52" s="32"/>
      <c r="F52" s="17"/>
      <c r="G52" s="18">
        <f t="shared" si="1"/>
        <v>6792.7000000000007</v>
      </c>
      <c r="H52" s="239"/>
      <c r="I52" s="7"/>
    </row>
    <row r="53" spans="1:16" ht="18" customHeight="1" x14ac:dyDescent="0.25">
      <c r="A53" s="14">
        <f t="shared" si="0"/>
        <v>45</v>
      </c>
      <c r="B53" s="8"/>
      <c r="C53" s="46" t="s">
        <v>414</v>
      </c>
      <c r="D53" s="214" t="s">
        <v>19</v>
      </c>
      <c r="E53" s="32"/>
      <c r="F53" s="17"/>
      <c r="G53" s="18">
        <f t="shared" si="1"/>
        <v>6792.7000000000007</v>
      </c>
      <c r="H53" s="239"/>
      <c r="I53" s="7"/>
    </row>
    <row r="54" spans="1:16" ht="18" customHeight="1" x14ac:dyDescent="0.25">
      <c r="A54" s="14">
        <f t="shared" si="0"/>
        <v>46</v>
      </c>
      <c r="B54" s="8"/>
      <c r="C54" s="46" t="s">
        <v>414</v>
      </c>
      <c r="D54" s="214" t="s">
        <v>19</v>
      </c>
      <c r="E54" s="32"/>
      <c r="F54" s="17"/>
      <c r="G54" s="18">
        <f t="shared" si="1"/>
        <v>6792.7000000000007</v>
      </c>
      <c r="H54" s="239"/>
      <c r="I54" s="7"/>
    </row>
    <row r="55" spans="1:16" ht="18" customHeight="1" x14ac:dyDescent="0.25">
      <c r="A55" s="14">
        <f t="shared" si="0"/>
        <v>47</v>
      </c>
      <c r="B55" s="8"/>
      <c r="C55" s="46" t="s">
        <v>414</v>
      </c>
      <c r="D55" s="214" t="s">
        <v>19</v>
      </c>
      <c r="E55" s="32"/>
      <c r="F55" s="17"/>
      <c r="G55" s="18">
        <f t="shared" si="1"/>
        <v>6792.7000000000007</v>
      </c>
      <c r="H55" s="28"/>
      <c r="I55" s="7"/>
    </row>
    <row r="56" spans="1:16" ht="18" customHeight="1" x14ac:dyDescent="0.25">
      <c r="A56" s="14">
        <f t="shared" si="0"/>
        <v>48</v>
      </c>
      <c r="B56" s="8"/>
      <c r="C56" s="46" t="s">
        <v>414</v>
      </c>
      <c r="D56" s="214" t="s">
        <v>19</v>
      </c>
      <c r="E56" s="32"/>
      <c r="F56" s="17"/>
      <c r="G56" s="18">
        <f t="shared" si="1"/>
        <v>6792.7000000000007</v>
      </c>
      <c r="H56" s="240"/>
      <c r="I56" s="7"/>
    </row>
    <row r="57" spans="1:16" ht="18" customHeight="1" x14ac:dyDescent="0.25">
      <c r="A57" s="14">
        <f t="shared" si="0"/>
        <v>49</v>
      </c>
      <c r="B57" s="8"/>
      <c r="C57" s="46" t="s">
        <v>414</v>
      </c>
      <c r="D57" s="214" t="s">
        <v>19</v>
      </c>
      <c r="E57" s="32"/>
      <c r="F57" s="17"/>
      <c r="G57" s="18">
        <f t="shared" si="1"/>
        <v>6792.7000000000007</v>
      </c>
      <c r="H57" s="240"/>
      <c r="I57" s="7"/>
    </row>
    <row r="58" spans="1:16" ht="18" customHeight="1" x14ac:dyDescent="0.25">
      <c r="A58" s="14">
        <f t="shared" si="0"/>
        <v>50</v>
      </c>
      <c r="B58" s="8"/>
      <c r="C58" s="46" t="s">
        <v>414</v>
      </c>
      <c r="D58" s="214" t="s">
        <v>19</v>
      </c>
      <c r="E58" s="32"/>
      <c r="F58" s="17"/>
      <c r="G58" s="18">
        <f t="shared" si="1"/>
        <v>6792.7000000000007</v>
      </c>
      <c r="H58" s="240"/>
      <c r="I58" s="7" t="s">
        <v>14</v>
      </c>
    </row>
    <row r="59" spans="1:16" ht="18" customHeight="1" x14ac:dyDescent="0.25">
      <c r="A59" s="14">
        <f t="shared" si="0"/>
        <v>51</v>
      </c>
      <c r="B59" s="8"/>
      <c r="C59" s="46" t="s">
        <v>414</v>
      </c>
      <c r="D59" s="214" t="s">
        <v>19</v>
      </c>
      <c r="E59" s="32"/>
      <c r="F59" s="17"/>
      <c r="G59" s="18">
        <f t="shared" si="1"/>
        <v>6792.7000000000007</v>
      </c>
      <c r="H59" s="240"/>
      <c r="I59" s="7" t="s">
        <v>14</v>
      </c>
    </row>
    <row r="60" spans="1:16" ht="18" customHeight="1" x14ac:dyDescent="0.25">
      <c r="A60" s="14">
        <f t="shared" si="0"/>
        <v>52</v>
      </c>
      <c r="B60" s="8"/>
      <c r="C60" s="46" t="s">
        <v>414</v>
      </c>
      <c r="D60" s="214" t="s">
        <v>19</v>
      </c>
      <c r="E60" s="32"/>
      <c r="F60" s="17"/>
      <c r="G60" s="18">
        <f t="shared" si="1"/>
        <v>6792.7000000000007</v>
      </c>
      <c r="H60" s="240"/>
      <c r="I60" s="7" t="s">
        <v>14</v>
      </c>
    </row>
    <row r="61" spans="1:16" ht="18" customHeight="1" x14ac:dyDescent="0.25">
      <c r="A61" s="14">
        <f t="shared" si="0"/>
        <v>53</v>
      </c>
      <c r="B61" s="8"/>
      <c r="C61" s="46" t="s">
        <v>414</v>
      </c>
      <c r="D61" s="214" t="s">
        <v>19</v>
      </c>
      <c r="E61" s="32"/>
      <c r="F61" s="17"/>
      <c r="G61" s="18">
        <f t="shared" si="1"/>
        <v>6792.7000000000007</v>
      </c>
      <c r="H61" s="240"/>
      <c r="I61" s="7" t="s">
        <v>14</v>
      </c>
    </row>
    <row r="62" spans="1:16" ht="18" customHeight="1" x14ac:dyDescent="0.25">
      <c r="A62" s="14">
        <f t="shared" si="0"/>
        <v>54</v>
      </c>
      <c r="B62" s="8"/>
      <c r="C62" s="46" t="s">
        <v>414</v>
      </c>
      <c r="D62" s="214" t="s">
        <v>19</v>
      </c>
      <c r="E62" s="32"/>
      <c r="F62" s="17"/>
      <c r="G62" s="18">
        <f t="shared" si="1"/>
        <v>6792.7000000000007</v>
      </c>
      <c r="H62" s="240"/>
      <c r="I62" s="7" t="s">
        <v>14</v>
      </c>
    </row>
    <row r="63" spans="1:16" ht="18" customHeight="1" x14ac:dyDescent="0.25">
      <c r="A63" s="14">
        <f t="shared" si="0"/>
        <v>55</v>
      </c>
      <c r="B63" s="8"/>
      <c r="C63" s="46" t="s">
        <v>414</v>
      </c>
      <c r="D63" s="214" t="s">
        <v>19</v>
      </c>
      <c r="E63" s="32"/>
      <c r="F63" s="17"/>
      <c r="G63" s="18">
        <f t="shared" si="1"/>
        <v>6792.7000000000007</v>
      </c>
      <c r="H63" s="240"/>
      <c r="I63" s="7" t="s">
        <v>14</v>
      </c>
    </row>
    <row r="64" spans="1:16" ht="18" customHeight="1" x14ac:dyDescent="0.25">
      <c r="A64" s="14">
        <f t="shared" si="0"/>
        <v>56</v>
      </c>
      <c r="B64" s="8"/>
      <c r="C64" s="46" t="s">
        <v>414</v>
      </c>
      <c r="D64" s="214" t="s">
        <v>19</v>
      </c>
      <c r="E64" s="32"/>
      <c r="F64" s="17"/>
      <c r="G64" s="18">
        <f t="shared" si="1"/>
        <v>6792.7000000000007</v>
      </c>
      <c r="H64" s="240"/>
      <c r="I64" s="7" t="s">
        <v>14</v>
      </c>
    </row>
    <row r="65" spans="1:10" ht="18" customHeight="1" x14ac:dyDescent="0.25">
      <c r="A65" s="14">
        <f t="shared" si="0"/>
        <v>57</v>
      </c>
      <c r="B65" s="8"/>
      <c r="C65" s="46" t="s">
        <v>414</v>
      </c>
      <c r="D65" s="214" t="s">
        <v>19</v>
      </c>
      <c r="E65" s="32"/>
      <c r="F65" s="17"/>
      <c r="G65" s="18">
        <f t="shared" si="1"/>
        <v>6792.7000000000007</v>
      </c>
      <c r="H65" s="240"/>
      <c r="I65" s="7" t="s">
        <v>14</v>
      </c>
    </row>
    <row r="66" spans="1:10" ht="18" customHeight="1" x14ac:dyDescent="0.25">
      <c r="A66" s="14">
        <f t="shared" si="0"/>
        <v>58</v>
      </c>
      <c r="B66" s="8"/>
      <c r="C66" s="46" t="s">
        <v>414</v>
      </c>
      <c r="D66" s="214" t="s">
        <v>19</v>
      </c>
      <c r="E66" s="32"/>
      <c r="F66" s="17"/>
      <c r="G66" s="18">
        <f t="shared" si="1"/>
        <v>6792.7000000000007</v>
      </c>
      <c r="H66" s="240"/>
      <c r="I66" s="7" t="s">
        <v>14</v>
      </c>
      <c r="J66" s="26"/>
    </row>
    <row r="67" spans="1:10" ht="18" customHeight="1" x14ac:dyDescent="0.25">
      <c r="A67" s="14">
        <f t="shared" si="0"/>
        <v>59</v>
      </c>
      <c r="B67" s="8"/>
      <c r="C67" s="46" t="s">
        <v>414</v>
      </c>
      <c r="D67" s="214" t="s">
        <v>19</v>
      </c>
      <c r="E67" s="32"/>
      <c r="F67" s="17"/>
      <c r="G67" s="18">
        <f t="shared" si="1"/>
        <v>6792.7000000000007</v>
      </c>
      <c r="H67" s="240"/>
      <c r="I67" s="7" t="s">
        <v>14</v>
      </c>
    </row>
    <row r="68" spans="1:10" ht="18" customHeight="1" x14ac:dyDescent="0.25">
      <c r="A68" s="14">
        <f t="shared" si="0"/>
        <v>60</v>
      </c>
      <c r="B68" s="8"/>
      <c r="C68" s="46" t="s">
        <v>414</v>
      </c>
      <c r="D68" s="214" t="s">
        <v>19</v>
      </c>
      <c r="E68" s="32"/>
      <c r="F68" s="17"/>
      <c r="G68" s="18">
        <f t="shared" si="1"/>
        <v>6792.7000000000007</v>
      </c>
      <c r="H68" s="240"/>
      <c r="I68" s="7" t="s">
        <v>14</v>
      </c>
    </row>
    <row r="69" spans="1:10" ht="18" customHeight="1" x14ac:dyDescent="0.25">
      <c r="A69" s="14">
        <f t="shared" si="0"/>
        <v>61</v>
      </c>
      <c r="B69" s="8"/>
      <c r="C69" s="46" t="s">
        <v>414</v>
      </c>
      <c r="D69" s="214" t="s">
        <v>19</v>
      </c>
      <c r="E69" s="32"/>
      <c r="F69" s="17"/>
      <c r="G69" s="18">
        <f t="shared" si="1"/>
        <v>6792.7000000000007</v>
      </c>
      <c r="H69" s="240"/>
      <c r="I69" s="7" t="s">
        <v>14</v>
      </c>
    </row>
    <row r="70" spans="1:10" ht="18" customHeight="1" x14ac:dyDescent="0.25">
      <c r="A70" s="14">
        <f t="shared" si="0"/>
        <v>62</v>
      </c>
      <c r="B70" s="8"/>
      <c r="C70" s="46" t="s">
        <v>414</v>
      </c>
      <c r="D70" s="214" t="s">
        <v>19</v>
      </c>
      <c r="E70" s="32"/>
      <c r="F70" s="17"/>
      <c r="G70" s="18">
        <f t="shared" si="1"/>
        <v>6792.7000000000007</v>
      </c>
      <c r="H70" s="240"/>
      <c r="I70" s="7" t="s">
        <v>14</v>
      </c>
    </row>
    <row r="71" spans="1:10" ht="18" customHeight="1" x14ac:dyDescent="0.25">
      <c r="A71" s="14">
        <f t="shared" si="0"/>
        <v>63</v>
      </c>
      <c r="B71" s="8"/>
      <c r="C71" s="46" t="s">
        <v>414</v>
      </c>
      <c r="D71" s="214" t="s">
        <v>19</v>
      </c>
      <c r="E71" s="32"/>
      <c r="F71" s="17"/>
      <c r="G71" s="18">
        <f t="shared" si="1"/>
        <v>6792.7000000000007</v>
      </c>
      <c r="H71" s="240"/>
      <c r="I71" s="7" t="s">
        <v>14</v>
      </c>
    </row>
    <row r="72" spans="1:10" ht="18" customHeight="1" x14ac:dyDescent="0.25">
      <c r="A72" s="14">
        <f t="shared" si="0"/>
        <v>64</v>
      </c>
      <c r="B72" s="8"/>
      <c r="C72" s="46" t="s">
        <v>414</v>
      </c>
      <c r="D72" s="214" t="s">
        <v>19</v>
      </c>
      <c r="E72" s="32"/>
      <c r="F72" s="17"/>
      <c r="G72" s="18">
        <f t="shared" si="1"/>
        <v>6792.7000000000007</v>
      </c>
      <c r="H72" s="240"/>
      <c r="I72" s="7" t="s">
        <v>14</v>
      </c>
    </row>
    <row r="73" spans="1:10" ht="18" customHeight="1" x14ac:dyDescent="0.25">
      <c r="A73" s="14">
        <f t="shared" si="0"/>
        <v>65</v>
      </c>
      <c r="B73" s="8"/>
      <c r="C73" s="46" t="s">
        <v>414</v>
      </c>
      <c r="D73" s="214" t="s">
        <v>19</v>
      </c>
      <c r="E73" s="32"/>
      <c r="F73" s="17"/>
      <c r="G73" s="18">
        <f t="shared" si="1"/>
        <v>6792.7000000000007</v>
      </c>
      <c r="H73" s="240"/>
      <c r="I73" s="7" t="s">
        <v>14</v>
      </c>
    </row>
    <row r="74" spans="1:10" ht="18" customHeight="1" x14ac:dyDescent="0.25">
      <c r="A74" s="14">
        <f t="shared" ref="A74:A105" si="2">+A73+1</f>
        <v>66</v>
      </c>
      <c r="B74" s="8"/>
      <c r="C74" s="46" t="s">
        <v>414</v>
      </c>
      <c r="D74" s="214" t="s">
        <v>19</v>
      </c>
      <c r="E74" s="32"/>
      <c r="F74" s="17"/>
      <c r="G74" s="18">
        <f t="shared" ref="G74:G108" si="3">+G73+E74-F74</f>
        <v>6792.7000000000007</v>
      </c>
      <c r="H74" s="240"/>
      <c r="I74" s="7" t="s">
        <v>14</v>
      </c>
    </row>
    <row r="75" spans="1:10" ht="18" customHeight="1" x14ac:dyDescent="0.25">
      <c r="A75" s="14">
        <f t="shared" si="2"/>
        <v>67</v>
      </c>
      <c r="B75" s="8"/>
      <c r="C75" s="46" t="s">
        <v>414</v>
      </c>
      <c r="D75" s="214" t="s">
        <v>19</v>
      </c>
      <c r="E75" s="32"/>
      <c r="F75" s="17"/>
      <c r="G75" s="18">
        <f t="shared" si="3"/>
        <v>6792.7000000000007</v>
      </c>
      <c r="H75" s="240"/>
      <c r="I75" s="7" t="s">
        <v>14</v>
      </c>
    </row>
    <row r="76" spans="1:10" ht="18" customHeight="1" x14ac:dyDescent="0.25">
      <c r="A76" s="14">
        <f t="shared" si="2"/>
        <v>68</v>
      </c>
      <c r="B76" s="8"/>
      <c r="C76" s="46" t="s">
        <v>414</v>
      </c>
      <c r="D76" s="214" t="s">
        <v>19</v>
      </c>
      <c r="E76" s="32"/>
      <c r="F76" s="17"/>
      <c r="G76" s="18">
        <f t="shared" si="3"/>
        <v>6792.7000000000007</v>
      </c>
      <c r="H76" s="240"/>
      <c r="I76" s="7" t="s">
        <v>14</v>
      </c>
    </row>
    <row r="77" spans="1:10" ht="18" customHeight="1" x14ac:dyDescent="0.25">
      <c r="A77" s="14">
        <f t="shared" si="2"/>
        <v>69</v>
      </c>
      <c r="B77" s="8"/>
      <c r="C77" s="46" t="s">
        <v>414</v>
      </c>
      <c r="D77" s="214" t="s">
        <v>19</v>
      </c>
      <c r="E77" s="32"/>
      <c r="F77" s="17"/>
      <c r="G77" s="18">
        <f t="shared" si="3"/>
        <v>6792.7000000000007</v>
      </c>
      <c r="H77" s="240"/>
      <c r="I77" s="7" t="s">
        <v>14</v>
      </c>
    </row>
    <row r="78" spans="1:10" ht="18" customHeight="1" x14ac:dyDescent="0.25">
      <c r="A78" s="14">
        <f t="shared" si="2"/>
        <v>70</v>
      </c>
      <c r="B78" s="8"/>
      <c r="C78" s="46" t="s">
        <v>414</v>
      </c>
      <c r="D78" s="214" t="s">
        <v>19</v>
      </c>
      <c r="E78" s="32"/>
      <c r="F78" s="17"/>
      <c r="G78" s="18">
        <f t="shared" si="3"/>
        <v>6792.7000000000007</v>
      </c>
      <c r="H78" s="240"/>
      <c r="I78" s="7" t="s">
        <v>14</v>
      </c>
    </row>
    <row r="79" spans="1:10" ht="18" customHeight="1" x14ac:dyDescent="0.25">
      <c r="A79" s="14">
        <f t="shared" si="2"/>
        <v>71</v>
      </c>
      <c r="B79" s="8"/>
      <c r="C79" s="46" t="s">
        <v>414</v>
      </c>
      <c r="D79" s="214" t="s">
        <v>19</v>
      </c>
      <c r="E79" s="32"/>
      <c r="F79" s="17"/>
      <c r="G79" s="18">
        <f t="shared" si="3"/>
        <v>6792.7000000000007</v>
      </c>
      <c r="H79" s="240"/>
      <c r="I79" s="7" t="s">
        <v>14</v>
      </c>
    </row>
    <row r="80" spans="1:10" ht="18" customHeight="1" x14ac:dyDescent="0.25">
      <c r="A80" s="14">
        <f t="shared" si="2"/>
        <v>72</v>
      </c>
      <c r="B80" s="8"/>
      <c r="C80" s="46" t="s">
        <v>414</v>
      </c>
      <c r="D80" s="214" t="s">
        <v>19</v>
      </c>
      <c r="E80" s="32"/>
      <c r="F80" s="17"/>
      <c r="G80" s="18">
        <f t="shared" si="3"/>
        <v>6792.7000000000007</v>
      </c>
      <c r="H80" s="240"/>
      <c r="I80" s="7" t="s">
        <v>14</v>
      </c>
    </row>
    <row r="81" spans="1:17" ht="18" customHeight="1" x14ac:dyDescent="0.25">
      <c r="A81" s="14">
        <f t="shared" si="2"/>
        <v>73</v>
      </c>
      <c r="B81" s="8"/>
      <c r="C81" s="46" t="s">
        <v>414</v>
      </c>
      <c r="D81" s="214" t="s">
        <v>19</v>
      </c>
      <c r="E81" s="32"/>
      <c r="F81" s="17"/>
      <c r="G81" s="18">
        <f t="shared" si="3"/>
        <v>6792.7000000000007</v>
      </c>
      <c r="H81" s="240"/>
      <c r="I81" s="7" t="s">
        <v>14</v>
      </c>
    </row>
    <row r="82" spans="1:17" ht="18" customHeight="1" x14ac:dyDescent="0.25">
      <c r="A82" s="14">
        <f t="shared" si="2"/>
        <v>74</v>
      </c>
      <c r="B82" s="8"/>
      <c r="C82" s="46" t="s">
        <v>414</v>
      </c>
      <c r="D82" s="214" t="s">
        <v>19</v>
      </c>
      <c r="E82" s="32"/>
      <c r="F82" s="17"/>
      <c r="G82" s="18">
        <f t="shared" si="3"/>
        <v>6792.7000000000007</v>
      </c>
      <c r="H82" s="240"/>
      <c r="I82" s="7" t="s">
        <v>14</v>
      </c>
    </row>
    <row r="83" spans="1:17" ht="18" customHeight="1" x14ac:dyDescent="0.25">
      <c r="A83" s="14">
        <f t="shared" si="2"/>
        <v>75</v>
      </c>
      <c r="B83" s="8"/>
      <c r="C83" s="46" t="s">
        <v>414</v>
      </c>
      <c r="D83" s="214" t="s">
        <v>19</v>
      </c>
      <c r="E83" s="32"/>
      <c r="F83" s="17"/>
      <c r="G83" s="18">
        <f t="shared" si="3"/>
        <v>6792.7000000000007</v>
      </c>
      <c r="H83" s="240"/>
      <c r="I83" s="7" t="s">
        <v>14</v>
      </c>
    </row>
    <row r="84" spans="1:17" ht="18" customHeight="1" x14ac:dyDescent="0.25">
      <c r="A84" s="14">
        <f t="shared" si="2"/>
        <v>76</v>
      </c>
      <c r="B84" s="8"/>
      <c r="C84" s="46" t="s">
        <v>414</v>
      </c>
      <c r="D84" s="214" t="s">
        <v>19</v>
      </c>
      <c r="E84" s="32"/>
      <c r="F84" s="27"/>
      <c r="G84" s="18">
        <f t="shared" si="3"/>
        <v>6792.7000000000007</v>
      </c>
      <c r="H84" s="240"/>
      <c r="I84" s="7" t="s">
        <v>14</v>
      </c>
    </row>
    <row r="85" spans="1:17" ht="18" customHeight="1" x14ac:dyDescent="0.25">
      <c r="A85" s="14">
        <f t="shared" si="2"/>
        <v>77</v>
      </c>
      <c r="B85" s="8"/>
      <c r="C85" s="46" t="s">
        <v>414</v>
      </c>
      <c r="D85" s="214" t="s">
        <v>19</v>
      </c>
      <c r="E85" s="32"/>
      <c r="F85" s="17"/>
      <c r="G85" s="18">
        <f t="shared" si="3"/>
        <v>6792.7000000000007</v>
      </c>
      <c r="H85" s="240"/>
      <c r="I85" s="7" t="s">
        <v>14</v>
      </c>
    </row>
    <row r="86" spans="1:17" ht="18" customHeight="1" x14ac:dyDescent="0.25">
      <c r="A86" s="14">
        <f t="shared" si="2"/>
        <v>78</v>
      </c>
      <c r="B86" s="8"/>
      <c r="C86" s="46" t="s">
        <v>414</v>
      </c>
      <c r="D86" s="214" t="s">
        <v>19</v>
      </c>
      <c r="E86" s="32"/>
      <c r="F86" s="17"/>
      <c r="G86" s="18">
        <f t="shared" si="3"/>
        <v>6792.7000000000007</v>
      </c>
      <c r="H86" s="240"/>
      <c r="I86" s="7" t="s">
        <v>14</v>
      </c>
    </row>
    <row r="87" spans="1:17" ht="18" customHeight="1" x14ac:dyDescent="0.25">
      <c r="A87" s="14">
        <f t="shared" si="2"/>
        <v>79</v>
      </c>
      <c r="B87" s="8"/>
      <c r="C87" s="46" t="s">
        <v>414</v>
      </c>
      <c r="D87" s="214" t="s">
        <v>19</v>
      </c>
      <c r="E87" s="32"/>
      <c r="F87" s="17"/>
      <c r="G87" s="18">
        <f t="shared" si="3"/>
        <v>6792.7000000000007</v>
      </c>
      <c r="H87" s="240"/>
      <c r="I87" s="7" t="s">
        <v>14</v>
      </c>
    </row>
    <row r="88" spans="1:17" ht="18" customHeight="1" x14ac:dyDescent="0.25">
      <c r="A88" s="14">
        <f t="shared" si="2"/>
        <v>80</v>
      </c>
      <c r="B88" s="8"/>
      <c r="C88" s="46" t="s">
        <v>414</v>
      </c>
      <c r="D88" s="214" t="s">
        <v>19</v>
      </c>
      <c r="E88" s="32"/>
      <c r="F88" s="17"/>
      <c r="G88" s="18">
        <f t="shared" si="3"/>
        <v>6792.7000000000007</v>
      </c>
      <c r="H88" s="240"/>
      <c r="I88" s="7" t="s">
        <v>14</v>
      </c>
    </row>
    <row r="89" spans="1:17" ht="18" customHeight="1" x14ac:dyDescent="0.25">
      <c r="A89" s="14">
        <f t="shared" si="2"/>
        <v>81</v>
      </c>
      <c r="B89" s="8"/>
      <c r="C89" s="46" t="s">
        <v>414</v>
      </c>
      <c r="D89" s="214" t="s">
        <v>19</v>
      </c>
      <c r="E89" s="32"/>
      <c r="F89" s="17"/>
      <c r="G89" s="18">
        <f t="shared" si="3"/>
        <v>6792.7000000000007</v>
      </c>
      <c r="H89" s="240"/>
      <c r="I89" s="7" t="s">
        <v>14</v>
      </c>
    </row>
    <row r="90" spans="1:17" ht="18" customHeight="1" x14ac:dyDescent="0.25">
      <c r="A90" s="14">
        <f t="shared" si="2"/>
        <v>82</v>
      </c>
      <c r="B90" s="8"/>
      <c r="C90" s="46" t="s">
        <v>414</v>
      </c>
      <c r="D90" s="214" t="s">
        <v>19</v>
      </c>
      <c r="E90" s="32"/>
      <c r="F90" s="17"/>
      <c r="G90" s="18">
        <f t="shared" si="3"/>
        <v>6792.7000000000007</v>
      </c>
      <c r="H90" s="240"/>
      <c r="I90" s="7" t="s">
        <v>14</v>
      </c>
    </row>
    <row r="91" spans="1:17" ht="18" customHeight="1" x14ac:dyDescent="0.25">
      <c r="A91" s="14">
        <f t="shared" si="2"/>
        <v>83</v>
      </c>
      <c r="B91" s="8"/>
      <c r="C91" s="46" t="s">
        <v>414</v>
      </c>
      <c r="D91" s="214" t="s">
        <v>19</v>
      </c>
      <c r="E91" s="32"/>
      <c r="F91" s="17"/>
      <c r="G91" s="18">
        <f t="shared" si="3"/>
        <v>6792.7000000000007</v>
      </c>
      <c r="H91" s="240"/>
      <c r="I91" s="7" t="s">
        <v>14</v>
      </c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414</v>
      </c>
      <c r="D92" s="214" t="s">
        <v>19</v>
      </c>
      <c r="E92" s="32"/>
      <c r="F92" s="27"/>
      <c r="G92" s="18">
        <f t="shared" si="3"/>
        <v>6792.7000000000007</v>
      </c>
      <c r="H92" s="240"/>
      <c r="I92" s="7" t="s">
        <v>14</v>
      </c>
      <c r="L92" s="199"/>
      <c r="Q92" s="199"/>
    </row>
    <row r="93" spans="1:17" ht="18" customHeight="1" x14ac:dyDescent="0.25">
      <c r="A93" s="14">
        <f t="shared" si="2"/>
        <v>85</v>
      </c>
      <c r="B93" s="8"/>
      <c r="C93" s="46" t="s">
        <v>414</v>
      </c>
      <c r="D93" s="214" t="s">
        <v>19</v>
      </c>
      <c r="E93" s="32"/>
      <c r="F93" s="27"/>
      <c r="G93" s="18">
        <f t="shared" si="3"/>
        <v>6792.7000000000007</v>
      </c>
      <c r="H93" s="240"/>
      <c r="I93" s="7" t="s">
        <v>14</v>
      </c>
      <c r="L93" s="199"/>
      <c r="Q93" s="199"/>
    </row>
    <row r="94" spans="1:17" s="179" customFormat="1" ht="18" customHeight="1" x14ac:dyDescent="0.25">
      <c r="A94" s="14">
        <f t="shared" si="2"/>
        <v>86</v>
      </c>
      <c r="B94" s="242"/>
      <c r="C94" s="46" t="s">
        <v>414</v>
      </c>
      <c r="D94" s="244" t="s">
        <v>19</v>
      </c>
      <c r="E94" s="245"/>
      <c r="F94" s="52"/>
      <c r="G94" s="18">
        <f t="shared" si="3"/>
        <v>6792.7000000000007</v>
      </c>
      <c r="H94" s="240"/>
      <c r="I94" s="247" t="s">
        <v>14</v>
      </c>
      <c r="J94" s="179" t="s">
        <v>43</v>
      </c>
      <c r="L94" s="248"/>
      <c r="Q94" s="248"/>
    </row>
    <row r="95" spans="1:17" s="179" customFormat="1" ht="18" customHeight="1" x14ac:dyDescent="0.25">
      <c r="A95" s="14">
        <f t="shared" si="2"/>
        <v>87</v>
      </c>
      <c r="B95" s="242"/>
      <c r="C95" s="46" t="s">
        <v>414</v>
      </c>
      <c r="D95" s="244" t="s">
        <v>19</v>
      </c>
      <c r="E95" s="245"/>
      <c r="F95" s="52"/>
      <c r="G95" s="18">
        <f t="shared" si="3"/>
        <v>6792.7000000000007</v>
      </c>
      <c r="H95" s="240"/>
      <c r="I95" s="247" t="s">
        <v>14</v>
      </c>
      <c r="L95" s="248"/>
      <c r="Q95" s="248"/>
    </row>
    <row r="96" spans="1:17" s="179" customFormat="1" ht="18" customHeight="1" x14ac:dyDescent="0.25">
      <c r="A96" s="14">
        <f t="shared" si="2"/>
        <v>88</v>
      </c>
      <c r="B96" s="242"/>
      <c r="C96" s="46" t="s">
        <v>414</v>
      </c>
      <c r="D96" s="244" t="s">
        <v>19</v>
      </c>
      <c r="E96" s="245"/>
      <c r="F96" s="52"/>
      <c r="G96" s="18">
        <f t="shared" si="3"/>
        <v>6792.7000000000007</v>
      </c>
      <c r="H96" s="240"/>
      <c r="I96" s="247" t="s">
        <v>14</v>
      </c>
      <c r="L96" s="248"/>
      <c r="Q96" s="248"/>
    </row>
    <row r="97" spans="1:17" s="179" customFormat="1" ht="18" customHeight="1" x14ac:dyDescent="0.25">
      <c r="A97" s="14">
        <f t="shared" si="2"/>
        <v>89</v>
      </c>
      <c r="B97" s="242"/>
      <c r="C97" s="46" t="s">
        <v>414</v>
      </c>
      <c r="D97" s="244" t="s">
        <v>19</v>
      </c>
      <c r="E97" s="245"/>
      <c r="F97" s="52"/>
      <c r="G97" s="18">
        <f t="shared" si="3"/>
        <v>6792.7000000000007</v>
      </c>
      <c r="H97" s="240"/>
      <c r="I97" s="247" t="s">
        <v>14</v>
      </c>
      <c r="L97" s="248"/>
      <c r="Q97" s="248"/>
    </row>
    <row r="98" spans="1:17" s="179" customFormat="1" ht="18" customHeight="1" x14ac:dyDescent="0.25">
      <c r="A98" s="14">
        <f t="shared" si="2"/>
        <v>90</v>
      </c>
      <c r="B98" s="242"/>
      <c r="C98" s="46" t="s">
        <v>414</v>
      </c>
      <c r="D98" s="244" t="s">
        <v>19</v>
      </c>
      <c r="E98" s="245"/>
      <c r="F98" s="52"/>
      <c r="G98" s="18">
        <f t="shared" si="3"/>
        <v>6792.7000000000007</v>
      </c>
      <c r="H98" s="240"/>
      <c r="I98" s="247" t="s">
        <v>14</v>
      </c>
      <c r="L98" s="248"/>
      <c r="Q98" s="248"/>
    </row>
    <row r="99" spans="1:17" s="179" customFormat="1" ht="18" customHeight="1" x14ac:dyDescent="0.25">
      <c r="A99" s="14">
        <f t="shared" si="2"/>
        <v>91</v>
      </c>
      <c r="B99" s="242"/>
      <c r="C99" s="46" t="s">
        <v>414</v>
      </c>
      <c r="D99" s="244" t="s">
        <v>19</v>
      </c>
      <c r="E99" s="245"/>
      <c r="F99" s="52"/>
      <c r="G99" s="18">
        <f t="shared" si="3"/>
        <v>6792.7000000000007</v>
      </c>
      <c r="H99" s="240"/>
      <c r="I99" s="247" t="s">
        <v>14</v>
      </c>
      <c r="L99" s="248"/>
      <c r="Q99" s="248"/>
    </row>
    <row r="100" spans="1:17" s="179" customFormat="1" ht="18" customHeight="1" x14ac:dyDescent="0.25">
      <c r="A100" s="14">
        <f t="shared" si="2"/>
        <v>92</v>
      </c>
      <c r="B100" s="242"/>
      <c r="C100" s="46" t="s">
        <v>414</v>
      </c>
      <c r="D100" s="244" t="s">
        <v>19</v>
      </c>
      <c r="E100" s="245"/>
      <c r="F100" s="52"/>
      <c r="G100" s="18">
        <f t="shared" si="3"/>
        <v>6792.7000000000007</v>
      </c>
      <c r="H100" s="240"/>
      <c r="I100" s="247" t="s">
        <v>14</v>
      </c>
      <c r="L100" s="248"/>
      <c r="Q100" s="248"/>
    </row>
    <row r="101" spans="1:17" s="179" customFormat="1" ht="18" customHeight="1" x14ac:dyDescent="0.25">
      <c r="A101" s="14">
        <f t="shared" si="2"/>
        <v>93</v>
      </c>
      <c r="B101" s="242"/>
      <c r="C101" s="46" t="s">
        <v>414</v>
      </c>
      <c r="D101" s="244" t="s">
        <v>19</v>
      </c>
      <c r="E101" s="245"/>
      <c r="F101" s="52"/>
      <c r="G101" s="18">
        <f t="shared" si="3"/>
        <v>6792.7000000000007</v>
      </c>
      <c r="H101" s="240"/>
      <c r="I101" s="247" t="s">
        <v>14</v>
      </c>
      <c r="L101" s="248"/>
      <c r="Q101" s="248"/>
    </row>
    <row r="102" spans="1:17" s="179" customFormat="1" ht="18" customHeight="1" x14ac:dyDescent="0.25">
      <c r="A102" s="14">
        <f t="shared" si="2"/>
        <v>94</v>
      </c>
      <c r="B102" s="242"/>
      <c r="C102" s="243"/>
      <c r="D102" s="244"/>
      <c r="E102" s="245"/>
      <c r="F102" s="52"/>
      <c r="G102" s="18">
        <f t="shared" si="3"/>
        <v>6792.7000000000007</v>
      </c>
      <c r="H102" s="240"/>
      <c r="I102" s="247"/>
      <c r="L102" s="248"/>
      <c r="Q102" s="248"/>
    </row>
    <row r="103" spans="1:17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6792.7000000000007</v>
      </c>
      <c r="H103" s="240"/>
      <c r="I103" s="247"/>
      <c r="L103" s="248"/>
      <c r="Q103" s="248"/>
    </row>
    <row r="104" spans="1:17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6792.7000000000007</v>
      </c>
      <c r="H104" s="240"/>
      <c r="I104" s="247"/>
      <c r="L104" s="248"/>
      <c r="Q104" s="248"/>
    </row>
    <row r="105" spans="1:17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6792.7000000000007</v>
      </c>
      <c r="H105" s="240"/>
      <c r="I105" s="247"/>
      <c r="L105" s="248"/>
      <c r="Q105" s="248"/>
    </row>
    <row r="106" spans="1:17" ht="18" customHeight="1" x14ac:dyDescent="0.25">
      <c r="A106" s="14">
        <f>+A94+1</f>
        <v>87</v>
      </c>
      <c r="B106" s="8"/>
      <c r="C106" s="46"/>
      <c r="D106" s="214"/>
      <c r="E106" s="32"/>
      <c r="F106" s="27"/>
      <c r="G106" s="18">
        <f t="shared" si="3"/>
        <v>6792.7000000000007</v>
      </c>
      <c r="H106" s="28"/>
      <c r="I106" s="7"/>
      <c r="L106" s="199"/>
      <c r="Q106" s="199"/>
    </row>
    <row r="107" spans="1:17" ht="18" customHeight="1" x14ac:dyDescent="0.25">
      <c r="A107" s="14">
        <f t="shared" ref="A107:A108" si="4">+A106+1</f>
        <v>88</v>
      </c>
      <c r="B107" s="8"/>
      <c r="C107" s="46"/>
      <c r="D107" s="214"/>
      <c r="E107" s="32"/>
      <c r="F107" s="27"/>
      <c r="G107" s="18">
        <f t="shared" si="3"/>
        <v>6792.7000000000007</v>
      </c>
      <c r="H107" s="28"/>
      <c r="I107" s="7"/>
      <c r="L107" s="199"/>
      <c r="Q107" s="199"/>
    </row>
    <row r="108" spans="1:17" ht="18" customHeight="1" x14ac:dyDescent="0.25">
      <c r="A108" s="14">
        <f t="shared" si="4"/>
        <v>89</v>
      </c>
      <c r="B108" s="37"/>
      <c r="C108" s="46"/>
      <c r="D108" s="10"/>
      <c r="E108" s="32"/>
      <c r="F108" s="27"/>
      <c r="G108" s="18">
        <f t="shared" si="3"/>
        <v>6792.7000000000007</v>
      </c>
      <c r="H108" s="28"/>
      <c r="I108" s="7"/>
      <c r="L108" s="199"/>
      <c r="Q108" s="199"/>
    </row>
    <row r="109" spans="1:17" ht="18" customHeight="1" x14ac:dyDescent="0.25">
      <c r="A109" s="7"/>
      <c r="B109" s="7"/>
      <c r="C109" s="34" t="s">
        <v>13</v>
      </c>
      <c r="D109" s="14"/>
      <c r="E109" s="35">
        <f>SUM(E8:E108)</f>
        <v>7961.1</v>
      </c>
      <c r="F109" s="35">
        <f>SUM(F8:F108)</f>
        <v>1168.4000000000001</v>
      </c>
      <c r="G109" s="35">
        <f>+E109-F109+G8</f>
        <v>6792.7000000000007</v>
      </c>
      <c r="H109" s="35"/>
      <c r="I109" s="36"/>
    </row>
    <row r="110" spans="1:17" ht="18" customHeight="1" x14ac:dyDescent="0.25"/>
    <row r="113" spans="5:9" x14ac:dyDescent="0.25">
      <c r="E113" s="201"/>
      <c r="F113" s="201"/>
      <c r="G113" s="201"/>
      <c r="H113" s="201"/>
    </row>
    <row r="114" spans="5:9" x14ac:dyDescent="0.25">
      <c r="F114" s="26"/>
    </row>
    <row r="115" spans="5:9" x14ac:dyDescent="0.25">
      <c r="E115" s="26"/>
      <c r="F115" s="26"/>
      <c r="G115" s="26"/>
      <c r="H115" s="26"/>
      <c r="I115" s="26"/>
    </row>
    <row r="116" spans="5:9" x14ac:dyDescent="0.25">
      <c r="I116" s="202"/>
    </row>
    <row r="117" spans="5:9" x14ac:dyDescent="0.25">
      <c r="E117" s="199"/>
    </row>
    <row r="118" spans="5:9" x14ac:dyDescent="0.25">
      <c r="E118" s="26"/>
      <c r="F118" s="26"/>
    </row>
    <row r="119" spans="5:9" x14ac:dyDescent="0.25">
      <c r="E119" s="203"/>
      <c r="F119" s="204"/>
      <c r="G119" s="203"/>
      <c r="H119" s="203"/>
    </row>
    <row r="120" spans="5:9" x14ac:dyDescent="0.25">
      <c r="F120" s="26"/>
    </row>
  </sheetData>
  <mergeCells count="1">
    <mergeCell ref="A4:I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FBE7-BCBB-47A7-822F-4A5CEF67B3AB}">
  <sheetPr codeName="Sheet67"/>
  <dimension ref="A1:Q120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45838</v>
      </c>
      <c r="C9" s="46" t="s">
        <v>415</v>
      </c>
      <c r="D9" s="214" t="s">
        <v>19</v>
      </c>
      <c r="E9" s="30">
        <v>8306.5</v>
      </c>
      <c r="F9" s="27"/>
      <c r="G9" s="18">
        <f>+G8+E9-F9</f>
        <v>8306.5</v>
      </c>
      <c r="H9" s="28" t="s">
        <v>91</v>
      </c>
      <c r="I9" s="7">
        <v>24</v>
      </c>
      <c r="J9" t="s">
        <v>416</v>
      </c>
    </row>
    <row r="10" spans="1:10" ht="17.25" customHeight="1" x14ac:dyDescent="0.25">
      <c r="A10" s="14">
        <f t="shared" ref="A10:A73" si="0">+A9+1</f>
        <v>2</v>
      </c>
      <c r="B10" s="8"/>
      <c r="C10" s="46" t="s">
        <v>415</v>
      </c>
      <c r="D10" s="214" t="s">
        <v>19</v>
      </c>
      <c r="E10" s="30"/>
      <c r="F10" s="27"/>
      <c r="G10" s="18">
        <f t="shared" ref="G10:G73" si="1">+G9+E10-F10</f>
        <v>8306.5</v>
      </c>
      <c r="H10" s="28" t="s">
        <v>91</v>
      </c>
      <c r="I10" s="7" t="s">
        <v>90</v>
      </c>
    </row>
    <row r="11" spans="1:10" ht="18" customHeight="1" x14ac:dyDescent="0.25">
      <c r="A11" s="14">
        <f t="shared" si="0"/>
        <v>3</v>
      </c>
      <c r="B11" s="8"/>
      <c r="C11" s="46" t="s">
        <v>415</v>
      </c>
      <c r="D11" s="214" t="s">
        <v>19</v>
      </c>
      <c r="E11" s="16"/>
      <c r="F11" s="27"/>
      <c r="G11" s="18">
        <f t="shared" si="1"/>
        <v>8306.5</v>
      </c>
      <c r="H11" s="28" t="s">
        <v>91</v>
      </c>
      <c r="I11" s="7" t="s">
        <v>90</v>
      </c>
      <c r="J11" s="26" t="s">
        <v>147</v>
      </c>
    </row>
    <row r="12" spans="1:10" ht="18" customHeight="1" x14ac:dyDescent="0.25">
      <c r="A12" s="14">
        <f t="shared" si="0"/>
        <v>4</v>
      </c>
      <c r="B12" s="8"/>
      <c r="C12" s="46" t="s">
        <v>415</v>
      </c>
      <c r="D12" s="214" t="s">
        <v>19</v>
      </c>
      <c r="E12" s="16"/>
      <c r="F12" s="17"/>
      <c r="G12" s="18">
        <f t="shared" si="1"/>
        <v>8306.5</v>
      </c>
      <c r="H12" s="28" t="s">
        <v>91</v>
      </c>
      <c r="I12" s="7" t="s">
        <v>90</v>
      </c>
      <c r="J12" s="26" t="s">
        <v>147</v>
      </c>
    </row>
    <row r="13" spans="1:10" ht="18" customHeight="1" x14ac:dyDescent="0.25">
      <c r="A13" s="14">
        <f t="shared" si="0"/>
        <v>5</v>
      </c>
      <c r="B13" s="205"/>
      <c r="C13" s="46" t="s">
        <v>415</v>
      </c>
      <c r="D13" s="214" t="s">
        <v>19</v>
      </c>
      <c r="E13" s="16"/>
      <c r="F13" s="17"/>
      <c r="G13" s="18">
        <f t="shared" si="1"/>
        <v>8306.5</v>
      </c>
      <c r="H13" s="28" t="s">
        <v>91</v>
      </c>
      <c r="I13" s="7" t="s">
        <v>90</v>
      </c>
      <c r="J13" s="26">
        <f>+F13+F14</f>
        <v>0</v>
      </c>
    </row>
    <row r="14" spans="1:10" ht="18" customHeight="1" x14ac:dyDescent="0.25">
      <c r="A14" s="14">
        <f t="shared" si="0"/>
        <v>6</v>
      </c>
      <c r="B14" s="8"/>
      <c r="C14" s="46" t="s">
        <v>415</v>
      </c>
      <c r="D14" s="214" t="s">
        <v>19</v>
      </c>
      <c r="E14" s="16"/>
      <c r="F14" s="27"/>
      <c r="G14" s="18">
        <f t="shared" si="1"/>
        <v>8306.5</v>
      </c>
      <c r="H14" s="28" t="s">
        <v>91</v>
      </c>
      <c r="I14" s="7" t="s">
        <v>90</v>
      </c>
    </row>
    <row r="15" spans="1:10" ht="18" customHeight="1" x14ac:dyDescent="0.25">
      <c r="A15" s="14">
        <f t="shared" si="0"/>
        <v>7</v>
      </c>
      <c r="B15" s="8"/>
      <c r="C15" s="46" t="s">
        <v>415</v>
      </c>
      <c r="D15" s="214" t="s">
        <v>19</v>
      </c>
      <c r="E15" s="16"/>
      <c r="F15" s="27"/>
      <c r="G15" s="18">
        <f t="shared" si="1"/>
        <v>8306.5</v>
      </c>
      <c r="H15" s="28" t="s">
        <v>91</v>
      </c>
      <c r="I15" s="7" t="s">
        <v>90</v>
      </c>
      <c r="J15" s="26" t="s">
        <v>147</v>
      </c>
    </row>
    <row r="16" spans="1:10" ht="18" customHeight="1" x14ac:dyDescent="0.25">
      <c r="A16" s="14">
        <f t="shared" si="0"/>
        <v>8</v>
      </c>
      <c r="B16" s="8"/>
      <c r="C16" s="46" t="s">
        <v>415</v>
      </c>
      <c r="D16" s="214" t="s">
        <v>19</v>
      </c>
      <c r="E16" s="16"/>
      <c r="F16" s="27"/>
      <c r="G16" s="18">
        <f t="shared" si="1"/>
        <v>8306.5</v>
      </c>
      <c r="H16" s="28" t="s">
        <v>91</v>
      </c>
      <c r="I16" s="7" t="s">
        <v>90</v>
      </c>
    </row>
    <row r="17" spans="1:9" ht="18" customHeight="1" x14ac:dyDescent="0.25">
      <c r="A17" s="14">
        <f t="shared" si="0"/>
        <v>9</v>
      </c>
      <c r="B17" s="8"/>
      <c r="C17" s="46" t="s">
        <v>415</v>
      </c>
      <c r="D17" s="214" t="s">
        <v>19</v>
      </c>
      <c r="E17" s="30"/>
      <c r="F17" s="27"/>
      <c r="G17" s="18">
        <f t="shared" si="1"/>
        <v>8306.5</v>
      </c>
      <c r="H17" s="28" t="s">
        <v>91</v>
      </c>
      <c r="I17" s="7" t="s">
        <v>90</v>
      </c>
    </row>
    <row r="18" spans="1:9" s="230" customFormat="1" ht="18" customHeight="1" x14ac:dyDescent="0.25">
      <c r="A18" s="223">
        <f>+A17+1</f>
        <v>10</v>
      </c>
      <c r="B18" s="224"/>
      <c r="C18" s="46" t="s">
        <v>415</v>
      </c>
      <c r="D18" s="226" t="s">
        <v>19</v>
      </c>
      <c r="E18" s="227"/>
      <c r="F18" s="228"/>
      <c r="G18" s="229">
        <f t="shared" si="1"/>
        <v>8306.5</v>
      </c>
      <c r="H18" s="28" t="s">
        <v>91</v>
      </c>
      <c r="I18" s="7" t="s">
        <v>90</v>
      </c>
    </row>
    <row r="19" spans="1:9" s="230" customFormat="1" ht="18" customHeight="1" x14ac:dyDescent="0.25">
      <c r="A19" s="223">
        <f t="shared" si="0"/>
        <v>11</v>
      </c>
      <c r="B19" s="224"/>
      <c r="C19" s="46" t="s">
        <v>415</v>
      </c>
      <c r="D19" s="226" t="s">
        <v>19</v>
      </c>
      <c r="E19" s="231"/>
      <c r="F19" s="228"/>
      <c r="G19" s="229">
        <f t="shared" si="1"/>
        <v>8306.5</v>
      </c>
      <c r="H19" s="28" t="s">
        <v>91</v>
      </c>
      <c r="I19" s="7" t="s">
        <v>90</v>
      </c>
    </row>
    <row r="20" spans="1:9" ht="18" customHeight="1" x14ac:dyDescent="0.25">
      <c r="A20" s="14">
        <f t="shared" si="0"/>
        <v>12</v>
      </c>
      <c r="B20" s="8"/>
      <c r="C20" s="46" t="s">
        <v>415</v>
      </c>
      <c r="D20" s="214" t="s">
        <v>19</v>
      </c>
      <c r="E20" s="32"/>
      <c r="F20" s="17"/>
      <c r="G20" s="18">
        <f t="shared" si="1"/>
        <v>8306.5</v>
      </c>
      <c r="H20" s="28" t="s">
        <v>91</v>
      </c>
      <c r="I20" s="7" t="s">
        <v>90</v>
      </c>
    </row>
    <row r="21" spans="1:9" ht="18" customHeight="1" x14ac:dyDescent="0.25">
      <c r="A21" s="14">
        <f t="shared" si="0"/>
        <v>13</v>
      </c>
      <c r="B21" s="8"/>
      <c r="C21" s="46" t="s">
        <v>415</v>
      </c>
      <c r="D21" s="214" t="s">
        <v>19</v>
      </c>
      <c r="E21" s="32"/>
      <c r="F21" s="17"/>
      <c r="G21" s="18">
        <f t="shared" si="1"/>
        <v>8306.5</v>
      </c>
      <c r="H21" s="28" t="s">
        <v>91</v>
      </c>
      <c r="I21" s="7" t="s">
        <v>90</v>
      </c>
    </row>
    <row r="22" spans="1:9" ht="18" customHeight="1" x14ac:dyDescent="0.25">
      <c r="A22" s="14">
        <f t="shared" si="0"/>
        <v>14</v>
      </c>
      <c r="B22" s="8"/>
      <c r="C22" s="46" t="s">
        <v>415</v>
      </c>
      <c r="D22" s="214" t="s">
        <v>19</v>
      </c>
      <c r="E22" s="32"/>
      <c r="F22" s="27"/>
      <c r="G22" s="18">
        <f t="shared" si="1"/>
        <v>8306.5</v>
      </c>
      <c r="H22" s="28" t="s">
        <v>91</v>
      </c>
      <c r="I22" s="7" t="s">
        <v>90</v>
      </c>
    </row>
    <row r="23" spans="1:9" ht="18" customHeight="1" x14ac:dyDescent="0.25">
      <c r="A23" s="14">
        <f t="shared" si="0"/>
        <v>15</v>
      </c>
      <c r="B23" s="370"/>
      <c r="C23" s="46" t="s">
        <v>415</v>
      </c>
      <c r="D23" s="234" t="s">
        <v>19</v>
      </c>
      <c r="E23" s="235"/>
      <c r="F23" s="172"/>
      <c r="G23" s="18">
        <f t="shared" si="1"/>
        <v>8306.5</v>
      </c>
      <c r="H23" s="28" t="s">
        <v>129</v>
      </c>
      <c r="I23" s="7" t="s">
        <v>90</v>
      </c>
    </row>
    <row r="24" spans="1:9" ht="18" customHeight="1" x14ac:dyDescent="0.25">
      <c r="A24" s="14">
        <f t="shared" si="0"/>
        <v>16</v>
      </c>
      <c r="B24" s="44"/>
      <c r="C24" s="46" t="s">
        <v>415</v>
      </c>
      <c r="D24" s="214" t="s">
        <v>19</v>
      </c>
      <c r="E24" s="32"/>
      <c r="F24" s="17"/>
      <c r="G24" s="18">
        <f t="shared" si="1"/>
        <v>8306.5</v>
      </c>
      <c r="H24" s="28" t="s">
        <v>129</v>
      </c>
      <c r="I24" s="7" t="s">
        <v>142</v>
      </c>
    </row>
    <row r="25" spans="1:9" ht="18" customHeight="1" x14ac:dyDescent="0.25">
      <c r="A25" s="14">
        <f t="shared" si="0"/>
        <v>17</v>
      </c>
      <c r="B25" s="44"/>
      <c r="C25" s="46" t="s">
        <v>415</v>
      </c>
      <c r="D25" s="214" t="s">
        <v>19</v>
      </c>
      <c r="E25" s="32"/>
      <c r="F25" s="17"/>
      <c r="G25" s="18">
        <f t="shared" si="1"/>
        <v>8306.5</v>
      </c>
      <c r="H25" s="28" t="s">
        <v>91</v>
      </c>
      <c r="I25" s="7" t="s">
        <v>90</v>
      </c>
    </row>
    <row r="26" spans="1:9" ht="18" customHeight="1" x14ac:dyDescent="0.25">
      <c r="A26" s="14">
        <f t="shared" si="0"/>
        <v>18</v>
      </c>
      <c r="B26" s="8"/>
      <c r="C26" s="46" t="s">
        <v>415</v>
      </c>
      <c r="D26" s="214" t="s">
        <v>19</v>
      </c>
      <c r="E26" s="32"/>
      <c r="F26" s="17"/>
      <c r="G26" s="18">
        <f t="shared" si="1"/>
        <v>8306.5</v>
      </c>
      <c r="H26" s="28" t="s">
        <v>91</v>
      </c>
      <c r="I26" s="7" t="s">
        <v>90</v>
      </c>
    </row>
    <row r="27" spans="1:9" ht="18" customHeight="1" x14ac:dyDescent="0.25">
      <c r="A27" s="14">
        <f t="shared" si="0"/>
        <v>19</v>
      </c>
      <c r="B27" s="8"/>
      <c r="C27" s="46" t="s">
        <v>415</v>
      </c>
      <c r="D27" s="214" t="s">
        <v>19</v>
      </c>
      <c r="E27" s="32"/>
      <c r="F27" s="17"/>
      <c r="G27" s="18">
        <f t="shared" si="1"/>
        <v>8306.5</v>
      </c>
      <c r="H27" s="28" t="s">
        <v>91</v>
      </c>
      <c r="I27" s="7" t="s">
        <v>90</v>
      </c>
    </row>
    <row r="28" spans="1:9" ht="18" customHeight="1" x14ac:dyDescent="0.25">
      <c r="A28" s="14">
        <f t="shared" si="0"/>
        <v>20</v>
      </c>
      <c r="B28" s="8"/>
      <c r="C28" s="46" t="s">
        <v>415</v>
      </c>
      <c r="D28" s="214" t="s">
        <v>19</v>
      </c>
      <c r="E28" s="32"/>
      <c r="F28" s="17"/>
      <c r="G28" s="18">
        <f t="shared" si="1"/>
        <v>8306.5</v>
      </c>
      <c r="H28" s="28" t="s">
        <v>91</v>
      </c>
      <c r="I28" s="7" t="s">
        <v>90</v>
      </c>
    </row>
    <row r="29" spans="1:9" ht="18" customHeight="1" x14ac:dyDescent="0.25">
      <c r="A29" s="14">
        <f t="shared" si="0"/>
        <v>21</v>
      </c>
      <c r="B29" s="8"/>
      <c r="C29" s="46" t="s">
        <v>415</v>
      </c>
      <c r="D29" s="214" t="s">
        <v>19</v>
      </c>
      <c r="E29" s="129"/>
      <c r="F29" s="17"/>
      <c r="G29" s="18">
        <f t="shared" si="1"/>
        <v>8306.5</v>
      </c>
      <c r="H29" s="28" t="s">
        <v>91</v>
      </c>
      <c r="I29" s="7" t="s">
        <v>90</v>
      </c>
    </row>
    <row r="30" spans="1:9" ht="18" customHeight="1" x14ac:dyDescent="0.25">
      <c r="A30" s="14">
        <f t="shared" si="0"/>
        <v>22</v>
      </c>
      <c r="B30" s="8"/>
      <c r="C30" s="46" t="s">
        <v>415</v>
      </c>
      <c r="D30" s="214" t="s">
        <v>19</v>
      </c>
      <c r="E30" s="32"/>
      <c r="F30" s="172"/>
      <c r="G30" s="18">
        <f t="shared" si="1"/>
        <v>8306.5</v>
      </c>
      <c r="H30" s="28" t="s">
        <v>91</v>
      </c>
      <c r="I30" s="7" t="s">
        <v>90</v>
      </c>
    </row>
    <row r="31" spans="1:9" ht="18" customHeight="1" x14ac:dyDescent="0.25">
      <c r="A31" s="14">
        <f t="shared" si="0"/>
        <v>23</v>
      </c>
      <c r="B31" s="8"/>
      <c r="C31" s="46" t="s">
        <v>415</v>
      </c>
      <c r="D31" s="214" t="s">
        <v>19</v>
      </c>
      <c r="E31" s="32"/>
      <c r="F31" s="17"/>
      <c r="G31" s="18">
        <f t="shared" si="1"/>
        <v>8306.5</v>
      </c>
      <c r="H31" s="28" t="s">
        <v>91</v>
      </c>
      <c r="I31" s="7" t="s">
        <v>90</v>
      </c>
    </row>
    <row r="32" spans="1:9" ht="18" customHeight="1" x14ac:dyDescent="0.25">
      <c r="A32" s="14">
        <f t="shared" si="0"/>
        <v>24</v>
      </c>
      <c r="B32" s="8"/>
      <c r="C32" s="46" t="s">
        <v>415</v>
      </c>
      <c r="D32" s="214" t="s">
        <v>19</v>
      </c>
      <c r="E32" s="32"/>
      <c r="F32" s="17"/>
      <c r="G32" s="18">
        <f t="shared" si="1"/>
        <v>8306.5</v>
      </c>
      <c r="H32" s="28" t="s">
        <v>91</v>
      </c>
      <c r="I32" s="7" t="s">
        <v>90</v>
      </c>
    </row>
    <row r="33" spans="1:16" ht="17.25" customHeight="1" x14ac:dyDescent="0.25">
      <c r="A33" s="14">
        <f t="shared" si="0"/>
        <v>25</v>
      </c>
      <c r="B33" s="8"/>
      <c r="C33" s="46" t="s">
        <v>415</v>
      </c>
      <c r="D33" s="214" t="s">
        <v>19</v>
      </c>
      <c r="E33" s="13"/>
      <c r="F33" s="17"/>
      <c r="G33" s="18">
        <f t="shared" si="1"/>
        <v>8306.5</v>
      </c>
      <c r="H33" s="28" t="s">
        <v>91</v>
      </c>
      <c r="I33" s="7" t="s">
        <v>90</v>
      </c>
    </row>
    <row r="34" spans="1:16" ht="17.25" customHeight="1" x14ac:dyDescent="0.25">
      <c r="A34" s="14">
        <f t="shared" si="0"/>
        <v>26</v>
      </c>
      <c r="B34" s="44"/>
      <c r="C34" s="46" t="s">
        <v>415</v>
      </c>
      <c r="D34" s="214" t="s">
        <v>19</v>
      </c>
      <c r="E34" s="13"/>
      <c r="F34" s="17"/>
      <c r="G34" s="18">
        <f t="shared" si="1"/>
        <v>8306.5</v>
      </c>
      <c r="H34" s="178"/>
      <c r="I34" s="7"/>
    </row>
    <row r="35" spans="1:16" ht="18" customHeight="1" x14ac:dyDescent="0.25">
      <c r="A35" s="14">
        <f t="shared" si="0"/>
        <v>27</v>
      </c>
      <c r="B35" s="8"/>
      <c r="C35" s="46" t="s">
        <v>415</v>
      </c>
      <c r="D35" s="214" t="s">
        <v>19</v>
      </c>
      <c r="E35" s="32"/>
      <c r="F35" s="40"/>
      <c r="G35" s="18">
        <f t="shared" si="1"/>
        <v>8306.5</v>
      </c>
      <c r="H35" s="178"/>
      <c r="I35" s="7"/>
    </row>
    <row r="36" spans="1:16" ht="18" customHeight="1" x14ac:dyDescent="0.25">
      <c r="A36" s="14">
        <f t="shared" si="0"/>
        <v>28</v>
      </c>
      <c r="B36" s="45"/>
      <c r="C36" s="46" t="s">
        <v>415</v>
      </c>
      <c r="D36" s="214" t="s">
        <v>19</v>
      </c>
      <c r="E36" s="32"/>
      <c r="F36" s="40"/>
      <c r="G36" s="18">
        <f t="shared" si="1"/>
        <v>8306.5</v>
      </c>
      <c r="H36" s="178"/>
      <c r="I36" s="7"/>
    </row>
    <row r="37" spans="1:16" ht="18" customHeight="1" x14ac:dyDescent="0.25">
      <c r="A37" s="14">
        <f t="shared" si="0"/>
        <v>29</v>
      </c>
      <c r="B37" s="8"/>
      <c r="C37" s="46" t="s">
        <v>415</v>
      </c>
      <c r="D37" s="214" t="s">
        <v>19</v>
      </c>
      <c r="E37" s="32"/>
      <c r="F37" s="40"/>
      <c r="G37" s="18">
        <f t="shared" si="1"/>
        <v>8306.5</v>
      </c>
      <c r="H37" s="178"/>
      <c r="I37" s="7"/>
    </row>
    <row r="38" spans="1:16" ht="18" customHeight="1" x14ac:dyDescent="0.25">
      <c r="A38" s="14">
        <f t="shared" si="0"/>
        <v>30</v>
      </c>
      <c r="B38" s="8"/>
      <c r="C38" s="46" t="s">
        <v>415</v>
      </c>
      <c r="D38" s="214" t="s">
        <v>19</v>
      </c>
      <c r="E38" s="32"/>
      <c r="F38" s="17"/>
      <c r="G38" s="18">
        <f t="shared" si="1"/>
        <v>8306.5</v>
      </c>
      <c r="H38" s="178"/>
      <c r="I38" s="7"/>
      <c r="K38">
        <f>911-338</f>
        <v>573</v>
      </c>
    </row>
    <row r="39" spans="1:16" ht="18" customHeight="1" x14ac:dyDescent="0.25">
      <c r="A39" s="14">
        <f t="shared" si="0"/>
        <v>31</v>
      </c>
      <c r="B39" s="8"/>
      <c r="C39" s="46" t="s">
        <v>415</v>
      </c>
      <c r="D39" s="214" t="s">
        <v>19</v>
      </c>
      <c r="E39" s="32"/>
      <c r="F39" s="17"/>
      <c r="G39" s="18">
        <f t="shared" si="1"/>
        <v>8306.5</v>
      </c>
      <c r="H39" s="178"/>
      <c r="I39" s="7"/>
      <c r="K39">
        <f>+K38-314</f>
        <v>259</v>
      </c>
    </row>
    <row r="40" spans="1:16" ht="18" customHeight="1" x14ac:dyDescent="0.25">
      <c r="A40" s="14">
        <f t="shared" si="0"/>
        <v>32</v>
      </c>
      <c r="B40" s="8"/>
      <c r="C40" s="46" t="s">
        <v>415</v>
      </c>
      <c r="D40" s="214" t="s">
        <v>19</v>
      </c>
      <c r="E40" s="32"/>
      <c r="F40" s="17"/>
      <c r="G40" s="18">
        <f t="shared" si="1"/>
        <v>8306.5</v>
      </c>
      <c r="H40" s="178"/>
      <c r="I40" s="7"/>
    </row>
    <row r="41" spans="1:16" ht="18" customHeight="1" x14ac:dyDescent="0.25">
      <c r="A41" s="14">
        <f t="shared" si="0"/>
        <v>33</v>
      </c>
      <c r="B41" s="8"/>
      <c r="C41" s="46" t="s">
        <v>415</v>
      </c>
      <c r="D41" s="214" t="s">
        <v>19</v>
      </c>
      <c r="E41" s="32"/>
      <c r="F41" s="17"/>
      <c r="G41" s="18">
        <f t="shared" si="1"/>
        <v>8306.5</v>
      </c>
      <c r="H41" s="178"/>
      <c r="I41" s="7"/>
    </row>
    <row r="42" spans="1:16" ht="18" customHeight="1" x14ac:dyDescent="0.25">
      <c r="A42" s="14">
        <f t="shared" si="0"/>
        <v>34</v>
      </c>
      <c r="B42" s="8"/>
      <c r="C42" s="46" t="s">
        <v>415</v>
      </c>
      <c r="D42" s="214" t="s">
        <v>19</v>
      </c>
      <c r="E42" s="32"/>
      <c r="F42" s="172"/>
      <c r="G42" s="18">
        <f t="shared" si="1"/>
        <v>8306.5</v>
      </c>
      <c r="H42" s="178"/>
      <c r="I42" s="7"/>
      <c r="P42" s="162"/>
    </row>
    <row r="43" spans="1:16" ht="18" customHeight="1" x14ac:dyDescent="0.25">
      <c r="A43" s="14">
        <f t="shared" si="0"/>
        <v>35</v>
      </c>
      <c r="B43" s="8"/>
      <c r="C43" s="46" t="s">
        <v>415</v>
      </c>
      <c r="D43" s="214" t="s">
        <v>19</v>
      </c>
      <c r="E43" s="32"/>
      <c r="F43" s="17"/>
      <c r="G43" s="18">
        <f t="shared" si="1"/>
        <v>8306.5</v>
      </c>
      <c r="H43" s="178"/>
      <c r="I43" s="7"/>
    </row>
    <row r="44" spans="1:16" ht="18" customHeight="1" x14ac:dyDescent="0.25">
      <c r="A44" s="14">
        <f t="shared" si="0"/>
        <v>36</v>
      </c>
      <c r="B44" s="8"/>
      <c r="C44" s="46" t="s">
        <v>415</v>
      </c>
      <c r="D44" s="214" t="s">
        <v>19</v>
      </c>
      <c r="E44" s="32"/>
      <c r="F44" s="17"/>
      <c r="G44" s="18">
        <f t="shared" si="1"/>
        <v>8306.5</v>
      </c>
      <c r="H44" s="178"/>
      <c r="I44" s="7"/>
    </row>
    <row r="45" spans="1:16" ht="18" customHeight="1" x14ac:dyDescent="0.25">
      <c r="A45" s="14">
        <f t="shared" si="0"/>
        <v>37</v>
      </c>
      <c r="B45" s="8"/>
      <c r="C45" s="46" t="s">
        <v>415</v>
      </c>
      <c r="D45" s="214" t="s">
        <v>19</v>
      </c>
      <c r="E45" s="32"/>
      <c r="F45" s="17"/>
      <c r="G45" s="18">
        <f t="shared" si="1"/>
        <v>8306.5</v>
      </c>
      <c r="H45" s="178"/>
      <c r="I45" s="7"/>
    </row>
    <row r="46" spans="1:16" ht="18" customHeight="1" x14ac:dyDescent="0.25">
      <c r="A46" s="14">
        <f t="shared" si="0"/>
        <v>38</v>
      </c>
      <c r="B46" s="8"/>
      <c r="C46" s="46" t="s">
        <v>415</v>
      </c>
      <c r="D46" s="214" t="s">
        <v>19</v>
      </c>
      <c r="E46" s="32"/>
      <c r="F46" s="17"/>
      <c r="G46" s="18">
        <f t="shared" si="1"/>
        <v>8306.5</v>
      </c>
      <c r="H46" s="178"/>
      <c r="I46" s="29"/>
    </row>
    <row r="47" spans="1:16" ht="18" customHeight="1" x14ac:dyDescent="0.25">
      <c r="A47" s="14">
        <f t="shared" si="0"/>
        <v>39</v>
      </c>
      <c r="B47" s="8"/>
      <c r="C47" s="46" t="s">
        <v>415</v>
      </c>
      <c r="D47" s="214" t="s">
        <v>19</v>
      </c>
      <c r="E47" s="32"/>
      <c r="F47" s="17"/>
      <c r="G47" s="18">
        <f t="shared" si="1"/>
        <v>8306.5</v>
      </c>
      <c r="H47" s="178"/>
      <c r="I47" s="29"/>
    </row>
    <row r="48" spans="1:16" ht="18" customHeight="1" x14ac:dyDescent="0.25">
      <c r="A48" s="14">
        <f t="shared" si="0"/>
        <v>40</v>
      </c>
      <c r="B48" s="8"/>
      <c r="C48" s="46" t="s">
        <v>415</v>
      </c>
      <c r="D48" s="214" t="s">
        <v>19</v>
      </c>
      <c r="E48" s="32"/>
      <c r="F48" s="17"/>
      <c r="G48" s="18">
        <f t="shared" si="1"/>
        <v>8306.5</v>
      </c>
      <c r="H48" s="178"/>
      <c r="I48" s="29"/>
    </row>
    <row r="49" spans="1:16" ht="18" customHeight="1" x14ac:dyDescent="0.25">
      <c r="A49" s="14">
        <f t="shared" si="0"/>
        <v>41</v>
      </c>
      <c r="B49" s="8"/>
      <c r="C49" s="46" t="s">
        <v>415</v>
      </c>
      <c r="D49" s="214" t="s">
        <v>19</v>
      </c>
      <c r="E49" s="32"/>
      <c r="F49" s="17"/>
      <c r="G49" s="18">
        <f t="shared" si="1"/>
        <v>8306.5</v>
      </c>
      <c r="H49" s="178"/>
      <c r="I49" s="29"/>
    </row>
    <row r="50" spans="1:16" ht="18" customHeight="1" x14ac:dyDescent="0.25">
      <c r="A50" s="14">
        <f t="shared" si="0"/>
        <v>42</v>
      </c>
      <c r="B50" s="8"/>
      <c r="C50" s="46" t="s">
        <v>415</v>
      </c>
      <c r="D50" s="214" t="s">
        <v>19</v>
      </c>
      <c r="E50" s="32"/>
      <c r="F50" s="17"/>
      <c r="G50" s="18">
        <f t="shared" si="1"/>
        <v>8306.5</v>
      </c>
      <c r="H50" s="178"/>
      <c r="I50" s="7"/>
    </row>
    <row r="51" spans="1:16" s="162" customFormat="1" ht="18" customHeight="1" x14ac:dyDescent="0.25">
      <c r="A51" s="14">
        <f t="shared" si="0"/>
        <v>43</v>
      </c>
      <c r="B51" s="174"/>
      <c r="C51" s="46" t="s">
        <v>415</v>
      </c>
      <c r="D51" s="237" t="s">
        <v>19</v>
      </c>
      <c r="E51" s="175"/>
      <c r="F51" s="172"/>
      <c r="G51" s="18">
        <f t="shared" si="1"/>
        <v>8306.5</v>
      </c>
      <c r="H51" s="178"/>
      <c r="I51" s="7"/>
      <c r="P51"/>
    </row>
    <row r="52" spans="1:16" ht="18" customHeight="1" x14ac:dyDescent="0.25">
      <c r="A52" s="14">
        <f t="shared" si="0"/>
        <v>44</v>
      </c>
      <c r="B52" s="8"/>
      <c r="C52" s="46" t="s">
        <v>415</v>
      </c>
      <c r="D52" s="214" t="s">
        <v>19</v>
      </c>
      <c r="E52" s="32"/>
      <c r="F52" s="17"/>
      <c r="G52" s="18">
        <f t="shared" si="1"/>
        <v>8306.5</v>
      </c>
      <c r="H52" s="239"/>
      <c r="I52" s="7"/>
    </row>
    <row r="53" spans="1:16" ht="18" customHeight="1" x14ac:dyDescent="0.25">
      <c r="A53" s="14">
        <f t="shared" si="0"/>
        <v>45</v>
      </c>
      <c r="B53" s="8"/>
      <c r="C53" s="46" t="s">
        <v>415</v>
      </c>
      <c r="D53" s="214" t="s">
        <v>19</v>
      </c>
      <c r="E53" s="32"/>
      <c r="F53" s="17"/>
      <c r="G53" s="18">
        <f t="shared" si="1"/>
        <v>8306.5</v>
      </c>
      <c r="H53" s="239"/>
      <c r="I53" s="7"/>
    </row>
    <row r="54" spans="1:16" ht="18" customHeight="1" x14ac:dyDescent="0.25">
      <c r="A54" s="14">
        <f t="shared" si="0"/>
        <v>46</v>
      </c>
      <c r="B54" s="8"/>
      <c r="C54" s="46" t="s">
        <v>415</v>
      </c>
      <c r="D54" s="214" t="s">
        <v>19</v>
      </c>
      <c r="E54" s="32"/>
      <c r="F54" s="17"/>
      <c r="G54" s="18">
        <f t="shared" si="1"/>
        <v>8306.5</v>
      </c>
      <c r="H54" s="239"/>
      <c r="I54" s="7"/>
    </row>
    <row r="55" spans="1:16" ht="18" customHeight="1" x14ac:dyDescent="0.25">
      <c r="A55" s="14">
        <f t="shared" si="0"/>
        <v>47</v>
      </c>
      <c r="B55" s="8"/>
      <c r="C55" s="46" t="s">
        <v>415</v>
      </c>
      <c r="D55" s="214" t="s">
        <v>19</v>
      </c>
      <c r="E55" s="32"/>
      <c r="F55" s="17"/>
      <c r="G55" s="18">
        <f t="shared" si="1"/>
        <v>8306.5</v>
      </c>
      <c r="H55" s="28"/>
      <c r="I55" s="7"/>
    </row>
    <row r="56" spans="1:16" ht="18" customHeight="1" x14ac:dyDescent="0.25">
      <c r="A56" s="14">
        <f t="shared" si="0"/>
        <v>48</v>
      </c>
      <c r="B56" s="8"/>
      <c r="C56" s="46" t="s">
        <v>415</v>
      </c>
      <c r="D56" s="214" t="s">
        <v>19</v>
      </c>
      <c r="E56" s="32"/>
      <c r="F56" s="17"/>
      <c r="G56" s="18">
        <f t="shared" si="1"/>
        <v>8306.5</v>
      </c>
      <c r="H56" s="240"/>
      <c r="I56" s="7"/>
    </row>
    <row r="57" spans="1:16" ht="18" customHeight="1" x14ac:dyDescent="0.25">
      <c r="A57" s="14">
        <f t="shared" si="0"/>
        <v>49</v>
      </c>
      <c r="B57" s="8"/>
      <c r="C57" s="46" t="s">
        <v>415</v>
      </c>
      <c r="D57" s="214" t="s">
        <v>19</v>
      </c>
      <c r="E57" s="32"/>
      <c r="F57" s="17"/>
      <c r="G57" s="18">
        <f t="shared" si="1"/>
        <v>8306.5</v>
      </c>
      <c r="H57" s="240"/>
      <c r="I57" s="7"/>
    </row>
    <row r="58" spans="1:16" ht="18" customHeight="1" x14ac:dyDescent="0.25">
      <c r="A58" s="14">
        <f t="shared" si="0"/>
        <v>50</v>
      </c>
      <c r="B58" s="8"/>
      <c r="C58" s="46" t="s">
        <v>415</v>
      </c>
      <c r="D58" s="214" t="s">
        <v>19</v>
      </c>
      <c r="E58" s="32"/>
      <c r="F58" s="17"/>
      <c r="G58" s="18">
        <f t="shared" si="1"/>
        <v>8306.5</v>
      </c>
      <c r="H58" s="240"/>
      <c r="I58" s="7" t="s">
        <v>14</v>
      </c>
    </row>
    <row r="59" spans="1:16" ht="18" customHeight="1" x14ac:dyDescent="0.25">
      <c r="A59" s="14">
        <f t="shared" si="0"/>
        <v>51</v>
      </c>
      <c r="B59" s="8"/>
      <c r="C59" s="46" t="s">
        <v>415</v>
      </c>
      <c r="D59" s="214" t="s">
        <v>19</v>
      </c>
      <c r="E59" s="32"/>
      <c r="F59" s="17"/>
      <c r="G59" s="18">
        <f t="shared" si="1"/>
        <v>8306.5</v>
      </c>
      <c r="H59" s="240"/>
      <c r="I59" s="7" t="s">
        <v>14</v>
      </c>
    </row>
    <row r="60" spans="1:16" ht="18" customHeight="1" x14ac:dyDescent="0.25">
      <c r="A60" s="14">
        <f t="shared" si="0"/>
        <v>52</v>
      </c>
      <c r="B60" s="8"/>
      <c r="C60" s="46" t="s">
        <v>415</v>
      </c>
      <c r="D60" s="214" t="s">
        <v>19</v>
      </c>
      <c r="E60" s="32"/>
      <c r="F60" s="17"/>
      <c r="G60" s="18">
        <f t="shared" si="1"/>
        <v>8306.5</v>
      </c>
      <c r="H60" s="240"/>
      <c r="I60" s="7" t="s">
        <v>14</v>
      </c>
    </row>
    <row r="61" spans="1:16" ht="18" customHeight="1" x14ac:dyDescent="0.25">
      <c r="A61" s="14">
        <f t="shared" si="0"/>
        <v>53</v>
      </c>
      <c r="B61" s="8"/>
      <c r="C61" s="46" t="s">
        <v>415</v>
      </c>
      <c r="D61" s="214" t="s">
        <v>19</v>
      </c>
      <c r="E61" s="32"/>
      <c r="F61" s="17"/>
      <c r="G61" s="18">
        <f t="shared" si="1"/>
        <v>8306.5</v>
      </c>
      <c r="H61" s="240"/>
      <c r="I61" s="7" t="s">
        <v>14</v>
      </c>
    </row>
    <row r="62" spans="1:16" ht="18" customHeight="1" x14ac:dyDescent="0.25">
      <c r="A62" s="14">
        <f t="shared" si="0"/>
        <v>54</v>
      </c>
      <c r="B62" s="8"/>
      <c r="C62" s="46" t="s">
        <v>415</v>
      </c>
      <c r="D62" s="214" t="s">
        <v>19</v>
      </c>
      <c r="E62" s="32"/>
      <c r="F62" s="17"/>
      <c r="G62" s="18">
        <f t="shared" si="1"/>
        <v>8306.5</v>
      </c>
      <c r="H62" s="240"/>
      <c r="I62" s="7" t="s">
        <v>14</v>
      </c>
    </row>
    <row r="63" spans="1:16" ht="18" customHeight="1" x14ac:dyDescent="0.25">
      <c r="A63" s="14">
        <f t="shared" si="0"/>
        <v>55</v>
      </c>
      <c r="B63" s="8"/>
      <c r="C63" s="46" t="s">
        <v>415</v>
      </c>
      <c r="D63" s="214" t="s">
        <v>19</v>
      </c>
      <c r="E63" s="32"/>
      <c r="F63" s="17"/>
      <c r="G63" s="18">
        <f t="shared" si="1"/>
        <v>8306.5</v>
      </c>
      <c r="H63" s="240"/>
      <c r="I63" s="7" t="s">
        <v>14</v>
      </c>
    </row>
    <row r="64" spans="1:16" ht="18" customHeight="1" x14ac:dyDescent="0.25">
      <c r="A64" s="14">
        <f t="shared" si="0"/>
        <v>56</v>
      </c>
      <c r="B64" s="8"/>
      <c r="C64" s="46" t="s">
        <v>415</v>
      </c>
      <c r="D64" s="214" t="s">
        <v>19</v>
      </c>
      <c r="E64" s="32"/>
      <c r="F64" s="17"/>
      <c r="G64" s="18">
        <f t="shared" si="1"/>
        <v>8306.5</v>
      </c>
      <c r="H64" s="240"/>
      <c r="I64" s="7" t="s">
        <v>14</v>
      </c>
    </row>
    <row r="65" spans="1:10" ht="18" customHeight="1" x14ac:dyDescent="0.25">
      <c r="A65" s="14">
        <f t="shared" si="0"/>
        <v>57</v>
      </c>
      <c r="B65" s="8"/>
      <c r="C65" s="46" t="s">
        <v>415</v>
      </c>
      <c r="D65" s="214" t="s">
        <v>19</v>
      </c>
      <c r="E65" s="32"/>
      <c r="F65" s="17"/>
      <c r="G65" s="18">
        <f t="shared" si="1"/>
        <v>8306.5</v>
      </c>
      <c r="H65" s="240"/>
      <c r="I65" s="7" t="s">
        <v>14</v>
      </c>
    </row>
    <row r="66" spans="1:10" ht="18" customHeight="1" x14ac:dyDescent="0.25">
      <c r="A66" s="14">
        <f t="shared" si="0"/>
        <v>58</v>
      </c>
      <c r="B66" s="8"/>
      <c r="C66" s="46" t="s">
        <v>415</v>
      </c>
      <c r="D66" s="214" t="s">
        <v>19</v>
      </c>
      <c r="E66" s="32"/>
      <c r="F66" s="17"/>
      <c r="G66" s="18">
        <f t="shared" si="1"/>
        <v>8306.5</v>
      </c>
      <c r="H66" s="240"/>
      <c r="I66" s="7" t="s">
        <v>14</v>
      </c>
      <c r="J66" s="26"/>
    </row>
    <row r="67" spans="1:10" ht="18" customHeight="1" x14ac:dyDescent="0.25">
      <c r="A67" s="14">
        <f t="shared" si="0"/>
        <v>59</v>
      </c>
      <c r="B67" s="8"/>
      <c r="C67" s="46" t="s">
        <v>415</v>
      </c>
      <c r="D67" s="214" t="s">
        <v>19</v>
      </c>
      <c r="E67" s="32"/>
      <c r="F67" s="17"/>
      <c r="G67" s="18">
        <f t="shared" si="1"/>
        <v>8306.5</v>
      </c>
      <c r="H67" s="240"/>
      <c r="I67" s="7" t="s">
        <v>14</v>
      </c>
    </row>
    <row r="68" spans="1:10" ht="18" customHeight="1" x14ac:dyDescent="0.25">
      <c r="A68" s="14">
        <f t="shared" si="0"/>
        <v>60</v>
      </c>
      <c r="B68" s="8"/>
      <c r="C68" s="46" t="s">
        <v>415</v>
      </c>
      <c r="D68" s="214" t="s">
        <v>19</v>
      </c>
      <c r="E68" s="32"/>
      <c r="F68" s="17"/>
      <c r="G68" s="18">
        <f t="shared" si="1"/>
        <v>8306.5</v>
      </c>
      <c r="H68" s="240"/>
      <c r="I68" s="7" t="s">
        <v>14</v>
      </c>
    </row>
    <row r="69" spans="1:10" ht="18" customHeight="1" x14ac:dyDescent="0.25">
      <c r="A69" s="14">
        <f t="shared" si="0"/>
        <v>61</v>
      </c>
      <c r="B69" s="8"/>
      <c r="C69" s="46" t="s">
        <v>415</v>
      </c>
      <c r="D69" s="214" t="s">
        <v>19</v>
      </c>
      <c r="E69" s="32"/>
      <c r="F69" s="17"/>
      <c r="G69" s="18">
        <f t="shared" si="1"/>
        <v>8306.5</v>
      </c>
      <c r="H69" s="240"/>
      <c r="I69" s="7" t="s">
        <v>14</v>
      </c>
    </row>
    <row r="70" spans="1:10" ht="18" customHeight="1" x14ac:dyDescent="0.25">
      <c r="A70" s="14">
        <f t="shared" si="0"/>
        <v>62</v>
      </c>
      <c r="B70" s="8"/>
      <c r="C70" s="46" t="s">
        <v>415</v>
      </c>
      <c r="D70" s="214" t="s">
        <v>19</v>
      </c>
      <c r="E70" s="32"/>
      <c r="F70" s="17"/>
      <c r="G70" s="18">
        <f t="shared" si="1"/>
        <v>8306.5</v>
      </c>
      <c r="H70" s="240"/>
      <c r="I70" s="7" t="s">
        <v>14</v>
      </c>
    </row>
    <row r="71" spans="1:10" ht="18" customHeight="1" x14ac:dyDescent="0.25">
      <c r="A71" s="14">
        <f t="shared" si="0"/>
        <v>63</v>
      </c>
      <c r="B71" s="8"/>
      <c r="C71" s="46" t="s">
        <v>415</v>
      </c>
      <c r="D71" s="214" t="s">
        <v>19</v>
      </c>
      <c r="E71" s="32"/>
      <c r="F71" s="17"/>
      <c r="G71" s="18">
        <f t="shared" si="1"/>
        <v>8306.5</v>
      </c>
      <c r="H71" s="240"/>
      <c r="I71" s="7" t="s">
        <v>14</v>
      </c>
    </row>
    <row r="72" spans="1:10" ht="18" customHeight="1" x14ac:dyDescent="0.25">
      <c r="A72" s="14">
        <f t="shared" si="0"/>
        <v>64</v>
      </c>
      <c r="B72" s="8"/>
      <c r="C72" s="46" t="s">
        <v>415</v>
      </c>
      <c r="D72" s="214" t="s">
        <v>19</v>
      </c>
      <c r="E72" s="32"/>
      <c r="F72" s="17"/>
      <c r="G72" s="18">
        <f t="shared" si="1"/>
        <v>8306.5</v>
      </c>
      <c r="H72" s="240"/>
      <c r="I72" s="7" t="s">
        <v>14</v>
      </c>
    </row>
    <row r="73" spans="1:10" ht="18" customHeight="1" x14ac:dyDescent="0.25">
      <c r="A73" s="14">
        <f t="shared" si="0"/>
        <v>65</v>
      </c>
      <c r="B73" s="8"/>
      <c r="C73" s="46" t="s">
        <v>415</v>
      </c>
      <c r="D73" s="214" t="s">
        <v>19</v>
      </c>
      <c r="E73" s="32"/>
      <c r="F73" s="17"/>
      <c r="G73" s="18">
        <f t="shared" si="1"/>
        <v>8306.5</v>
      </c>
      <c r="H73" s="240"/>
      <c r="I73" s="7" t="s">
        <v>14</v>
      </c>
    </row>
    <row r="74" spans="1:10" ht="18" customHeight="1" x14ac:dyDescent="0.25">
      <c r="A74" s="14">
        <f t="shared" ref="A74:A105" si="2">+A73+1</f>
        <v>66</v>
      </c>
      <c r="B74" s="8"/>
      <c r="C74" s="46" t="s">
        <v>415</v>
      </c>
      <c r="D74" s="214" t="s">
        <v>19</v>
      </c>
      <c r="E74" s="32"/>
      <c r="F74" s="17"/>
      <c r="G74" s="18">
        <f t="shared" ref="G74:G108" si="3">+G73+E74-F74</f>
        <v>8306.5</v>
      </c>
      <c r="H74" s="240"/>
      <c r="I74" s="7" t="s">
        <v>14</v>
      </c>
    </row>
    <row r="75" spans="1:10" ht="18" customHeight="1" x14ac:dyDescent="0.25">
      <c r="A75" s="14">
        <f t="shared" si="2"/>
        <v>67</v>
      </c>
      <c r="B75" s="8"/>
      <c r="C75" s="46" t="s">
        <v>415</v>
      </c>
      <c r="D75" s="214" t="s">
        <v>19</v>
      </c>
      <c r="E75" s="32"/>
      <c r="F75" s="17"/>
      <c r="G75" s="18">
        <f t="shared" si="3"/>
        <v>8306.5</v>
      </c>
      <c r="H75" s="240"/>
      <c r="I75" s="7" t="s">
        <v>14</v>
      </c>
    </row>
    <row r="76" spans="1:10" ht="18" customHeight="1" x14ac:dyDescent="0.25">
      <c r="A76" s="14">
        <f t="shared" si="2"/>
        <v>68</v>
      </c>
      <c r="B76" s="8"/>
      <c r="C76" s="46" t="s">
        <v>415</v>
      </c>
      <c r="D76" s="214" t="s">
        <v>19</v>
      </c>
      <c r="E76" s="32"/>
      <c r="F76" s="17"/>
      <c r="G76" s="18">
        <f t="shared" si="3"/>
        <v>8306.5</v>
      </c>
      <c r="H76" s="240"/>
      <c r="I76" s="7" t="s">
        <v>14</v>
      </c>
    </row>
    <row r="77" spans="1:10" ht="18" customHeight="1" x14ac:dyDescent="0.25">
      <c r="A77" s="14">
        <f t="shared" si="2"/>
        <v>69</v>
      </c>
      <c r="B77" s="8"/>
      <c r="C77" s="46" t="s">
        <v>415</v>
      </c>
      <c r="D77" s="214" t="s">
        <v>19</v>
      </c>
      <c r="E77" s="32"/>
      <c r="F77" s="17"/>
      <c r="G77" s="18">
        <f t="shared" si="3"/>
        <v>8306.5</v>
      </c>
      <c r="H77" s="240"/>
      <c r="I77" s="7" t="s">
        <v>14</v>
      </c>
    </row>
    <row r="78" spans="1:10" ht="18" customHeight="1" x14ac:dyDescent="0.25">
      <c r="A78" s="14">
        <f t="shared" si="2"/>
        <v>70</v>
      </c>
      <c r="B78" s="8"/>
      <c r="C78" s="46" t="s">
        <v>415</v>
      </c>
      <c r="D78" s="214" t="s">
        <v>19</v>
      </c>
      <c r="E78" s="32"/>
      <c r="F78" s="17"/>
      <c r="G78" s="18">
        <f t="shared" si="3"/>
        <v>8306.5</v>
      </c>
      <c r="H78" s="240"/>
      <c r="I78" s="7" t="s">
        <v>14</v>
      </c>
    </row>
    <row r="79" spans="1:10" ht="18" customHeight="1" x14ac:dyDescent="0.25">
      <c r="A79" s="14">
        <f t="shared" si="2"/>
        <v>71</v>
      </c>
      <c r="B79" s="8"/>
      <c r="C79" s="46" t="s">
        <v>415</v>
      </c>
      <c r="D79" s="214" t="s">
        <v>19</v>
      </c>
      <c r="E79" s="32"/>
      <c r="F79" s="17"/>
      <c r="G79" s="18">
        <f t="shared" si="3"/>
        <v>8306.5</v>
      </c>
      <c r="H79" s="240"/>
      <c r="I79" s="7" t="s">
        <v>14</v>
      </c>
    </row>
    <row r="80" spans="1:10" ht="18" customHeight="1" x14ac:dyDescent="0.25">
      <c r="A80" s="14">
        <f t="shared" si="2"/>
        <v>72</v>
      </c>
      <c r="B80" s="8"/>
      <c r="C80" s="46" t="s">
        <v>415</v>
      </c>
      <c r="D80" s="214" t="s">
        <v>19</v>
      </c>
      <c r="E80" s="32"/>
      <c r="F80" s="17"/>
      <c r="G80" s="18">
        <f t="shared" si="3"/>
        <v>8306.5</v>
      </c>
      <c r="H80" s="240"/>
      <c r="I80" s="7" t="s">
        <v>14</v>
      </c>
    </row>
    <row r="81" spans="1:17" ht="18" customHeight="1" x14ac:dyDescent="0.25">
      <c r="A81" s="14">
        <f t="shared" si="2"/>
        <v>73</v>
      </c>
      <c r="B81" s="8"/>
      <c r="C81" s="46" t="s">
        <v>415</v>
      </c>
      <c r="D81" s="214" t="s">
        <v>19</v>
      </c>
      <c r="E81" s="32"/>
      <c r="F81" s="17"/>
      <c r="G81" s="18">
        <f t="shared" si="3"/>
        <v>8306.5</v>
      </c>
      <c r="H81" s="240"/>
      <c r="I81" s="7" t="s">
        <v>14</v>
      </c>
    </row>
    <row r="82" spans="1:17" ht="18" customHeight="1" x14ac:dyDescent="0.25">
      <c r="A82" s="14">
        <f t="shared" si="2"/>
        <v>74</v>
      </c>
      <c r="B82" s="8"/>
      <c r="C82" s="46" t="s">
        <v>415</v>
      </c>
      <c r="D82" s="214" t="s">
        <v>19</v>
      </c>
      <c r="E82" s="32"/>
      <c r="F82" s="17"/>
      <c r="G82" s="18">
        <f t="shared" si="3"/>
        <v>8306.5</v>
      </c>
      <c r="H82" s="240"/>
      <c r="I82" s="7" t="s">
        <v>14</v>
      </c>
    </row>
    <row r="83" spans="1:17" ht="18" customHeight="1" x14ac:dyDescent="0.25">
      <c r="A83" s="14">
        <f t="shared" si="2"/>
        <v>75</v>
      </c>
      <c r="B83" s="8"/>
      <c r="C83" s="46" t="s">
        <v>415</v>
      </c>
      <c r="D83" s="214" t="s">
        <v>19</v>
      </c>
      <c r="E83" s="32"/>
      <c r="F83" s="17"/>
      <c r="G83" s="18">
        <f t="shared" si="3"/>
        <v>8306.5</v>
      </c>
      <c r="H83" s="240"/>
      <c r="I83" s="7" t="s">
        <v>14</v>
      </c>
    </row>
    <row r="84" spans="1:17" ht="18" customHeight="1" x14ac:dyDescent="0.25">
      <c r="A84" s="14">
        <f t="shared" si="2"/>
        <v>76</v>
      </c>
      <c r="B84" s="8"/>
      <c r="C84" s="46" t="s">
        <v>415</v>
      </c>
      <c r="D84" s="214" t="s">
        <v>19</v>
      </c>
      <c r="E84" s="32"/>
      <c r="F84" s="27"/>
      <c r="G84" s="18">
        <f t="shared" si="3"/>
        <v>8306.5</v>
      </c>
      <c r="H84" s="240"/>
      <c r="I84" s="7" t="s">
        <v>14</v>
      </c>
    </row>
    <row r="85" spans="1:17" ht="18" customHeight="1" x14ac:dyDescent="0.25">
      <c r="A85" s="14">
        <f t="shared" si="2"/>
        <v>77</v>
      </c>
      <c r="B85" s="8"/>
      <c r="C85" s="46" t="s">
        <v>415</v>
      </c>
      <c r="D85" s="214" t="s">
        <v>19</v>
      </c>
      <c r="E85" s="32"/>
      <c r="F85" s="17"/>
      <c r="G85" s="18">
        <f t="shared" si="3"/>
        <v>8306.5</v>
      </c>
      <c r="H85" s="240"/>
      <c r="I85" s="7" t="s">
        <v>14</v>
      </c>
    </row>
    <row r="86" spans="1:17" ht="18" customHeight="1" x14ac:dyDescent="0.25">
      <c r="A86" s="14">
        <f t="shared" si="2"/>
        <v>78</v>
      </c>
      <c r="B86" s="8"/>
      <c r="C86" s="46" t="s">
        <v>415</v>
      </c>
      <c r="D86" s="214" t="s">
        <v>19</v>
      </c>
      <c r="E86" s="32"/>
      <c r="F86" s="17"/>
      <c r="G86" s="18">
        <f t="shared" si="3"/>
        <v>8306.5</v>
      </c>
      <c r="H86" s="240"/>
      <c r="I86" s="7" t="s">
        <v>14</v>
      </c>
    </row>
    <row r="87" spans="1:17" ht="18" customHeight="1" x14ac:dyDescent="0.25">
      <c r="A87" s="14">
        <f t="shared" si="2"/>
        <v>79</v>
      </c>
      <c r="B87" s="8"/>
      <c r="C87" s="46" t="s">
        <v>415</v>
      </c>
      <c r="D87" s="214" t="s">
        <v>19</v>
      </c>
      <c r="E87" s="32"/>
      <c r="F87" s="17"/>
      <c r="G87" s="18">
        <f t="shared" si="3"/>
        <v>8306.5</v>
      </c>
      <c r="H87" s="240"/>
      <c r="I87" s="7" t="s">
        <v>14</v>
      </c>
    </row>
    <row r="88" spans="1:17" ht="18" customHeight="1" x14ac:dyDescent="0.25">
      <c r="A88" s="14">
        <f t="shared" si="2"/>
        <v>80</v>
      </c>
      <c r="B88" s="8"/>
      <c r="C88" s="46" t="s">
        <v>415</v>
      </c>
      <c r="D88" s="214" t="s">
        <v>19</v>
      </c>
      <c r="E88" s="32"/>
      <c r="F88" s="17"/>
      <c r="G88" s="18">
        <f t="shared" si="3"/>
        <v>8306.5</v>
      </c>
      <c r="H88" s="240"/>
      <c r="I88" s="7" t="s">
        <v>14</v>
      </c>
    </row>
    <row r="89" spans="1:17" ht="18" customHeight="1" x14ac:dyDescent="0.25">
      <c r="A89" s="14">
        <f t="shared" si="2"/>
        <v>81</v>
      </c>
      <c r="B89" s="8"/>
      <c r="C89" s="46" t="s">
        <v>415</v>
      </c>
      <c r="D89" s="214" t="s">
        <v>19</v>
      </c>
      <c r="E89" s="32"/>
      <c r="F89" s="17"/>
      <c r="G89" s="18">
        <f t="shared" si="3"/>
        <v>8306.5</v>
      </c>
      <c r="H89" s="240"/>
      <c r="I89" s="7" t="s">
        <v>14</v>
      </c>
    </row>
    <row r="90" spans="1:17" ht="18" customHeight="1" x14ac:dyDescent="0.25">
      <c r="A90" s="14">
        <f t="shared" si="2"/>
        <v>82</v>
      </c>
      <c r="B90" s="8"/>
      <c r="C90" s="46" t="s">
        <v>415</v>
      </c>
      <c r="D90" s="214" t="s">
        <v>19</v>
      </c>
      <c r="E90" s="32"/>
      <c r="F90" s="17"/>
      <c r="G90" s="18">
        <f t="shared" si="3"/>
        <v>8306.5</v>
      </c>
      <c r="H90" s="240"/>
      <c r="I90" s="7" t="s">
        <v>14</v>
      </c>
    </row>
    <row r="91" spans="1:17" ht="18" customHeight="1" x14ac:dyDescent="0.25">
      <c r="A91" s="14">
        <f t="shared" si="2"/>
        <v>83</v>
      </c>
      <c r="B91" s="8"/>
      <c r="C91" s="46" t="s">
        <v>415</v>
      </c>
      <c r="D91" s="214" t="s">
        <v>19</v>
      </c>
      <c r="E91" s="32"/>
      <c r="F91" s="17"/>
      <c r="G91" s="18">
        <f t="shared" si="3"/>
        <v>8306.5</v>
      </c>
      <c r="H91" s="240"/>
      <c r="I91" s="7" t="s">
        <v>14</v>
      </c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415</v>
      </c>
      <c r="D92" s="214" t="s">
        <v>19</v>
      </c>
      <c r="E92" s="32"/>
      <c r="F92" s="27"/>
      <c r="G92" s="18">
        <f t="shared" si="3"/>
        <v>8306.5</v>
      </c>
      <c r="H92" s="240"/>
      <c r="I92" s="7" t="s">
        <v>14</v>
      </c>
      <c r="L92" s="199"/>
      <c r="Q92" s="199"/>
    </row>
    <row r="93" spans="1:17" ht="18" customHeight="1" x14ac:dyDescent="0.25">
      <c r="A93" s="14">
        <f t="shared" si="2"/>
        <v>85</v>
      </c>
      <c r="B93" s="8"/>
      <c r="C93" s="46" t="s">
        <v>415</v>
      </c>
      <c r="D93" s="214" t="s">
        <v>19</v>
      </c>
      <c r="E93" s="32"/>
      <c r="F93" s="27"/>
      <c r="G93" s="18">
        <f t="shared" si="3"/>
        <v>8306.5</v>
      </c>
      <c r="H93" s="240"/>
      <c r="I93" s="7" t="s">
        <v>14</v>
      </c>
      <c r="L93" s="199"/>
      <c r="Q93" s="199"/>
    </row>
    <row r="94" spans="1:17" s="179" customFormat="1" ht="18" customHeight="1" x14ac:dyDescent="0.25">
      <c r="A94" s="14">
        <f t="shared" si="2"/>
        <v>86</v>
      </c>
      <c r="B94" s="242"/>
      <c r="C94" s="46" t="s">
        <v>415</v>
      </c>
      <c r="D94" s="244" t="s">
        <v>19</v>
      </c>
      <c r="E94" s="245"/>
      <c r="F94" s="52"/>
      <c r="G94" s="18">
        <f t="shared" si="3"/>
        <v>8306.5</v>
      </c>
      <c r="H94" s="240"/>
      <c r="I94" s="247" t="s">
        <v>14</v>
      </c>
      <c r="J94" s="179" t="s">
        <v>43</v>
      </c>
      <c r="L94" s="248"/>
      <c r="Q94" s="248"/>
    </row>
    <row r="95" spans="1:17" s="179" customFormat="1" ht="18" customHeight="1" x14ac:dyDescent="0.25">
      <c r="A95" s="14">
        <f t="shared" si="2"/>
        <v>87</v>
      </c>
      <c r="B95" s="242"/>
      <c r="C95" s="46" t="s">
        <v>415</v>
      </c>
      <c r="D95" s="244" t="s">
        <v>19</v>
      </c>
      <c r="E95" s="245"/>
      <c r="F95" s="52"/>
      <c r="G95" s="18">
        <f t="shared" si="3"/>
        <v>8306.5</v>
      </c>
      <c r="H95" s="240"/>
      <c r="I95" s="247" t="s">
        <v>14</v>
      </c>
      <c r="L95" s="248"/>
      <c r="Q95" s="248"/>
    </row>
    <row r="96" spans="1:17" s="179" customFormat="1" ht="18" customHeight="1" x14ac:dyDescent="0.25">
      <c r="A96" s="14">
        <f t="shared" si="2"/>
        <v>88</v>
      </c>
      <c r="B96" s="242"/>
      <c r="C96" s="46" t="s">
        <v>415</v>
      </c>
      <c r="D96" s="244" t="s">
        <v>19</v>
      </c>
      <c r="E96" s="245"/>
      <c r="F96" s="52"/>
      <c r="G96" s="18">
        <f t="shared" si="3"/>
        <v>8306.5</v>
      </c>
      <c r="H96" s="240"/>
      <c r="I96" s="247" t="s">
        <v>14</v>
      </c>
      <c r="L96" s="248"/>
      <c r="Q96" s="248"/>
    </row>
    <row r="97" spans="1:17" s="179" customFormat="1" ht="18" customHeight="1" x14ac:dyDescent="0.25">
      <c r="A97" s="14">
        <f t="shared" si="2"/>
        <v>89</v>
      </c>
      <c r="B97" s="242"/>
      <c r="C97" s="46" t="s">
        <v>415</v>
      </c>
      <c r="D97" s="244" t="s">
        <v>19</v>
      </c>
      <c r="E97" s="245"/>
      <c r="F97" s="52"/>
      <c r="G97" s="18">
        <f t="shared" si="3"/>
        <v>8306.5</v>
      </c>
      <c r="H97" s="240"/>
      <c r="I97" s="247" t="s">
        <v>14</v>
      </c>
      <c r="L97" s="248"/>
      <c r="Q97" s="248"/>
    </row>
    <row r="98" spans="1:17" s="179" customFormat="1" ht="18" customHeight="1" x14ac:dyDescent="0.25">
      <c r="A98" s="14">
        <f t="shared" si="2"/>
        <v>90</v>
      </c>
      <c r="B98" s="242"/>
      <c r="C98" s="46" t="s">
        <v>415</v>
      </c>
      <c r="D98" s="244" t="s">
        <v>19</v>
      </c>
      <c r="E98" s="245"/>
      <c r="F98" s="52"/>
      <c r="G98" s="18">
        <f t="shared" si="3"/>
        <v>8306.5</v>
      </c>
      <c r="H98" s="240"/>
      <c r="I98" s="247" t="s">
        <v>14</v>
      </c>
      <c r="L98" s="248"/>
      <c r="Q98" s="248"/>
    </row>
    <row r="99" spans="1:17" s="179" customFormat="1" ht="18" customHeight="1" x14ac:dyDescent="0.25">
      <c r="A99" s="14">
        <f t="shared" si="2"/>
        <v>91</v>
      </c>
      <c r="B99" s="242"/>
      <c r="C99" s="46" t="s">
        <v>415</v>
      </c>
      <c r="D99" s="244" t="s">
        <v>19</v>
      </c>
      <c r="E99" s="245"/>
      <c r="F99" s="52"/>
      <c r="G99" s="18">
        <f t="shared" si="3"/>
        <v>8306.5</v>
      </c>
      <c r="H99" s="240"/>
      <c r="I99" s="247" t="s">
        <v>14</v>
      </c>
      <c r="L99" s="248"/>
      <c r="Q99" s="248"/>
    </row>
    <row r="100" spans="1:17" s="179" customFormat="1" ht="18" customHeight="1" x14ac:dyDescent="0.25">
      <c r="A100" s="14">
        <f t="shared" si="2"/>
        <v>92</v>
      </c>
      <c r="B100" s="242"/>
      <c r="C100" s="46" t="s">
        <v>415</v>
      </c>
      <c r="D100" s="244" t="s">
        <v>19</v>
      </c>
      <c r="E100" s="245"/>
      <c r="F100" s="52"/>
      <c r="G100" s="18">
        <f t="shared" si="3"/>
        <v>8306.5</v>
      </c>
      <c r="H100" s="240"/>
      <c r="I100" s="247" t="s">
        <v>14</v>
      </c>
      <c r="L100" s="248"/>
      <c r="Q100" s="248"/>
    </row>
    <row r="101" spans="1:17" s="179" customFormat="1" ht="18" customHeight="1" x14ac:dyDescent="0.25">
      <c r="A101" s="14">
        <f t="shared" si="2"/>
        <v>93</v>
      </c>
      <c r="B101" s="242"/>
      <c r="C101" s="46" t="s">
        <v>415</v>
      </c>
      <c r="D101" s="244" t="s">
        <v>19</v>
      </c>
      <c r="E101" s="245"/>
      <c r="F101" s="52"/>
      <c r="G101" s="18">
        <f t="shared" si="3"/>
        <v>8306.5</v>
      </c>
      <c r="H101" s="240"/>
      <c r="I101" s="247" t="s">
        <v>14</v>
      </c>
      <c r="L101" s="248"/>
      <c r="Q101" s="248"/>
    </row>
    <row r="102" spans="1:17" s="179" customFormat="1" ht="18" customHeight="1" x14ac:dyDescent="0.25">
      <c r="A102" s="14">
        <f t="shared" si="2"/>
        <v>94</v>
      </c>
      <c r="B102" s="242"/>
      <c r="C102" s="243"/>
      <c r="D102" s="244"/>
      <c r="E102" s="245"/>
      <c r="F102" s="52"/>
      <c r="G102" s="18">
        <f t="shared" si="3"/>
        <v>8306.5</v>
      </c>
      <c r="H102" s="240"/>
      <c r="I102" s="247"/>
      <c r="L102" s="248"/>
      <c r="Q102" s="248"/>
    </row>
    <row r="103" spans="1:17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8306.5</v>
      </c>
      <c r="H103" s="240"/>
      <c r="I103" s="247"/>
      <c r="L103" s="248"/>
      <c r="Q103" s="248"/>
    </row>
    <row r="104" spans="1:17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8306.5</v>
      </c>
      <c r="H104" s="240"/>
      <c r="I104" s="247"/>
      <c r="L104" s="248"/>
      <c r="Q104" s="248"/>
    </row>
    <row r="105" spans="1:17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8306.5</v>
      </c>
      <c r="H105" s="240"/>
      <c r="I105" s="247"/>
      <c r="L105" s="248"/>
      <c r="Q105" s="248"/>
    </row>
    <row r="106" spans="1:17" ht="18" customHeight="1" x14ac:dyDescent="0.25">
      <c r="A106" s="14">
        <f>+A94+1</f>
        <v>87</v>
      </c>
      <c r="B106" s="8"/>
      <c r="C106" s="46"/>
      <c r="D106" s="214"/>
      <c r="E106" s="32"/>
      <c r="F106" s="27"/>
      <c r="G106" s="18">
        <f t="shared" si="3"/>
        <v>8306.5</v>
      </c>
      <c r="H106" s="28"/>
      <c r="I106" s="7"/>
      <c r="L106" s="199"/>
      <c r="Q106" s="199"/>
    </row>
    <row r="107" spans="1:17" ht="18" customHeight="1" x14ac:dyDescent="0.25">
      <c r="A107" s="14">
        <f t="shared" ref="A107:A108" si="4">+A106+1</f>
        <v>88</v>
      </c>
      <c r="B107" s="8"/>
      <c r="C107" s="46"/>
      <c r="D107" s="214"/>
      <c r="E107" s="32"/>
      <c r="F107" s="27"/>
      <c r="G107" s="18">
        <f t="shared" si="3"/>
        <v>8306.5</v>
      </c>
      <c r="H107" s="28"/>
      <c r="I107" s="7"/>
      <c r="L107" s="199"/>
      <c r="Q107" s="199"/>
    </row>
    <row r="108" spans="1:17" ht="18" customHeight="1" x14ac:dyDescent="0.25">
      <c r="A108" s="14">
        <f t="shared" si="4"/>
        <v>89</v>
      </c>
      <c r="B108" s="37"/>
      <c r="C108" s="46"/>
      <c r="D108" s="10"/>
      <c r="E108" s="32"/>
      <c r="F108" s="27"/>
      <c r="G108" s="18">
        <f t="shared" si="3"/>
        <v>8306.5</v>
      </c>
      <c r="H108" s="28"/>
      <c r="I108" s="7"/>
      <c r="L108" s="199"/>
      <c r="Q108" s="199"/>
    </row>
    <row r="109" spans="1:17" ht="18" customHeight="1" x14ac:dyDescent="0.25">
      <c r="A109" s="7"/>
      <c r="B109" s="7"/>
      <c r="C109" s="34" t="s">
        <v>13</v>
      </c>
      <c r="D109" s="14"/>
      <c r="E109" s="35">
        <f>SUM(E8:E108)</f>
        <v>8306.5</v>
      </c>
      <c r="F109" s="35">
        <f>SUM(F8:F108)</f>
        <v>0</v>
      </c>
      <c r="G109" s="35">
        <f>+E109-F109+G8</f>
        <v>8306.5</v>
      </c>
      <c r="H109" s="35"/>
      <c r="I109" s="36"/>
    </row>
    <row r="110" spans="1:17" ht="18" customHeight="1" x14ac:dyDescent="0.25"/>
    <row r="113" spans="5:9" x14ac:dyDescent="0.25">
      <c r="E113" s="201"/>
      <c r="F113" s="201"/>
      <c r="G113" s="201"/>
      <c r="H113" s="201"/>
    </row>
    <row r="114" spans="5:9" x14ac:dyDescent="0.25">
      <c r="F114" s="26"/>
    </row>
    <row r="115" spans="5:9" x14ac:dyDescent="0.25">
      <c r="E115" s="26"/>
      <c r="F115" s="26"/>
      <c r="G115" s="26"/>
      <c r="H115" s="26"/>
      <c r="I115" s="26"/>
    </row>
    <row r="116" spans="5:9" x14ac:dyDescent="0.25">
      <c r="I116" s="202"/>
    </row>
    <row r="117" spans="5:9" x14ac:dyDescent="0.25">
      <c r="E117" s="199"/>
    </row>
    <row r="118" spans="5:9" x14ac:dyDescent="0.25">
      <c r="E118" s="26"/>
      <c r="F118" s="26"/>
    </row>
    <row r="119" spans="5:9" x14ac:dyDescent="0.25">
      <c r="E119" s="203"/>
      <c r="F119" s="204"/>
      <c r="G119" s="203"/>
      <c r="H119" s="203"/>
    </row>
    <row r="120" spans="5:9" x14ac:dyDescent="0.25">
      <c r="F120" s="26"/>
    </row>
  </sheetData>
  <mergeCells count="1">
    <mergeCell ref="A4:I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EF11-27E3-4D04-B1E2-D9D25E016922}">
  <sheetPr codeName="Sheet68"/>
  <dimension ref="A1:Q119"/>
  <sheetViews>
    <sheetView workbookViewId="0">
      <selection activeCell="F19" sqref="F1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0.42578125" customWidth="1"/>
    <col min="10" max="10" width="11.71093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175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6148</v>
      </c>
      <c r="H8" s="7"/>
      <c r="I8" s="7"/>
      <c r="J8" s="7"/>
    </row>
    <row r="9" spans="1:12" ht="17.25" customHeight="1" x14ac:dyDescent="0.25">
      <c r="A9" s="14">
        <v>1</v>
      </c>
      <c r="B9" s="8">
        <v>45759</v>
      </c>
      <c r="C9" s="46" t="s">
        <v>174</v>
      </c>
      <c r="D9" s="214" t="s">
        <v>19</v>
      </c>
      <c r="E9" s="30"/>
      <c r="F9" s="27">
        <v>1367.4</v>
      </c>
      <c r="G9" s="18">
        <f>+G8+E9-F9</f>
        <v>4780.6000000000004</v>
      </c>
      <c r="H9" s="28" t="s">
        <v>91</v>
      </c>
      <c r="I9" s="7" t="s">
        <v>90</v>
      </c>
      <c r="J9" s="7">
        <v>9</v>
      </c>
    </row>
    <row r="10" spans="1:12" ht="17.25" customHeight="1" x14ac:dyDescent="0.25">
      <c r="A10" s="14">
        <f t="shared" ref="A10:A73" si="0">+A9+1</f>
        <v>2</v>
      </c>
      <c r="B10" s="8">
        <v>45761</v>
      </c>
      <c r="C10" s="46" t="s">
        <v>174</v>
      </c>
      <c r="D10" s="214" t="s">
        <v>19</v>
      </c>
      <c r="E10" s="30"/>
      <c r="F10" s="27">
        <v>1402.8</v>
      </c>
      <c r="G10" s="18">
        <f t="shared" ref="G10:G73" si="1">+G9+E10-F10</f>
        <v>3377.8</v>
      </c>
      <c r="H10" s="28" t="s">
        <v>91</v>
      </c>
      <c r="I10" s="7" t="s">
        <v>90</v>
      </c>
      <c r="J10" s="7"/>
      <c r="L10">
        <f>687.8+676+709.8+654+673+680+685.6+676+687+678.8+685.2+654.6+681+686.4+691.8+700.4</f>
        <v>10907.399999999998</v>
      </c>
    </row>
    <row r="11" spans="1:12" ht="18" customHeight="1" x14ac:dyDescent="0.25">
      <c r="A11" s="14">
        <f t="shared" si="0"/>
        <v>3</v>
      </c>
      <c r="B11" s="8">
        <v>45790</v>
      </c>
      <c r="C11" s="46" t="s">
        <v>174</v>
      </c>
      <c r="D11" s="214" t="s">
        <v>19</v>
      </c>
      <c r="E11" s="16"/>
      <c r="F11" s="27">
        <v>1367.3</v>
      </c>
      <c r="G11" s="18">
        <f t="shared" si="1"/>
        <v>2010.5000000000002</v>
      </c>
      <c r="H11" s="28" t="s">
        <v>91</v>
      </c>
      <c r="I11" s="7" t="s">
        <v>90</v>
      </c>
      <c r="J11" s="140"/>
      <c r="K11" t="s">
        <v>188</v>
      </c>
    </row>
    <row r="12" spans="1:12" ht="18" customHeight="1" x14ac:dyDescent="0.25">
      <c r="A12" s="14">
        <f t="shared" si="0"/>
        <v>4</v>
      </c>
      <c r="B12" s="8">
        <v>45839</v>
      </c>
      <c r="C12" s="46" t="s">
        <v>174</v>
      </c>
      <c r="D12" s="214" t="s">
        <v>19</v>
      </c>
      <c r="E12" s="16"/>
      <c r="F12" s="17">
        <v>1356.6</v>
      </c>
      <c r="G12" s="18">
        <f t="shared" si="1"/>
        <v>653.90000000000032</v>
      </c>
      <c r="H12" s="28" t="s">
        <v>91</v>
      </c>
      <c r="I12" s="7" t="s">
        <v>90</v>
      </c>
      <c r="J12" s="140"/>
    </row>
    <row r="13" spans="1:12" ht="18" customHeight="1" x14ac:dyDescent="0.25">
      <c r="A13" s="14">
        <f t="shared" si="0"/>
        <v>5</v>
      </c>
      <c r="B13" s="205">
        <v>45843</v>
      </c>
      <c r="C13" s="46" t="s">
        <v>174</v>
      </c>
      <c r="D13" s="214" t="s">
        <v>19</v>
      </c>
      <c r="E13" s="16"/>
      <c r="F13" s="17">
        <v>654.4</v>
      </c>
      <c r="G13" s="18">
        <f t="shared" si="1"/>
        <v>-0.49999999999965894</v>
      </c>
      <c r="H13" s="28" t="s">
        <v>91</v>
      </c>
      <c r="I13" s="7" t="s">
        <v>90</v>
      </c>
      <c r="J13" s="140"/>
    </row>
    <row r="14" spans="1:12" ht="18" customHeight="1" x14ac:dyDescent="0.25">
      <c r="A14" s="14">
        <f t="shared" si="0"/>
        <v>6</v>
      </c>
      <c r="B14" s="8">
        <v>45868</v>
      </c>
      <c r="C14" s="46" t="s">
        <v>174</v>
      </c>
      <c r="D14" s="214" t="s">
        <v>19</v>
      </c>
      <c r="E14" s="16">
        <v>10369.700000000001</v>
      </c>
      <c r="F14" s="27"/>
      <c r="G14" s="18">
        <f t="shared" si="1"/>
        <v>10369.200000000001</v>
      </c>
      <c r="H14" s="28" t="s">
        <v>91</v>
      </c>
      <c r="I14" s="7" t="s">
        <v>90</v>
      </c>
      <c r="J14" s="7"/>
    </row>
    <row r="15" spans="1:12" ht="18" customHeight="1" x14ac:dyDescent="0.25">
      <c r="A15" s="14">
        <f t="shared" si="0"/>
        <v>7</v>
      </c>
      <c r="B15" s="8">
        <v>45882</v>
      </c>
      <c r="C15" s="46" t="s">
        <v>174</v>
      </c>
      <c r="D15" s="214" t="s">
        <v>19</v>
      </c>
      <c r="E15" s="16"/>
      <c r="F15" s="27">
        <v>968.4</v>
      </c>
      <c r="G15" s="18">
        <f t="shared" si="1"/>
        <v>9400.8000000000011</v>
      </c>
      <c r="H15" s="28" t="s">
        <v>91</v>
      </c>
      <c r="I15" s="7" t="s">
        <v>90</v>
      </c>
      <c r="J15" s="140"/>
    </row>
    <row r="16" spans="1:12" ht="18" customHeight="1" x14ac:dyDescent="0.25">
      <c r="A16" s="14">
        <f t="shared" si="0"/>
        <v>8</v>
      </c>
      <c r="B16" s="8">
        <v>45911</v>
      </c>
      <c r="C16" s="46" t="s">
        <v>174</v>
      </c>
      <c r="D16" s="214" t="s">
        <v>19</v>
      </c>
      <c r="E16" s="16"/>
      <c r="F16" s="27">
        <v>807.6</v>
      </c>
      <c r="G16" s="18">
        <f t="shared" si="1"/>
        <v>8593.2000000000007</v>
      </c>
      <c r="H16" s="28" t="s">
        <v>91</v>
      </c>
      <c r="I16" s="7" t="s">
        <v>90</v>
      </c>
      <c r="J16" s="7"/>
    </row>
    <row r="17" spans="1:13" ht="18" customHeight="1" x14ac:dyDescent="0.25">
      <c r="A17" s="14">
        <f t="shared" si="0"/>
        <v>9</v>
      </c>
      <c r="B17" s="8">
        <v>45913</v>
      </c>
      <c r="C17" s="46" t="s">
        <v>174</v>
      </c>
      <c r="D17" s="214" t="s">
        <v>19</v>
      </c>
      <c r="E17" s="30"/>
      <c r="F17" s="27">
        <v>958.1</v>
      </c>
      <c r="G17" s="18">
        <f t="shared" si="1"/>
        <v>7635.1</v>
      </c>
      <c r="H17" s="28" t="s">
        <v>91</v>
      </c>
      <c r="I17" s="7" t="s">
        <v>90</v>
      </c>
      <c r="J17" s="7"/>
    </row>
    <row r="18" spans="1:13" s="230" customFormat="1" ht="18" customHeight="1" x14ac:dyDescent="0.25">
      <c r="A18" s="223">
        <f>+A17+1</f>
        <v>10</v>
      </c>
      <c r="B18" s="224">
        <v>45916</v>
      </c>
      <c r="C18" s="46" t="s">
        <v>174</v>
      </c>
      <c r="D18" s="226" t="s">
        <v>19</v>
      </c>
      <c r="E18" s="227"/>
      <c r="F18" s="228">
        <v>961.7</v>
      </c>
      <c r="G18" s="229">
        <f t="shared" si="1"/>
        <v>6673.4000000000005</v>
      </c>
      <c r="H18" s="28" t="s">
        <v>91</v>
      </c>
      <c r="I18" s="7" t="s">
        <v>90</v>
      </c>
      <c r="J18" s="348"/>
    </row>
    <row r="19" spans="1:13" s="230" customFormat="1" ht="18" customHeight="1" x14ac:dyDescent="0.25">
      <c r="A19" s="223">
        <f t="shared" si="0"/>
        <v>11</v>
      </c>
      <c r="B19" s="224"/>
      <c r="C19" s="46" t="s">
        <v>174</v>
      </c>
      <c r="D19" s="226" t="s">
        <v>19</v>
      </c>
      <c r="E19" s="231"/>
      <c r="F19" s="228"/>
      <c r="G19" s="229">
        <f t="shared" si="1"/>
        <v>6673.4000000000005</v>
      </c>
      <c r="H19" s="28" t="s">
        <v>91</v>
      </c>
      <c r="I19" s="7" t="s">
        <v>90</v>
      </c>
      <c r="J19" s="348"/>
    </row>
    <row r="20" spans="1:13" ht="18" customHeight="1" x14ac:dyDescent="0.25">
      <c r="A20" s="14">
        <f t="shared" si="0"/>
        <v>12</v>
      </c>
      <c r="B20" s="8"/>
      <c r="C20" s="46" t="s">
        <v>174</v>
      </c>
      <c r="D20" s="214" t="s">
        <v>19</v>
      </c>
      <c r="E20" s="32"/>
      <c r="F20" s="17"/>
      <c r="G20" s="18">
        <f t="shared" si="1"/>
        <v>6673.4000000000005</v>
      </c>
      <c r="H20" s="28" t="s">
        <v>91</v>
      </c>
      <c r="I20" s="7" t="s">
        <v>90</v>
      </c>
      <c r="J20" s="7"/>
    </row>
    <row r="21" spans="1:13" ht="18" customHeight="1" x14ac:dyDescent="0.25">
      <c r="A21" s="14">
        <f t="shared" si="0"/>
        <v>13</v>
      </c>
      <c r="B21" s="8"/>
      <c r="C21" s="46" t="s">
        <v>174</v>
      </c>
      <c r="D21" s="214" t="s">
        <v>19</v>
      </c>
      <c r="E21" s="32"/>
      <c r="F21" s="27"/>
      <c r="G21" s="18">
        <f t="shared" si="1"/>
        <v>6673.4000000000005</v>
      </c>
      <c r="H21" s="28" t="s">
        <v>91</v>
      </c>
      <c r="I21" s="7" t="s">
        <v>90</v>
      </c>
      <c r="J21" s="7"/>
    </row>
    <row r="22" spans="1:13" ht="18" customHeight="1" x14ac:dyDescent="0.25">
      <c r="A22" s="14">
        <f t="shared" si="0"/>
        <v>14</v>
      </c>
      <c r="B22" s="232"/>
      <c r="C22" s="46" t="s">
        <v>174</v>
      </c>
      <c r="D22" s="234" t="s">
        <v>19</v>
      </c>
      <c r="E22" s="235"/>
      <c r="F22" s="172"/>
      <c r="G22" s="18">
        <f t="shared" si="1"/>
        <v>6673.4000000000005</v>
      </c>
      <c r="H22" s="28" t="s">
        <v>129</v>
      </c>
      <c r="I22" s="7" t="s">
        <v>90</v>
      </c>
      <c r="J22" s="7"/>
    </row>
    <row r="23" spans="1:13" ht="18" customHeight="1" x14ac:dyDescent="0.25">
      <c r="A23" s="14">
        <f t="shared" si="0"/>
        <v>15</v>
      </c>
      <c r="B23" s="8"/>
      <c r="C23" s="46" t="s">
        <v>174</v>
      </c>
      <c r="D23" s="214" t="s">
        <v>19</v>
      </c>
      <c r="E23" s="32"/>
      <c r="F23" s="17"/>
      <c r="G23" s="18">
        <f t="shared" si="1"/>
        <v>6673.4000000000005</v>
      </c>
      <c r="H23" s="28" t="s">
        <v>129</v>
      </c>
      <c r="I23" s="7" t="s">
        <v>142</v>
      </c>
      <c r="J23" s="7"/>
      <c r="M23">
        <f>6148/680</f>
        <v>9.0411764705882351</v>
      </c>
    </row>
    <row r="24" spans="1:13" ht="18" customHeight="1" x14ac:dyDescent="0.25">
      <c r="A24" s="14">
        <f t="shared" si="0"/>
        <v>16</v>
      </c>
      <c r="B24" s="8"/>
      <c r="C24" s="46" t="s">
        <v>174</v>
      </c>
      <c r="D24" s="214" t="s">
        <v>19</v>
      </c>
      <c r="E24" s="32"/>
      <c r="F24" s="17"/>
      <c r="G24" s="18">
        <f t="shared" si="1"/>
        <v>6673.4000000000005</v>
      </c>
      <c r="H24" s="28" t="s">
        <v>91</v>
      </c>
      <c r="I24" s="7" t="s">
        <v>90</v>
      </c>
      <c r="J24" s="7"/>
    </row>
    <row r="25" spans="1:13" ht="18" customHeight="1" x14ac:dyDescent="0.25">
      <c r="A25" s="14">
        <f t="shared" si="0"/>
        <v>17</v>
      </c>
      <c r="B25" s="8"/>
      <c r="C25" s="46" t="s">
        <v>174</v>
      </c>
      <c r="D25" s="214" t="s">
        <v>19</v>
      </c>
      <c r="E25" s="32"/>
      <c r="F25" s="152"/>
      <c r="G25" s="18">
        <f t="shared" si="1"/>
        <v>6673.4000000000005</v>
      </c>
      <c r="H25" s="28" t="s">
        <v>91</v>
      </c>
      <c r="I25" s="7" t="s">
        <v>289</v>
      </c>
      <c r="J25" s="7"/>
    </row>
    <row r="26" spans="1:13" ht="18" customHeight="1" x14ac:dyDescent="0.25">
      <c r="A26" s="14">
        <f t="shared" si="0"/>
        <v>18</v>
      </c>
      <c r="B26" s="8"/>
      <c r="C26" s="46" t="s">
        <v>174</v>
      </c>
      <c r="D26" s="214" t="s">
        <v>19</v>
      </c>
      <c r="E26" s="32"/>
      <c r="F26" s="17"/>
      <c r="G26" s="238">
        <f t="shared" si="1"/>
        <v>6673.4000000000005</v>
      </c>
      <c r="H26" s="28" t="s">
        <v>91</v>
      </c>
      <c r="I26" s="7" t="s">
        <v>289</v>
      </c>
      <c r="J26" s="7"/>
    </row>
    <row r="27" spans="1:13" ht="18" customHeight="1" x14ac:dyDescent="0.25">
      <c r="A27" s="14">
        <f>+A26+1</f>
        <v>19</v>
      </c>
      <c r="B27" s="8"/>
      <c r="C27" s="46" t="s">
        <v>174</v>
      </c>
      <c r="D27" s="214" t="s">
        <v>19</v>
      </c>
      <c r="E27" s="32"/>
      <c r="F27" s="152"/>
      <c r="G27" s="18">
        <f t="shared" si="1"/>
        <v>6673.4000000000005</v>
      </c>
      <c r="H27" s="28" t="s">
        <v>91</v>
      </c>
      <c r="I27" s="7" t="s">
        <v>90</v>
      </c>
      <c r="J27" s="7"/>
    </row>
    <row r="28" spans="1:13" ht="18" customHeight="1" x14ac:dyDescent="0.25">
      <c r="A28" s="14">
        <f t="shared" si="0"/>
        <v>20</v>
      </c>
      <c r="B28" s="8"/>
      <c r="C28" s="46" t="s">
        <v>174</v>
      </c>
      <c r="D28" s="214" t="s">
        <v>19</v>
      </c>
      <c r="E28" s="129"/>
      <c r="F28" s="17"/>
      <c r="G28" s="18">
        <f t="shared" si="1"/>
        <v>6673.4000000000005</v>
      </c>
      <c r="H28" s="28" t="s">
        <v>91</v>
      </c>
      <c r="I28" s="7" t="s">
        <v>90</v>
      </c>
      <c r="J28" s="7"/>
    </row>
    <row r="29" spans="1:13" ht="18" customHeight="1" x14ac:dyDescent="0.25">
      <c r="A29" s="14">
        <f t="shared" si="0"/>
        <v>21</v>
      </c>
      <c r="B29" s="8"/>
      <c r="C29" s="46" t="s">
        <v>174</v>
      </c>
      <c r="D29" s="214" t="s">
        <v>19</v>
      </c>
      <c r="E29" s="32"/>
      <c r="F29" s="172"/>
      <c r="G29" s="18">
        <f t="shared" si="1"/>
        <v>6673.4000000000005</v>
      </c>
      <c r="H29" s="28" t="s">
        <v>91</v>
      </c>
      <c r="I29" s="7" t="s">
        <v>90</v>
      </c>
      <c r="J29" s="7"/>
    </row>
    <row r="30" spans="1:13" ht="18" customHeight="1" x14ac:dyDescent="0.25">
      <c r="A30" s="14">
        <f t="shared" si="0"/>
        <v>22</v>
      </c>
      <c r="B30" s="8"/>
      <c r="C30" s="46" t="s">
        <v>174</v>
      </c>
      <c r="D30" s="214" t="s">
        <v>19</v>
      </c>
      <c r="E30" s="32"/>
      <c r="F30" s="17"/>
      <c r="G30" s="18">
        <f t="shared" si="1"/>
        <v>6673.4000000000005</v>
      </c>
      <c r="H30" s="28" t="s">
        <v>91</v>
      </c>
      <c r="I30" s="7" t="s">
        <v>90</v>
      </c>
      <c r="J30" s="7"/>
    </row>
    <row r="31" spans="1:13" ht="18" customHeight="1" x14ac:dyDescent="0.25">
      <c r="A31" s="14">
        <f t="shared" si="0"/>
        <v>23</v>
      </c>
      <c r="B31" s="8"/>
      <c r="C31" s="46" t="s">
        <v>174</v>
      </c>
      <c r="D31" s="214" t="s">
        <v>19</v>
      </c>
      <c r="E31" s="32"/>
      <c r="F31" s="17"/>
      <c r="G31" s="18">
        <f t="shared" si="1"/>
        <v>6673.4000000000005</v>
      </c>
      <c r="H31" s="28" t="s">
        <v>91</v>
      </c>
      <c r="I31" s="7" t="s">
        <v>90</v>
      </c>
      <c r="J31" s="7"/>
    </row>
    <row r="32" spans="1:13" ht="17.25" customHeight="1" x14ac:dyDescent="0.25">
      <c r="A32" s="14">
        <f t="shared" si="0"/>
        <v>24</v>
      </c>
      <c r="B32" s="8"/>
      <c r="C32" s="46" t="s">
        <v>174</v>
      </c>
      <c r="D32" s="214" t="s">
        <v>19</v>
      </c>
      <c r="E32" s="13"/>
      <c r="F32" s="17"/>
      <c r="G32" s="18">
        <f t="shared" si="1"/>
        <v>6673.4000000000005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25</v>
      </c>
      <c r="B33" s="44"/>
      <c r="C33" s="46" t="s">
        <v>174</v>
      </c>
      <c r="D33" s="214" t="s">
        <v>19</v>
      </c>
      <c r="E33" s="13"/>
      <c r="F33" s="17"/>
      <c r="G33" s="18">
        <f t="shared" si="1"/>
        <v>6673.4000000000005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174</v>
      </c>
      <c r="D34" s="214" t="s">
        <v>19</v>
      </c>
      <c r="E34" s="32"/>
      <c r="F34" s="40"/>
      <c r="G34" s="18">
        <f t="shared" si="1"/>
        <v>6673.4000000000005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174</v>
      </c>
      <c r="D35" s="214" t="s">
        <v>19</v>
      </c>
      <c r="E35" s="32"/>
      <c r="F35" s="40"/>
      <c r="G35" s="18">
        <f t="shared" si="1"/>
        <v>6673.4000000000005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174</v>
      </c>
      <c r="D36" s="214" t="s">
        <v>19</v>
      </c>
      <c r="E36" s="32"/>
      <c r="F36" s="40"/>
      <c r="G36" s="18">
        <f t="shared" si="1"/>
        <v>6673.4000000000005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174</v>
      </c>
      <c r="D37" s="214" t="s">
        <v>19</v>
      </c>
      <c r="E37" s="32"/>
      <c r="F37" s="17"/>
      <c r="G37" s="18">
        <f t="shared" si="1"/>
        <v>6673.4000000000005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174</v>
      </c>
      <c r="D38" s="214" t="s">
        <v>19</v>
      </c>
      <c r="E38" s="32"/>
      <c r="F38" s="17"/>
      <c r="G38" s="18">
        <f t="shared" si="1"/>
        <v>6673.4000000000005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174</v>
      </c>
      <c r="D39" s="214" t="s">
        <v>19</v>
      </c>
      <c r="E39" s="32"/>
      <c r="F39" s="17"/>
      <c r="G39" s="18">
        <f t="shared" si="1"/>
        <v>6673.4000000000005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174</v>
      </c>
      <c r="D40" s="214" t="s">
        <v>19</v>
      </c>
      <c r="E40" s="32"/>
      <c r="F40" s="17"/>
      <c r="G40" s="18">
        <f t="shared" si="1"/>
        <v>6673.4000000000005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174</v>
      </c>
      <c r="D41" s="214" t="s">
        <v>19</v>
      </c>
      <c r="E41" s="32"/>
      <c r="F41" s="172"/>
      <c r="G41" s="18">
        <f t="shared" si="1"/>
        <v>6673.4000000000005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174</v>
      </c>
      <c r="D42" s="214" t="s">
        <v>19</v>
      </c>
      <c r="E42" s="32"/>
      <c r="F42" s="17"/>
      <c r="G42" s="18">
        <f t="shared" si="1"/>
        <v>6673.4000000000005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174</v>
      </c>
      <c r="D43" s="214" t="s">
        <v>19</v>
      </c>
      <c r="E43" s="32"/>
      <c r="F43" s="17"/>
      <c r="G43" s="18">
        <f t="shared" si="1"/>
        <v>6673.4000000000005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174</v>
      </c>
      <c r="D44" s="214" t="s">
        <v>19</v>
      </c>
      <c r="E44" s="32"/>
      <c r="F44" s="17"/>
      <c r="G44" s="18">
        <f t="shared" si="1"/>
        <v>6673.4000000000005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174</v>
      </c>
      <c r="D45" s="214" t="s">
        <v>19</v>
      </c>
      <c r="E45" s="32"/>
      <c r="F45" s="17"/>
      <c r="G45" s="18">
        <f t="shared" si="1"/>
        <v>6673.4000000000005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174</v>
      </c>
      <c r="D46" s="214" t="s">
        <v>19</v>
      </c>
      <c r="E46" s="32"/>
      <c r="F46" s="17"/>
      <c r="G46" s="18">
        <f t="shared" si="1"/>
        <v>6673.4000000000005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174</v>
      </c>
      <c r="D47" s="214" t="s">
        <v>19</v>
      </c>
      <c r="E47" s="32"/>
      <c r="F47" s="17"/>
      <c r="G47" s="18">
        <f t="shared" si="1"/>
        <v>6673.4000000000005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174</v>
      </c>
      <c r="D48" s="214" t="s">
        <v>19</v>
      </c>
      <c r="E48" s="32"/>
      <c r="F48" s="17"/>
      <c r="G48" s="18">
        <f t="shared" si="1"/>
        <v>6673.4000000000005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174</v>
      </c>
      <c r="D49" s="214" t="s">
        <v>19</v>
      </c>
      <c r="E49" s="32"/>
      <c r="F49" s="17"/>
      <c r="G49" s="18">
        <f t="shared" si="1"/>
        <v>6673.4000000000005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174</v>
      </c>
      <c r="D50" s="237" t="s">
        <v>19</v>
      </c>
      <c r="E50" s="175"/>
      <c r="F50" s="172"/>
      <c r="G50" s="238">
        <f t="shared" si="1"/>
        <v>6673.4000000000005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174</v>
      </c>
      <c r="D51" s="214" t="s">
        <v>19</v>
      </c>
      <c r="E51" s="32"/>
      <c r="F51" s="17"/>
      <c r="G51" s="18">
        <f t="shared" si="1"/>
        <v>6673.4000000000005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174</v>
      </c>
      <c r="D52" s="214" t="s">
        <v>19</v>
      </c>
      <c r="E52" s="32"/>
      <c r="F52" s="17"/>
      <c r="G52" s="18">
        <f t="shared" si="1"/>
        <v>6673.4000000000005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174</v>
      </c>
      <c r="D53" s="214" t="s">
        <v>19</v>
      </c>
      <c r="E53" s="32"/>
      <c r="F53" s="17"/>
      <c r="G53" s="18">
        <f t="shared" si="1"/>
        <v>6673.4000000000005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174</v>
      </c>
      <c r="D54" s="214" t="s">
        <v>19</v>
      </c>
      <c r="E54" s="32"/>
      <c r="F54" s="17"/>
      <c r="G54" s="18">
        <f t="shared" si="1"/>
        <v>6673.4000000000005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174</v>
      </c>
      <c r="D55" s="214" t="s">
        <v>19</v>
      </c>
      <c r="E55" s="32"/>
      <c r="F55" s="17"/>
      <c r="G55" s="18">
        <f t="shared" si="1"/>
        <v>6673.4000000000005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174</v>
      </c>
      <c r="D56" s="214" t="s">
        <v>19</v>
      </c>
      <c r="E56" s="32"/>
      <c r="F56" s="17"/>
      <c r="G56" s="18">
        <f t="shared" si="1"/>
        <v>6673.4000000000005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174</v>
      </c>
      <c r="D57" s="214" t="s">
        <v>19</v>
      </c>
      <c r="E57" s="32"/>
      <c r="F57" s="17"/>
      <c r="G57" s="18">
        <f t="shared" si="1"/>
        <v>6673.4000000000005</v>
      </c>
      <c r="H57" s="240"/>
      <c r="I57" s="7" t="s">
        <v>14</v>
      </c>
      <c r="J57" s="7"/>
    </row>
    <row r="58" spans="1:16" ht="18" customHeight="1" x14ac:dyDescent="0.25">
      <c r="A58" s="14">
        <f t="shared" si="0"/>
        <v>50</v>
      </c>
      <c r="B58" s="8"/>
      <c r="C58" s="46" t="s">
        <v>174</v>
      </c>
      <c r="D58" s="214" t="s">
        <v>19</v>
      </c>
      <c r="E58" s="32"/>
      <c r="F58" s="17"/>
      <c r="G58" s="18">
        <f t="shared" si="1"/>
        <v>6673.4000000000005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51</v>
      </c>
      <c r="B59" s="8"/>
      <c r="C59" s="46" t="s">
        <v>174</v>
      </c>
      <c r="D59" s="214" t="s">
        <v>19</v>
      </c>
      <c r="E59" s="32"/>
      <c r="F59" s="17"/>
      <c r="G59" s="18">
        <f t="shared" si="1"/>
        <v>6673.4000000000005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52</v>
      </c>
      <c r="B60" s="8"/>
      <c r="C60" s="46" t="s">
        <v>174</v>
      </c>
      <c r="D60" s="214" t="s">
        <v>19</v>
      </c>
      <c r="E60" s="32"/>
      <c r="F60" s="17"/>
      <c r="G60" s="18">
        <f t="shared" si="1"/>
        <v>6673.4000000000005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174</v>
      </c>
      <c r="D61" s="214" t="s">
        <v>19</v>
      </c>
      <c r="E61" s="32"/>
      <c r="F61" s="17"/>
      <c r="G61" s="18">
        <f t="shared" si="1"/>
        <v>6673.4000000000005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174</v>
      </c>
      <c r="D62" s="214" t="s">
        <v>19</v>
      </c>
      <c r="E62" s="32"/>
      <c r="F62" s="17"/>
      <c r="G62" s="18">
        <f t="shared" si="1"/>
        <v>6673.4000000000005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174</v>
      </c>
      <c r="D63" s="214" t="s">
        <v>19</v>
      </c>
      <c r="E63" s="32"/>
      <c r="F63" s="17"/>
      <c r="G63" s="18">
        <f t="shared" si="1"/>
        <v>6673.4000000000005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174</v>
      </c>
      <c r="D64" s="214" t="s">
        <v>19</v>
      </c>
      <c r="E64" s="32"/>
      <c r="F64" s="17"/>
      <c r="G64" s="18">
        <f t="shared" si="1"/>
        <v>6673.4000000000005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174</v>
      </c>
      <c r="D65" s="214" t="s">
        <v>19</v>
      </c>
      <c r="E65" s="32"/>
      <c r="F65" s="17"/>
      <c r="G65" s="18">
        <f t="shared" si="1"/>
        <v>6673.4000000000005</v>
      </c>
      <c r="H65" s="240"/>
      <c r="I65" s="7" t="s">
        <v>14</v>
      </c>
      <c r="J65" s="140"/>
    </row>
    <row r="66" spans="1:10" ht="18" customHeight="1" x14ac:dyDescent="0.25">
      <c r="A66" s="14">
        <f t="shared" si="0"/>
        <v>58</v>
      </c>
      <c r="B66" s="8"/>
      <c r="C66" s="46" t="s">
        <v>174</v>
      </c>
      <c r="D66" s="214" t="s">
        <v>19</v>
      </c>
      <c r="E66" s="32"/>
      <c r="F66" s="17"/>
      <c r="G66" s="18">
        <f t="shared" si="1"/>
        <v>6673.4000000000005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174</v>
      </c>
      <c r="D67" s="214" t="s">
        <v>19</v>
      </c>
      <c r="E67" s="32"/>
      <c r="F67" s="17"/>
      <c r="G67" s="18">
        <f>+G66+E67-F67</f>
        <v>6673.4000000000005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174</v>
      </c>
      <c r="D68" s="214" t="s">
        <v>19</v>
      </c>
      <c r="E68" s="32"/>
      <c r="F68" s="17"/>
      <c r="G68" s="18">
        <f>+G67+E68-F68</f>
        <v>6673.4000000000005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61</v>
      </c>
      <c r="B69" s="8"/>
      <c r="C69" s="46" t="s">
        <v>174</v>
      </c>
      <c r="D69" s="214" t="s">
        <v>19</v>
      </c>
      <c r="E69" s="32"/>
      <c r="F69" s="17"/>
      <c r="G69" s="18">
        <f>+G68+E69-F69</f>
        <v>6673.4000000000005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174</v>
      </c>
      <c r="D70" s="214" t="s">
        <v>19</v>
      </c>
      <c r="E70" s="32"/>
      <c r="F70" s="17"/>
      <c r="G70" s="18">
        <f t="shared" si="1"/>
        <v>6673.4000000000005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174</v>
      </c>
      <c r="D71" s="214" t="s">
        <v>19</v>
      </c>
      <c r="E71" s="32"/>
      <c r="F71" s="17"/>
      <c r="G71" s="18">
        <f t="shared" si="1"/>
        <v>6673.4000000000005</v>
      </c>
      <c r="H71" s="240"/>
      <c r="I71" s="7" t="s">
        <v>14</v>
      </c>
      <c r="J71" s="7"/>
    </row>
    <row r="72" spans="1:10" ht="18" customHeight="1" x14ac:dyDescent="0.25">
      <c r="A72" s="14">
        <f>+A71+1</f>
        <v>64</v>
      </c>
      <c r="B72" s="8"/>
      <c r="C72" s="46" t="s">
        <v>174</v>
      </c>
      <c r="D72" s="214" t="s">
        <v>19</v>
      </c>
      <c r="E72" s="32"/>
      <c r="F72" s="17"/>
      <c r="G72" s="18">
        <f t="shared" si="1"/>
        <v>6673.4000000000005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174</v>
      </c>
      <c r="D73" s="214" t="s">
        <v>19</v>
      </c>
      <c r="E73" s="32"/>
      <c r="F73" s="17"/>
      <c r="G73" s="18">
        <f t="shared" si="1"/>
        <v>6673.4000000000005</v>
      </c>
      <c r="H73" s="240"/>
      <c r="I73" s="7" t="s">
        <v>14</v>
      </c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174</v>
      </c>
      <c r="D74" s="214" t="s">
        <v>19</v>
      </c>
      <c r="E74" s="32"/>
      <c r="F74" s="17"/>
      <c r="G74" s="18">
        <f t="shared" ref="G74:G91" si="3">+G73+E74-F74</f>
        <v>6673.4000000000005</v>
      </c>
      <c r="H74" s="240"/>
      <c r="I74" s="7" t="s">
        <v>14</v>
      </c>
      <c r="J74" s="7"/>
    </row>
    <row r="75" spans="1:10" ht="18" customHeight="1" x14ac:dyDescent="0.25">
      <c r="A75" s="14">
        <f t="shared" si="2"/>
        <v>67</v>
      </c>
      <c r="B75" s="8"/>
      <c r="C75" s="46" t="s">
        <v>174</v>
      </c>
      <c r="D75" s="214" t="s">
        <v>19</v>
      </c>
      <c r="E75" s="32"/>
      <c r="F75" s="17"/>
      <c r="G75" s="18">
        <f t="shared" si="3"/>
        <v>6673.4000000000005</v>
      </c>
      <c r="H75" s="240"/>
      <c r="I75" s="7" t="s">
        <v>14</v>
      </c>
      <c r="J75" s="7"/>
    </row>
    <row r="76" spans="1:10" ht="18" customHeight="1" x14ac:dyDescent="0.25">
      <c r="A76" s="14">
        <f t="shared" si="2"/>
        <v>68</v>
      </c>
      <c r="B76" s="8"/>
      <c r="C76" s="46" t="s">
        <v>174</v>
      </c>
      <c r="D76" s="214" t="s">
        <v>19</v>
      </c>
      <c r="E76" s="32"/>
      <c r="F76" s="17"/>
      <c r="G76" s="18">
        <f t="shared" si="3"/>
        <v>6673.4000000000005</v>
      </c>
      <c r="H76" s="240"/>
      <c r="I76" s="7" t="s">
        <v>14</v>
      </c>
      <c r="J76" s="7"/>
    </row>
    <row r="77" spans="1:10" ht="18" customHeight="1" x14ac:dyDescent="0.25">
      <c r="A77" s="14">
        <f t="shared" si="2"/>
        <v>69</v>
      </c>
      <c r="B77" s="8"/>
      <c r="C77" s="46" t="s">
        <v>174</v>
      </c>
      <c r="D77" s="214" t="s">
        <v>19</v>
      </c>
      <c r="E77" s="32"/>
      <c r="F77" s="17"/>
      <c r="G77" s="18">
        <f t="shared" si="3"/>
        <v>6673.4000000000005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174</v>
      </c>
      <c r="D78" s="214" t="s">
        <v>19</v>
      </c>
      <c r="E78" s="32"/>
      <c r="F78" s="17"/>
      <c r="G78" s="18">
        <f t="shared" si="3"/>
        <v>6673.4000000000005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174</v>
      </c>
      <c r="D79" s="214" t="s">
        <v>19</v>
      </c>
      <c r="E79" s="32"/>
      <c r="F79" s="17"/>
      <c r="G79" s="18">
        <f t="shared" si="3"/>
        <v>6673.4000000000005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174</v>
      </c>
      <c r="D80" s="214" t="s">
        <v>19</v>
      </c>
      <c r="E80" s="32"/>
      <c r="F80" s="17"/>
      <c r="G80" s="18">
        <f t="shared" si="3"/>
        <v>6673.4000000000005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174</v>
      </c>
      <c r="D81" s="214" t="s">
        <v>19</v>
      </c>
      <c r="E81" s="32"/>
      <c r="F81" s="17"/>
      <c r="G81" s="18">
        <f t="shared" si="3"/>
        <v>6673.4000000000005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174</v>
      </c>
      <c r="D82" s="214" t="s">
        <v>19</v>
      </c>
      <c r="E82" s="32"/>
      <c r="F82" s="17"/>
      <c r="G82" s="18">
        <f t="shared" si="3"/>
        <v>6673.4000000000005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174</v>
      </c>
      <c r="D83" s="214" t="s">
        <v>19</v>
      </c>
      <c r="E83" s="32"/>
      <c r="F83" s="27"/>
      <c r="G83" s="18">
        <f t="shared" si="3"/>
        <v>6673.4000000000005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174</v>
      </c>
      <c r="D84" s="214" t="s">
        <v>19</v>
      </c>
      <c r="E84" s="32"/>
      <c r="F84" s="17"/>
      <c r="G84" s="18">
        <f t="shared" si="3"/>
        <v>6673.4000000000005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174</v>
      </c>
      <c r="D85" s="214" t="s">
        <v>19</v>
      </c>
      <c r="E85" s="32"/>
      <c r="F85" s="17"/>
      <c r="G85" s="18">
        <f t="shared" si="3"/>
        <v>6673.4000000000005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174</v>
      </c>
      <c r="D86" s="214" t="s">
        <v>19</v>
      </c>
      <c r="E86" s="32"/>
      <c r="F86" s="17"/>
      <c r="G86" s="18">
        <f t="shared" si="3"/>
        <v>6673.4000000000005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174</v>
      </c>
      <c r="D87" s="214" t="s">
        <v>19</v>
      </c>
      <c r="E87" s="32"/>
      <c r="F87" s="17"/>
      <c r="G87" s="18">
        <f t="shared" si="3"/>
        <v>6673.4000000000005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174</v>
      </c>
      <c r="D88" s="214" t="s">
        <v>19</v>
      </c>
      <c r="E88" s="32"/>
      <c r="F88" s="17"/>
      <c r="G88" s="18">
        <f t="shared" si="3"/>
        <v>6673.4000000000005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174</v>
      </c>
      <c r="D89" s="214" t="s">
        <v>19</v>
      </c>
      <c r="E89" s="32"/>
      <c r="F89" s="17"/>
      <c r="G89" s="18">
        <f t="shared" si="3"/>
        <v>6673.4000000000005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174</v>
      </c>
      <c r="D90" s="214" t="s">
        <v>19</v>
      </c>
      <c r="E90" s="32"/>
      <c r="F90" s="17"/>
      <c r="G90" s="18">
        <f t="shared" si="3"/>
        <v>6673.4000000000005</v>
      </c>
      <c r="H90" s="240"/>
      <c r="I90" s="7" t="s">
        <v>14</v>
      </c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174</v>
      </c>
      <c r="D91" s="214" t="s">
        <v>19</v>
      </c>
      <c r="E91" s="32"/>
      <c r="F91" s="27"/>
      <c r="G91" s="18">
        <f t="shared" si="3"/>
        <v>6673.4000000000005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174</v>
      </c>
      <c r="D92" s="214" t="s">
        <v>19</v>
      </c>
      <c r="E92" s="32"/>
      <c r="F92" s="27"/>
      <c r="G92" s="18">
        <f>+G91+E92-F92</f>
        <v>6673.4000000000005</v>
      </c>
      <c r="H92" s="240"/>
      <c r="I92" s="7" t="s">
        <v>14</v>
      </c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174</v>
      </c>
      <c r="D93" s="244" t="s">
        <v>19</v>
      </c>
      <c r="E93" s="245"/>
      <c r="F93" s="52"/>
      <c r="G93" s="246">
        <f>+G92+E93-F93</f>
        <v>6673.4000000000005</v>
      </c>
      <c r="H93" s="240"/>
      <c r="I93" s="247" t="s">
        <v>14</v>
      </c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174</v>
      </c>
      <c r="D94" s="244" t="s">
        <v>19</v>
      </c>
      <c r="E94" s="245"/>
      <c r="F94" s="52"/>
      <c r="G94" s="246">
        <f t="shared" ref="G94:G106" si="4">+G93+E94-F94</f>
        <v>6673.4000000000005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174</v>
      </c>
      <c r="D95" s="244" t="s">
        <v>19</v>
      </c>
      <c r="E95" s="245"/>
      <c r="F95" s="52"/>
      <c r="G95" s="246">
        <f t="shared" si="4"/>
        <v>6673.4000000000005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174</v>
      </c>
      <c r="D96" s="244" t="s">
        <v>19</v>
      </c>
      <c r="E96" s="245"/>
      <c r="F96" s="52"/>
      <c r="G96" s="246">
        <f t="shared" si="4"/>
        <v>6673.4000000000005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174</v>
      </c>
      <c r="D97" s="244" t="s">
        <v>19</v>
      </c>
      <c r="E97" s="245"/>
      <c r="F97" s="52"/>
      <c r="G97" s="246">
        <f t="shared" si="4"/>
        <v>6673.4000000000005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174</v>
      </c>
      <c r="D98" s="244" t="s">
        <v>19</v>
      </c>
      <c r="E98" s="245"/>
      <c r="F98" s="52"/>
      <c r="G98" s="246">
        <f t="shared" si="4"/>
        <v>6673.4000000000005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174</v>
      </c>
      <c r="D99" s="244" t="s">
        <v>19</v>
      </c>
      <c r="E99" s="245"/>
      <c r="F99" s="52"/>
      <c r="G99" s="246">
        <f t="shared" si="4"/>
        <v>6673.4000000000005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174</v>
      </c>
      <c r="D100" s="244" t="s">
        <v>19</v>
      </c>
      <c r="E100" s="245"/>
      <c r="F100" s="52"/>
      <c r="G100" s="246">
        <f t="shared" si="4"/>
        <v>6673.4000000000005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6673.4000000000005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6673.4000000000005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6673.4000000000005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6673.4000000000005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6673.4000000000005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6673.4000000000005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6673.4000000000005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10369.700000000001</v>
      </c>
      <c r="F108" s="35">
        <f>SUM(F8:F107)</f>
        <v>9844.3000000000011</v>
      </c>
      <c r="G108" s="35">
        <f>+E108-F108+G8</f>
        <v>6673.4</v>
      </c>
      <c r="H108" s="35"/>
      <c r="I108" s="36"/>
      <c r="J108" s="7">
        <f>SUM(J9:J107)</f>
        <v>9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163E-2034-47D2-AA8A-4A023021E2A2}">
  <sheetPr codeName="Sheet69"/>
  <dimension ref="A1:Q119"/>
  <sheetViews>
    <sheetView workbookViewId="0">
      <selection activeCell="M26" sqref="M26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0.42578125" customWidth="1"/>
    <col min="10" max="10" width="11.71093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175</v>
      </c>
    </row>
    <row r="8" spans="1:12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</row>
    <row r="9" spans="1:12" ht="17.25" customHeight="1" x14ac:dyDescent="0.25">
      <c r="A9" s="14">
        <v>1</v>
      </c>
      <c r="B9" s="8">
        <v>45799</v>
      </c>
      <c r="C9" s="46" t="s">
        <v>393</v>
      </c>
      <c r="D9" s="214" t="s">
        <v>19</v>
      </c>
      <c r="E9" s="30">
        <v>7744.7</v>
      </c>
      <c r="F9" s="27"/>
      <c r="G9" s="18">
        <f>+G8+E9-F9</f>
        <v>7744.7</v>
      </c>
      <c r="H9" s="28" t="s">
        <v>91</v>
      </c>
      <c r="I9" s="7" t="s">
        <v>90</v>
      </c>
      <c r="J9" s="7">
        <v>8</v>
      </c>
    </row>
    <row r="10" spans="1:12" ht="17.25" customHeight="1" x14ac:dyDescent="0.25">
      <c r="A10" s="14">
        <f t="shared" ref="A10:A73" si="0">+A9+1</f>
        <v>2</v>
      </c>
      <c r="B10" s="8"/>
      <c r="C10" s="46" t="s">
        <v>393</v>
      </c>
      <c r="D10" s="214" t="s">
        <v>19</v>
      </c>
      <c r="E10" s="30"/>
      <c r="F10" s="27"/>
      <c r="G10" s="18">
        <f t="shared" ref="G10:G73" si="1">+G9+E10-F10</f>
        <v>7744.7</v>
      </c>
      <c r="H10" s="28" t="s">
        <v>91</v>
      </c>
      <c r="I10" s="7" t="s">
        <v>90</v>
      </c>
      <c r="J10" s="7"/>
      <c r="L10">
        <f>687.8+676+709.8+654+673+680+685.6+676+687+678.8+685.2+654.6+681+686.4+691.8+700.4</f>
        <v>10907.399999999998</v>
      </c>
    </row>
    <row r="11" spans="1:12" ht="18" customHeight="1" x14ac:dyDescent="0.25">
      <c r="A11" s="14">
        <f t="shared" si="0"/>
        <v>3</v>
      </c>
      <c r="B11" s="8"/>
      <c r="C11" s="46" t="s">
        <v>393</v>
      </c>
      <c r="D11" s="214" t="s">
        <v>19</v>
      </c>
      <c r="E11" s="16"/>
      <c r="F11" s="27"/>
      <c r="G11" s="18">
        <f t="shared" si="1"/>
        <v>7744.7</v>
      </c>
      <c r="H11" s="28" t="s">
        <v>91</v>
      </c>
      <c r="I11" s="7" t="s">
        <v>90</v>
      </c>
      <c r="J11" s="140"/>
      <c r="K11" t="s">
        <v>188</v>
      </c>
    </row>
    <row r="12" spans="1:12" ht="18" customHeight="1" x14ac:dyDescent="0.25">
      <c r="A12" s="14">
        <f t="shared" si="0"/>
        <v>4</v>
      </c>
      <c r="B12" s="8"/>
      <c r="C12" s="46" t="s">
        <v>393</v>
      </c>
      <c r="D12" s="214" t="s">
        <v>19</v>
      </c>
      <c r="E12" s="16"/>
      <c r="F12" s="17"/>
      <c r="G12" s="18">
        <f t="shared" si="1"/>
        <v>7744.7</v>
      </c>
      <c r="H12" s="28" t="s">
        <v>91</v>
      </c>
      <c r="I12" s="7" t="s">
        <v>90</v>
      </c>
      <c r="J12" s="140"/>
    </row>
    <row r="13" spans="1:12" ht="18" customHeight="1" x14ac:dyDescent="0.25">
      <c r="A13" s="14">
        <f t="shared" si="0"/>
        <v>5</v>
      </c>
      <c r="B13" s="205"/>
      <c r="C13" s="46" t="s">
        <v>393</v>
      </c>
      <c r="D13" s="214" t="s">
        <v>19</v>
      </c>
      <c r="E13" s="16"/>
      <c r="F13" s="17"/>
      <c r="G13" s="18">
        <f t="shared" si="1"/>
        <v>7744.7</v>
      </c>
      <c r="H13" s="28" t="s">
        <v>91</v>
      </c>
      <c r="I13" s="7" t="s">
        <v>90</v>
      </c>
      <c r="J13" s="140"/>
    </row>
    <row r="14" spans="1:12" ht="18" customHeight="1" x14ac:dyDescent="0.25">
      <c r="A14" s="14">
        <f t="shared" si="0"/>
        <v>6</v>
      </c>
      <c r="B14" s="8"/>
      <c r="C14" s="46" t="s">
        <v>393</v>
      </c>
      <c r="D14" s="214" t="s">
        <v>19</v>
      </c>
      <c r="E14" s="16"/>
      <c r="F14" s="27"/>
      <c r="G14" s="18">
        <f t="shared" si="1"/>
        <v>7744.7</v>
      </c>
      <c r="H14" s="28" t="s">
        <v>91</v>
      </c>
      <c r="I14" s="7" t="s">
        <v>90</v>
      </c>
      <c r="J14" s="7"/>
    </row>
    <row r="15" spans="1:12" ht="18" customHeight="1" x14ac:dyDescent="0.25">
      <c r="A15" s="14">
        <f t="shared" si="0"/>
        <v>7</v>
      </c>
      <c r="B15" s="8"/>
      <c r="C15" s="46" t="s">
        <v>393</v>
      </c>
      <c r="D15" s="214" t="s">
        <v>19</v>
      </c>
      <c r="E15" s="16"/>
      <c r="F15" s="27"/>
      <c r="G15" s="18">
        <f t="shared" si="1"/>
        <v>7744.7</v>
      </c>
      <c r="H15" s="28" t="s">
        <v>91</v>
      </c>
      <c r="I15" s="7" t="s">
        <v>90</v>
      </c>
      <c r="J15" s="140"/>
    </row>
    <row r="16" spans="1:12" ht="18" customHeight="1" x14ac:dyDescent="0.25">
      <c r="A16" s="14">
        <f t="shared" si="0"/>
        <v>8</v>
      </c>
      <c r="B16" s="8"/>
      <c r="C16" s="46" t="s">
        <v>393</v>
      </c>
      <c r="D16" s="214" t="s">
        <v>19</v>
      </c>
      <c r="E16" s="16"/>
      <c r="F16" s="27"/>
      <c r="G16" s="18">
        <f t="shared" si="1"/>
        <v>7744.7</v>
      </c>
      <c r="H16" s="28" t="s">
        <v>91</v>
      </c>
      <c r="I16" s="7" t="s">
        <v>90</v>
      </c>
      <c r="J16" s="7"/>
    </row>
    <row r="17" spans="1:13" ht="18" customHeight="1" x14ac:dyDescent="0.25">
      <c r="A17" s="14">
        <f t="shared" si="0"/>
        <v>9</v>
      </c>
      <c r="B17" s="8"/>
      <c r="C17" s="46" t="s">
        <v>393</v>
      </c>
      <c r="D17" s="214" t="s">
        <v>19</v>
      </c>
      <c r="E17" s="30"/>
      <c r="F17" s="27"/>
      <c r="G17" s="18">
        <f t="shared" si="1"/>
        <v>7744.7</v>
      </c>
      <c r="H17" s="28" t="s">
        <v>91</v>
      </c>
      <c r="I17" s="7" t="s">
        <v>90</v>
      </c>
      <c r="J17" s="7"/>
    </row>
    <row r="18" spans="1:13" s="230" customFormat="1" ht="18" customHeight="1" x14ac:dyDescent="0.25">
      <c r="A18" s="223">
        <f>+A17+1</f>
        <v>10</v>
      </c>
      <c r="B18" s="224"/>
      <c r="C18" s="46" t="s">
        <v>393</v>
      </c>
      <c r="D18" s="226" t="s">
        <v>19</v>
      </c>
      <c r="E18" s="227"/>
      <c r="F18" s="228"/>
      <c r="G18" s="229">
        <f t="shared" si="1"/>
        <v>7744.7</v>
      </c>
      <c r="H18" s="28" t="s">
        <v>91</v>
      </c>
      <c r="I18" s="7" t="s">
        <v>90</v>
      </c>
      <c r="J18" s="348"/>
    </row>
    <row r="19" spans="1:13" s="230" customFormat="1" ht="18" customHeight="1" x14ac:dyDescent="0.25">
      <c r="A19" s="223">
        <f t="shared" si="0"/>
        <v>11</v>
      </c>
      <c r="B19" s="224"/>
      <c r="C19" s="46" t="s">
        <v>393</v>
      </c>
      <c r="D19" s="226" t="s">
        <v>19</v>
      </c>
      <c r="E19" s="231"/>
      <c r="F19" s="228"/>
      <c r="G19" s="229">
        <f t="shared" si="1"/>
        <v>7744.7</v>
      </c>
      <c r="H19" s="28" t="s">
        <v>91</v>
      </c>
      <c r="I19" s="7" t="s">
        <v>90</v>
      </c>
      <c r="J19" s="348"/>
    </row>
    <row r="20" spans="1:13" ht="18" customHeight="1" x14ac:dyDescent="0.25">
      <c r="A20" s="14">
        <f t="shared" si="0"/>
        <v>12</v>
      </c>
      <c r="B20" s="8"/>
      <c r="C20" s="46" t="s">
        <v>393</v>
      </c>
      <c r="D20" s="214" t="s">
        <v>19</v>
      </c>
      <c r="E20" s="32"/>
      <c r="F20" s="17"/>
      <c r="G20" s="18">
        <f t="shared" si="1"/>
        <v>7744.7</v>
      </c>
      <c r="H20" s="28" t="s">
        <v>91</v>
      </c>
      <c r="I20" s="7" t="s">
        <v>90</v>
      </c>
      <c r="J20" s="7"/>
    </row>
    <row r="21" spans="1:13" ht="18" customHeight="1" x14ac:dyDescent="0.25">
      <c r="A21" s="14">
        <f t="shared" si="0"/>
        <v>13</v>
      </c>
      <c r="B21" s="8"/>
      <c r="C21" s="46" t="s">
        <v>393</v>
      </c>
      <c r="D21" s="214" t="s">
        <v>19</v>
      </c>
      <c r="E21" s="32"/>
      <c r="F21" s="27"/>
      <c r="G21" s="18">
        <f t="shared" si="1"/>
        <v>7744.7</v>
      </c>
      <c r="H21" s="28" t="s">
        <v>91</v>
      </c>
      <c r="I21" s="7" t="s">
        <v>90</v>
      </c>
      <c r="J21" s="7"/>
    </row>
    <row r="22" spans="1:13" ht="18" customHeight="1" x14ac:dyDescent="0.25">
      <c r="A22" s="14">
        <f t="shared" si="0"/>
        <v>14</v>
      </c>
      <c r="B22" s="232"/>
      <c r="C22" s="46" t="s">
        <v>393</v>
      </c>
      <c r="D22" s="234" t="s">
        <v>19</v>
      </c>
      <c r="E22" s="235"/>
      <c r="F22" s="172"/>
      <c r="G22" s="18">
        <f t="shared" si="1"/>
        <v>7744.7</v>
      </c>
      <c r="H22" s="28" t="s">
        <v>129</v>
      </c>
      <c r="I22" s="7" t="s">
        <v>90</v>
      </c>
      <c r="J22" s="7"/>
    </row>
    <row r="23" spans="1:13" ht="18" customHeight="1" x14ac:dyDescent="0.25">
      <c r="A23" s="14">
        <f t="shared" si="0"/>
        <v>15</v>
      </c>
      <c r="B23" s="8"/>
      <c r="C23" s="46" t="s">
        <v>393</v>
      </c>
      <c r="D23" s="214" t="s">
        <v>19</v>
      </c>
      <c r="E23" s="32"/>
      <c r="F23" s="17"/>
      <c r="G23" s="18">
        <f t="shared" si="1"/>
        <v>7744.7</v>
      </c>
      <c r="H23" s="28" t="s">
        <v>129</v>
      </c>
      <c r="I23" s="7" t="s">
        <v>142</v>
      </c>
      <c r="J23" s="7"/>
    </row>
    <row r="24" spans="1:13" ht="18" customHeight="1" x14ac:dyDescent="0.25">
      <c r="A24" s="14">
        <f t="shared" si="0"/>
        <v>16</v>
      </c>
      <c r="B24" s="8"/>
      <c r="C24" s="46" t="s">
        <v>393</v>
      </c>
      <c r="D24" s="214" t="s">
        <v>19</v>
      </c>
      <c r="E24" s="32"/>
      <c r="F24" s="17"/>
      <c r="G24" s="18">
        <f t="shared" si="1"/>
        <v>7744.7</v>
      </c>
      <c r="H24" s="28" t="s">
        <v>91</v>
      </c>
      <c r="I24" s="7" t="s">
        <v>90</v>
      </c>
      <c r="J24" s="7"/>
    </row>
    <row r="25" spans="1:13" ht="18" customHeight="1" x14ac:dyDescent="0.25">
      <c r="A25" s="14">
        <f t="shared" si="0"/>
        <v>17</v>
      </c>
      <c r="B25" s="8"/>
      <c r="C25" s="46" t="s">
        <v>393</v>
      </c>
      <c r="D25" s="214" t="s">
        <v>19</v>
      </c>
      <c r="E25" s="32"/>
      <c r="F25" s="152"/>
      <c r="G25" s="18">
        <f t="shared" si="1"/>
        <v>7744.7</v>
      </c>
      <c r="H25" s="28" t="s">
        <v>91</v>
      </c>
      <c r="I25" s="7" t="s">
        <v>289</v>
      </c>
      <c r="J25" s="7"/>
      <c r="M25" s="26">
        <f>+E9+'Phôi giấy XG .KH 2850 ĐL 17'!G17</f>
        <v>15379.8</v>
      </c>
    </row>
    <row r="26" spans="1:13" ht="18" customHeight="1" x14ac:dyDescent="0.25">
      <c r="A26" s="14">
        <f t="shared" si="0"/>
        <v>18</v>
      </c>
      <c r="B26" s="8"/>
      <c r="C26" s="46" t="s">
        <v>393</v>
      </c>
      <c r="D26" s="214" t="s">
        <v>19</v>
      </c>
      <c r="E26" s="32"/>
      <c r="F26" s="17"/>
      <c r="G26" s="391">
        <f t="shared" si="1"/>
        <v>7744.7</v>
      </c>
      <c r="H26" s="28" t="s">
        <v>91</v>
      </c>
      <c r="I26" s="7" t="s">
        <v>289</v>
      </c>
      <c r="J26" s="7"/>
    </row>
    <row r="27" spans="1:13" ht="18" customHeight="1" x14ac:dyDescent="0.25">
      <c r="A27" s="14">
        <f>+A26+1</f>
        <v>19</v>
      </c>
      <c r="B27" s="8"/>
      <c r="C27" s="46" t="s">
        <v>393</v>
      </c>
      <c r="D27" s="214" t="s">
        <v>19</v>
      </c>
      <c r="E27" s="32"/>
      <c r="F27" s="152"/>
      <c r="G27" s="18">
        <f t="shared" si="1"/>
        <v>7744.7</v>
      </c>
      <c r="H27" s="28" t="s">
        <v>91</v>
      </c>
      <c r="I27" s="7" t="s">
        <v>90</v>
      </c>
      <c r="J27" s="7"/>
    </row>
    <row r="28" spans="1:13" ht="18" customHeight="1" x14ac:dyDescent="0.25">
      <c r="A28" s="14">
        <f t="shared" si="0"/>
        <v>20</v>
      </c>
      <c r="B28" s="8"/>
      <c r="C28" s="46" t="s">
        <v>393</v>
      </c>
      <c r="D28" s="214" t="s">
        <v>19</v>
      </c>
      <c r="E28" s="129"/>
      <c r="F28" s="17"/>
      <c r="G28" s="18">
        <f t="shared" si="1"/>
        <v>7744.7</v>
      </c>
      <c r="H28" s="28" t="s">
        <v>91</v>
      </c>
      <c r="I28" s="7" t="s">
        <v>90</v>
      </c>
      <c r="J28" s="7"/>
    </row>
    <row r="29" spans="1:13" ht="18" customHeight="1" x14ac:dyDescent="0.25">
      <c r="A29" s="14">
        <f t="shared" si="0"/>
        <v>21</v>
      </c>
      <c r="B29" s="8"/>
      <c r="C29" s="46" t="s">
        <v>393</v>
      </c>
      <c r="D29" s="214" t="s">
        <v>19</v>
      </c>
      <c r="E29" s="32"/>
      <c r="F29" s="172"/>
      <c r="G29" s="18">
        <f t="shared" si="1"/>
        <v>7744.7</v>
      </c>
      <c r="H29" s="28" t="s">
        <v>91</v>
      </c>
      <c r="I29" s="7" t="s">
        <v>90</v>
      </c>
      <c r="J29" s="7"/>
    </row>
    <row r="30" spans="1:13" ht="18" customHeight="1" x14ac:dyDescent="0.25">
      <c r="A30" s="14">
        <f t="shared" si="0"/>
        <v>22</v>
      </c>
      <c r="B30" s="8"/>
      <c r="C30" s="46" t="s">
        <v>393</v>
      </c>
      <c r="D30" s="214" t="s">
        <v>19</v>
      </c>
      <c r="E30" s="32"/>
      <c r="F30" s="17"/>
      <c r="G30" s="18">
        <f t="shared" si="1"/>
        <v>7744.7</v>
      </c>
      <c r="H30" s="28" t="s">
        <v>91</v>
      </c>
      <c r="I30" s="7" t="s">
        <v>90</v>
      </c>
      <c r="J30" s="7"/>
    </row>
    <row r="31" spans="1:13" ht="18" customHeight="1" x14ac:dyDescent="0.25">
      <c r="A31" s="14">
        <f t="shared" si="0"/>
        <v>23</v>
      </c>
      <c r="B31" s="8"/>
      <c r="C31" s="46" t="s">
        <v>393</v>
      </c>
      <c r="D31" s="214" t="s">
        <v>19</v>
      </c>
      <c r="E31" s="32"/>
      <c r="F31" s="17"/>
      <c r="G31" s="18">
        <f t="shared" si="1"/>
        <v>7744.7</v>
      </c>
      <c r="H31" s="28" t="s">
        <v>91</v>
      </c>
      <c r="I31" s="7" t="s">
        <v>90</v>
      </c>
      <c r="J31" s="7"/>
    </row>
    <row r="32" spans="1:13" ht="17.25" customHeight="1" x14ac:dyDescent="0.25">
      <c r="A32" s="14">
        <f t="shared" si="0"/>
        <v>24</v>
      </c>
      <c r="B32" s="8"/>
      <c r="C32" s="46" t="s">
        <v>393</v>
      </c>
      <c r="D32" s="214" t="s">
        <v>19</v>
      </c>
      <c r="E32" s="13"/>
      <c r="F32" s="17"/>
      <c r="G32" s="18">
        <f t="shared" si="1"/>
        <v>7744.7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25</v>
      </c>
      <c r="B33" s="44"/>
      <c r="C33" s="46" t="s">
        <v>393</v>
      </c>
      <c r="D33" s="214" t="s">
        <v>19</v>
      </c>
      <c r="E33" s="13"/>
      <c r="F33" s="17"/>
      <c r="G33" s="18">
        <f t="shared" si="1"/>
        <v>7744.7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393</v>
      </c>
      <c r="D34" s="214" t="s">
        <v>19</v>
      </c>
      <c r="E34" s="32"/>
      <c r="F34" s="40"/>
      <c r="G34" s="18">
        <f t="shared" si="1"/>
        <v>7744.7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393</v>
      </c>
      <c r="D35" s="214" t="s">
        <v>19</v>
      </c>
      <c r="E35" s="32"/>
      <c r="F35" s="40"/>
      <c r="G35" s="18">
        <f t="shared" si="1"/>
        <v>7744.7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393</v>
      </c>
      <c r="D36" s="214" t="s">
        <v>19</v>
      </c>
      <c r="E36" s="32"/>
      <c r="F36" s="40"/>
      <c r="G36" s="18">
        <f t="shared" si="1"/>
        <v>7744.7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393</v>
      </c>
      <c r="D37" s="214" t="s">
        <v>19</v>
      </c>
      <c r="E37" s="32"/>
      <c r="F37" s="17"/>
      <c r="G37" s="18">
        <f t="shared" si="1"/>
        <v>7744.7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393</v>
      </c>
      <c r="D38" s="214" t="s">
        <v>19</v>
      </c>
      <c r="E38" s="32"/>
      <c r="F38" s="17"/>
      <c r="G38" s="18">
        <f t="shared" si="1"/>
        <v>7744.7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393</v>
      </c>
      <c r="D39" s="214" t="s">
        <v>19</v>
      </c>
      <c r="E39" s="32"/>
      <c r="F39" s="17"/>
      <c r="G39" s="18">
        <f t="shared" si="1"/>
        <v>7744.7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393</v>
      </c>
      <c r="D40" s="214" t="s">
        <v>19</v>
      </c>
      <c r="E40" s="32"/>
      <c r="F40" s="17"/>
      <c r="G40" s="18">
        <f t="shared" si="1"/>
        <v>7744.7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393</v>
      </c>
      <c r="D41" s="214" t="s">
        <v>19</v>
      </c>
      <c r="E41" s="32"/>
      <c r="F41" s="172"/>
      <c r="G41" s="18">
        <f t="shared" si="1"/>
        <v>7744.7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393</v>
      </c>
      <c r="D42" s="214" t="s">
        <v>19</v>
      </c>
      <c r="E42" s="32"/>
      <c r="F42" s="17"/>
      <c r="G42" s="18">
        <f t="shared" si="1"/>
        <v>7744.7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393</v>
      </c>
      <c r="D43" s="214" t="s">
        <v>19</v>
      </c>
      <c r="E43" s="32"/>
      <c r="F43" s="17"/>
      <c r="G43" s="18">
        <f t="shared" si="1"/>
        <v>7744.7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393</v>
      </c>
      <c r="D44" s="214" t="s">
        <v>19</v>
      </c>
      <c r="E44" s="32"/>
      <c r="F44" s="17"/>
      <c r="G44" s="18">
        <f t="shared" si="1"/>
        <v>7744.7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393</v>
      </c>
      <c r="D45" s="214" t="s">
        <v>19</v>
      </c>
      <c r="E45" s="32"/>
      <c r="F45" s="17"/>
      <c r="G45" s="18">
        <f t="shared" si="1"/>
        <v>7744.7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393</v>
      </c>
      <c r="D46" s="214" t="s">
        <v>19</v>
      </c>
      <c r="E46" s="32"/>
      <c r="F46" s="17"/>
      <c r="G46" s="18">
        <f t="shared" si="1"/>
        <v>7744.7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393</v>
      </c>
      <c r="D47" s="214" t="s">
        <v>19</v>
      </c>
      <c r="E47" s="32"/>
      <c r="F47" s="17"/>
      <c r="G47" s="18">
        <f t="shared" si="1"/>
        <v>7744.7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393</v>
      </c>
      <c r="D48" s="214" t="s">
        <v>19</v>
      </c>
      <c r="E48" s="32"/>
      <c r="F48" s="17"/>
      <c r="G48" s="18">
        <f t="shared" si="1"/>
        <v>7744.7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393</v>
      </c>
      <c r="D49" s="214" t="s">
        <v>19</v>
      </c>
      <c r="E49" s="32"/>
      <c r="F49" s="17"/>
      <c r="G49" s="18">
        <f t="shared" si="1"/>
        <v>7744.7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393</v>
      </c>
      <c r="D50" s="237" t="s">
        <v>19</v>
      </c>
      <c r="E50" s="175"/>
      <c r="F50" s="172"/>
      <c r="G50" s="238">
        <f t="shared" si="1"/>
        <v>7744.7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393</v>
      </c>
      <c r="D51" s="214" t="s">
        <v>19</v>
      </c>
      <c r="E51" s="32"/>
      <c r="F51" s="17"/>
      <c r="G51" s="18">
        <f t="shared" si="1"/>
        <v>7744.7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393</v>
      </c>
      <c r="D52" s="214" t="s">
        <v>19</v>
      </c>
      <c r="E52" s="32"/>
      <c r="F52" s="17"/>
      <c r="G52" s="18">
        <f t="shared" si="1"/>
        <v>7744.7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393</v>
      </c>
      <c r="D53" s="214" t="s">
        <v>19</v>
      </c>
      <c r="E53" s="32"/>
      <c r="F53" s="17"/>
      <c r="G53" s="18">
        <f t="shared" si="1"/>
        <v>7744.7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393</v>
      </c>
      <c r="D54" s="214" t="s">
        <v>19</v>
      </c>
      <c r="E54" s="32"/>
      <c r="F54" s="17"/>
      <c r="G54" s="18">
        <f t="shared" si="1"/>
        <v>7744.7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393</v>
      </c>
      <c r="D55" s="214" t="s">
        <v>19</v>
      </c>
      <c r="E55" s="32"/>
      <c r="F55" s="17"/>
      <c r="G55" s="18">
        <f t="shared" si="1"/>
        <v>7744.7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393</v>
      </c>
      <c r="D56" s="214" t="s">
        <v>19</v>
      </c>
      <c r="E56" s="32"/>
      <c r="F56" s="17"/>
      <c r="G56" s="18">
        <f t="shared" si="1"/>
        <v>7744.7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393</v>
      </c>
      <c r="D57" s="214" t="s">
        <v>19</v>
      </c>
      <c r="E57" s="32"/>
      <c r="F57" s="17"/>
      <c r="G57" s="18">
        <f t="shared" si="1"/>
        <v>7744.7</v>
      </c>
      <c r="H57" s="240"/>
      <c r="I57" s="7" t="s">
        <v>14</v>
      </c>
      <c r="J57" s="7"/>
    </row>
    <row r="58" spans="1:16" ht="18" customHeight="1" x14ac:dyDescent="0.25">
      <c r="A58" s="14">
        <f t="shared" si="0"/>
        <v>50</v>
      </c>
      <c r="B58" s="8"/>
      <c r="C58" s="46" t="s">
        <v>393</v>
      </c>
      <c r="D58" s="214" t="s">
        <v>19</v>
      </c>
      <c r="E58" s="32"/>
      <c r="F58" s="17"/>
      <c r="G58" s="18">
        <f t="shared" si="1"/>
        <v>7744.7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51</v>
      </c>
      <c r="B59" s="8"/>
      <c r="C59" s="46" t="s">
        <v>393</v>
      </c>
      <c r="D59" s="214" t="s">
        <v>19</v>
      </c>
      <c r="E59" s="32"/>
      <c r="F59" s="17"/>
      <c r="G59" s="18">
        <f t="shared" si="1"/>
        <v>7744.7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52</v>
      </c>
      <c r="B60" s="8"/>
      <c r="C60" s="46" t="s">
        <v>393</v>
      </c>
      <c r="D60" s="214" t="s">
        <v>19</v>
      </c>
      <c r="E60" s="32"/>
      <c r="F60" s="17"/>
      <c r="G60" s="18">
        <f t="shared" si="1"/>
        <v>7744.7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393</v>
      </c>
      <c r="D61" s="214" t="s">
        <v>19</v>
      </c>
      <c r="E61" s="32"/>
      <c r="F61" s="17"/>
      <c r="G61" s="18">
        <f t="shared" si="1"/>
        <v>7744.7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393</v>
      </c>
      <c r="D62" s="214" t="s">
        <v>19</v>
      </c>
      <c r="E62" s="32"/>
      <c r="F62" s="17"/>
      <c r="G62" s="18">
        <f t="shared" si="1"/>
        <v>7744.7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393</v>
      </c>
      <c r="D63" s="214" t="s">
        <v>19</v>
      </c>
      <c r="E63" s="32"/>
      <c r="F63" s="17"/>
      <c r="G63" s="18">
        <f t="shared" si="1"/>
        <v>7744.7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393</v>
      </c>
      <c r="D64" s="214" t="s">
        <v>19</v>
      </c>
      <c r="E64" s="32"/>
      <c r="F64" s="17"/>
      <c r="G64" s="18">
        <f t="shared" si="1"/>
        <v>7744.7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393</v>
      </c>
      <c r="D65" s="214" t="s">
        <v>19</v>
      </c>
      <c r="E65" s="32"/>
      <c r="F65" s="17"/>
      <c r="G65" s="18">
        <f t="shared" si="1"/>
        <v>7744.7</v>
      </c>
      <c r="H65" s="240"/>
      <c r="I65" s="7" t="s">
        <v>14</v>
      </c>
      <c r="J65" s="140"/>
    </row>
    <row r="66" spans="1:10" ht="18" customHeight="1" x14ac:dyDescent="0.25">
      <c r="A66" s="14">
        <f t="shared" si="0"/>
        <v>58</v>
      </c>
      <c r="B66" s="8"/>
      <c r="C66" s="46" t="s">
        <v>393</v>
      </c>
      <c r="D66" s="214" t="s">
        <v>19</v>
      </c>
      <c r="E66" s="32"/>
      <c r="F66" s="17"/>
      <c r="G66" s="18">
        <f t="shared" si="1"/>
        <v>7744.7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393</v>
      </c>
      <c r="D67" s="214" t="s">
        <v>19</v>
      </c>
      <c r="E67" s="32"/>
      <c r="F67" s="17"/>
      <c r="G67" s="18">
        <f>+G66+E67-F67</f>
        <v>7744.7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393</v>
      </c>
      <c r="D68" s="214" t="s">
        <v>19</v>
      </c>
      <c r="E68" s="32"/>
      <c r="F68" s="17"/>
      <c r="G68" s="18">
        <f>+G67+E68-F68</f>
        <v>7744.7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61</v>
      </c>
      <c r="B69" s="8"/>
      <c r="C69" s="46" t="s">
        <v>393</v>
      </c>
      <c r="D69" s="214" t="s">
        <v>19</v>
      </c>
      <c r="E69" s="32"/>
      <c r="F69" s="17"/>
      <c r="G69" s="18">
        <f>+G68+E69-F69</f>
        <v>7744.7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393</v>
      </c>
      <c r="D70" s="214" t="s">
        <v>19</v>
      </c>
      <c r="E70" s="32"/>
      <c r="F70" s="17"/>
      <c r="G70" s="18">
        <f t="shared" si="1"/>
        <v>7744.7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393</v>
      </c>
      <c r="D71" s="214" t="s">
        <v>19</v>
      </c>
      <c r="E71" s="32"/>
      <c r="F71" s="17"/>
      <c r="G71" s="18">
        <f t="shared" si="1"/>
        <v>7744.7</v>
      </c>
      <c r="H71" s="240"/>
      <c r="I71" s="7" t="s">
        <v>14</v>
      </c>
      <c r="J71" s="7"/>
    </row>
    <row r="72" spans="1:10" ht="18" customHeight="1" x14ac:dyDescent="0.25">
      <c r="A72" s="14">
        <f>+A71+1</f>
        <v>64</v>
      </c>
      <c r="B72" s="8"/>
      <c r="C72" s="46" t="s">
        <v>393</v>
      </c>
      <c r="D72" s="214" t="s">
        <v>19</v>
      </c>
      <c r="E72" s="32"/>
      <c r="F72" s="17"/>
      <c r="G72" s="18">
        <f t="shared" si="1"/>
        <v>7744.7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393</v>
      </c>
      <c r="D73" s="214" t="s">
        <v>19</v>
      </c>
      <c r="E73" s="32"/>
      <c r="F73" s="17"/>
      <c r="G73" s="18">
        <f t="shared" si="1"/>
        <v>7744.7</v>
      </c>
      <c r="H73" s="240"/>
      <c r="I73" s="7" t="s">
        <v>14</v>
      </c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393</v>
      </c>
      <c r="D74" s="214" t="s">
        <v>19</v>
      </c>
      <c r="E74" s="32"/>
      <c r="F74" s="17"/>
      <c r="G74" s="18">
        <f t="shared" ref="G74:G91" si="3">+G73+E74-F74</f>
        <v>7744.7</v>
      </c>
      <c r="H74" s="240"/>
      <c r="I74" s="7" t="s">
        <v>14</v>
      </c>
      <c r="J74" s="7"/>
    </row>
    <row r="75" spans="1:10" ht="18" customHeight="1" x14ac:dyDescent="0.25">
      <c r="A75" s="14">
        <f t="shared" si="2"/>
        <v>67</v>
      </c>
      <c r="B75" s="8"/>
      <c r="C75" s="46" t="s">
        <v>393</v>
      </c>
      <c r="D75" s="214" t="s">
        <v>19</v>
      </c>
      <c r="E75" s="32"/>
      <c r="F75" s="17"/>
      <c r="G75" s="18">
        <f t="shared" si="3"/>
        <v>7744.7</v>
      </c>
      <c r="H75" s="240"/>
      <c r="I75" s="7" t="s">
        <v>14</v>
      </c>
      <c r="J75" s="7"/>
    </row>
    <row r="76" spans="1:10" ht="18" customHeight="1" x14ac:dyDescent="0.25">
      <c r="A76" s="14">
        <f t="shared" si="2"/>
        <v>68</v>
      </c>
      <c r="B76" s="8"/>
      <c r="C76" s="46" t="s">
        <v>393</v>
      </c>
      <c r="D76" s="214" t="s">
        <v>19</v>
      </c>
      <c r="E76" s="32"/>
      <c r="F76" s="17"/>
      <c r="G76" s="18">
        <f t="shared" si="3"/>
        <v>7744.7</v>
      </c>
      <c r="H76" s="240"/>
      <c r="I76" s="7" t="s">
        <v>14</v>
      </c>
      <c r="J76" s="7"/>
    </row>
    <row r="77" spans="1:10" ht="18" customHeight="1" x14ac:dyDescent="0.25">
      <c r="A77" s="14">
        <f t="shared" si="2"/>
        <v>69</v>
      </c>
      <c r="B77" s="8"/>
      <c r="C77" s="46" t="s">
        <v>393</v>
      </c>
      <c r="D77" s="214" t="s">
        <v>19</v>
      </c>
      <c r="E77" s="32"/>
      <c r="F77" s="17"/>
      <c r="G77" s="18">
        <f t="shared" si="3"/>
        <v>7744.7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393</v>
      </c>
      <c r="D78" s="214" t="s">
        <v>19</v>
      </c>
      <c r="E78" s="32"/>
      <c r="F78" s="17"/>
      <c r="G78" s="18">
        <f t="shared" si="3"/>
        <v>7744.7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393</v>
      </c>
      <c r="D79" s="214" t="s">
        <v>19</v>
      </c>
      <c r="E79" s="32"/>
      <c r="F79" s="17"/>
      <c r="G79" s="18">
        <f t="shared" si="3"/>
        <v>7744.7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393</v>
      </c>
      <c r="D80" s="214" t="s">
        <v>19</v>
      </c>
      <c r="E80" s="32"/>
      <c r="F80" s="17"/>
      <c r="G80" s="18">
        <f t="shared" si="3"/>
        <v>7744.7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393</v>
      </c>
      <c r="D81" s="214" t="s">
        <v>19</v>
      </c>
      <c r="E81" s="32"/>
      <c r="F81" s="17"/>
      <c r="G81" s="18">
        <f t="shared" si="3"/>
        <v>7744.7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393</v>
      </c>
      <c r="D82" s="214" t="s">
        <v>19</v>
      </c>
      <c r="E82" s="32"/>
      <c r="F82" s="17"/>
      <c r="G82" s="18">
        <f t="shared" si="3"/>
        <v>7744.7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393</v>
      </c>
      <c r="D83" s="214" t="s">
        <v>19</v>
      </c>
      <c r="E83" s="32"/>
      <c r="F83" s="27"/>
      <c r="G83" s="18">
        <f t="shared" si="3"/>
        <v>7744.7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393</v>
      </c>
      <c r="D84" s="214" t="s">
        <v>19</v>
      </c>
      <c r="E84" s="32"/>
      <c r="F84" s="17"/>
      <c r="G84" s="18">
        <f t="shared" si="3"/>
        <v>7744.7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393</v>
      </c>
      <c r="D85" s="214" t="s">
        <v>19</v>
      </c>
      <c r="E85" s="32"/>
      <c r="F85" s="17"/>
      <c r="G85" s="18">
        <f t="shared" si="3"/>
        <v>7744.7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393</v>
      </c>
      <c r="D86" s="214" t="s">
        <v>19</v>
      </c>
      <c r="E86" s="32"/>
      <c r="F86" s="17"/>
      <c r="G86" s="18">
        <f t="shared" si="3"/>
        <v>7744.7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393</v>
      </c>
      <c r="D87" s="214" t="s">
        <v>19</v>
      </c>
      <c r="E87" s="32"/>
      <c r="F87" s="17"/>
      <c r="G87" s="18">
        <f t="shared" si="3"/>
        <v>7744.7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393</v>
      </c>
      <c r="D88" s="214" t="s">
        <v>19</v>
      </c>
      <c r="E88" s="32"/>
      <c r="F88" s="17"/>
      <c r="G88" s="18">
        <f t="shared" si="3"/>
        <v>7744.7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393</v>
      </c>
      <c r="D89" s="214" t="s">
        <v>19</v>
      </c>
      <c r="E89" s="32"/>
      <c r="F89" s="17"/>
      <c r="G89" s="18">
        <f t="shared" si="3"/>
        <v>7744.7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393</v>
      </c>
      <c r="D90" s="214" t="s">
        <v>19</v>
      </c>
      <c r="E90" s="32"/>
      <c r="F90" s="17"/>
      <c r="G90" s="18">
        <f t="shared" si="3"/>
        <v>7744.7</v>
      </c>
      <c r="H90" s="240"/>
      <c r="I90" s="7" t="s">
        <v>14</v>
      </c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393</v>
      </c>
      <c r="D91" s="214" t="s">
        <v>19</v>
      </c>
      <c r="E91" s="32"/>
      <c r="F91" s="27"/>
      <c r="G91" s="18">
        <f t="shared" si="3"/>
        <v>7744.7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393</v>
      </c>
      <c r="D92" s="214" t="s">
        <v>19</v>
      </c>
      <c r="E92" s="32"/>
      <c r="F92" s="27"/>
      <c r="G92" s="18">
        <f>+G91+E92-F92</f>
        <v>7744.7</v>
      </c>
      <c r="H92" s="240"/>
      <c r="I92" s="7" t="s">
        <v>14</v>
      </c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393</v>
      </c>
      <c r="D93" s="244" t="s">
        <v>19</v>
      </c>
      <c r="E93" s="245"/>
      <c r="F93" s="52"/>
      <c r="G93" s="246">
        <f>+G92+E93-F93</f>
        <v>7744.7</v>
      </c>
      <c r="H93" s="240"/>
      <c r="I93" s="247" t="s">
        <v>14</v>
      </c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393</v>
      </c>
      <c r="D94" s="244" t="s">
        <v>19</v>
      </c>
      <c r="E94" s="245"/>
      <c r="F94" s="52"/>
      <c r="G94" s="246">
        <f t="shared" ref="G94:G106" si="4">+G93+E94-F94</f>
        <v>7744.7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393</v>
      </c>
      <c r="D95" s="244" t="s">
        <v>19</v>
      </c>
      <c r="E95" s="245"/>
      <c r="F95" s="52"/>
      <c r="G95" s="246">
        <f t="shared" si="4"/>
        <v>7744.7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393</v>
      </c>
      <c r="D96" s="244" t="s">
        <v>19</v>
      </c>
      <c r="E96" s="245"/>
      <c r="F96" s="52"/>
      <c r="G96" s="246">
        <f t="shared" si="4"/>
        <v>7744.7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393</v>
      </c>
      <c r="D97" s="244" t="s">
        <v>19</v>
      </c>
      <c r="E97" s="245"/>
      <c r="F97" s="52"/>
      <c r="G97" s="246">
        <f t="shared" si="4"/>
        <v>7744.7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393</v>
      </c>
      <c r="D98" s="244" t="s">
        <v>19</v>
      </c>
      <c r="E98" s="245"/>
      <c r="F98" s="52"/>
      <c r="G98" s="246">
        <f t="shared" si="4"/>
        <v>7744.7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393</v>
      </c>
      <c r="D99" s="244" t="s">
        <v>19</v>
      </c>
      <c r="E99" s="245"/>
      <c r="F99" s="52"/>
      <c r="G99" s="246">
        <f t="shared" si="4"/>
        <v>7744.7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393</v>
      </c>
      <c r="D100" s="244" t="s">
        <v>19</v>
      </c>
      <c r="E100" s="245"/>
      <c r="F100" s="52"/>
      <c r="G100" s="246">
        <f t="shared" si="4"/>
        <v>7744.7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7744.7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7744.7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7744.7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7744.7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7744.7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7744.7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7744.7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7744.7</v>
      </c>
      <c r="F108" s="35">
        <f>SUM(F8:F107)</f>
        <v>0</v>
      </c>
      <c r="G108" s="35">
        <f>+E108-F108+G8</f>
        <v>7744.7</v>
      </c>
      <c r="H108" s="35"/>
      <c r="I108" s="36"/>
      <c r="J108" s="7">
        <f>SUM(J9:J107)</f>
        <v>8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E592-ED3F-4A11-95E1-C2F424978F55}">
  <sheetPr codeName="Sheet70"/>
  <dimension ref="A1:R119"/>
  <sheetViews>
    <sheetView workbookViewId="0">
      <selection activeCell="F16" sqref="F16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10" width="12.42578125" customWidth="1"/>
    <col min="11" max="11" width="18.42578125" customWidth="1"/>
    <col min="13" max="13" width="11.28515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2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  <c r="J5" s="2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352</v>
      </c>
      <c r="K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1927</v>
      </c>
      <c r="H8" s="7"/>
      <c r="I8" s="7"/>
      <c r="J8" s="7"/>
      <c r="K8" s="7"/>
    </row>
    <row r="9" spans="1:12" ht="17.25" customHeight="1" x14ac:dyDescent="0.25">
      <c r="A9" s="14">
        <v>1</v>
      </c>
      <c r="B9" s="8">
        <v>45696</v>
      </c>
      <c r="C9" s="46" t="s">
        <v>173</v>
      </c>
      <c r="D9" s="214" t="s">
        <v>19</v>
      </c>
      <c r="E9" s="30">
        <v>3920.1</v>
      </c>
      <c r="F9" s="27"/>
      <c r="G9" s="18">
        <f>+G8+E9-F9</f>
        <v>5847.1</v>
      </c>
      <c r="H9" s="28" t="s">
        <v>91</v>
      </c>
      <c r="I9" s="7"/>
      <c r="J9" s="7"/>
      <c r="K9" s="7">
        <v>4</v>
      </c>
    </row>
    <row r="10" spans="1:12" ht="17.25" customHeight="1" x14ac:dyDescent="0.25">
      <c r="A10" s="14">
        <f t="shared" ref="A10:A73" si="0">+A9+1</f>
        <v>2</v>
      </c>
      <c r="B10" s="8">
        <v>45759</v>
      </c>
      <c r="C10" s="46" t="s">
        <v>173</v>
      </c>
      <c r="D10" s="214" t="s">
        <v>19</v>
      </c>
      <c r="E10" s="11"/>
      <c r="F10" s="27">
        <v>645</v>
      </c>
      <c r="G10" s="18">
        <f t="shared" ref="G10:G73" si="1">+G9+E10-F10</f>
        <v>5202.1000000000004</v>
      </c>
      <c r="H10" s="28" t="s">
        <v>91</v>
      </c>
      <c r="I10" s="7"/>
      <c r="J10" s="7"/>
      <c r="K10" s="7"/>
    </row>
    <row r="11" spans="1:12" ht="18" customHeight="1" x14ac:dyDescent="0.25">
      <c r="A11" s="14">
        <f t="shared" si="0"/>
        <v>3</v>
      </c>
      <c r="B11" s="8">
        <v>45786</v>
      </c>
      <c r="C11" s="46" t="s">
        <v>388</v>
      </c>
      <c r="D11" s="214" t="s">
        <v>19</v>
      </c>
      <c r="E11" s="16"/>
      <c r="F11" s="27">
        <v>1972.4</v>
      </c>
      <c r="G11" s="18">
        <f t="shared" si="1"/>
        <v>3229.7000000000003</v>
      </c>
      <c r="H11" s="28" t="s">
        <v>91</v>
      </c>
      <c r="I11" s="7"/>
      <c r="J11" s="7"/>
      <c r="K11" s="140"/>
    </row>
    <row r="12" spans="1:12" ht="18" customHeight="1" x14ac:dyDescent="0.25">
      <c r="A12" s="14">
        <f t="shared" si="0"/>
        <v>4</v>
      </c>
      <c r="B12" s="8">
        <v>45843</v>
      </c>
      <c r="C12" s="46" t="s">
        <v>173</v>
      </c>
      <c r="D12" s="214" t="s">
        <v>19</v>
      </c>
      <c r="E12" s="16"/>
      <c r="F12" s="17">
        <v>646.29999999999995</v>
      </c>
      <c r="G12" s="18">
        <f t="shared" si="1"/>
        <v>2583.4000000000005</v>
      </c>
      <c r="H12" s="28" t="s">
        <v>91</v>
      </c>
      <c r="I12" s="7"/>
      <c r="J12" s="7"/>
      <c r="K12" s="140"/>
      <c r="L12" t="s">
        <v>188</v>
      </c>
    </row>
    <row r="13" spans="1:12" ht="18" customHeight="1" x14ac:dyDescent="0.25">
      <c r="A13" s="14">
        <f t="shared" si="0"/>
        <v>5</v>
      </c>
      <c r="B13" s="205">
        <v>45845</v>
      </c>
      <c r="C13" s="46" t="s">
        <v>173</v>
      </c>
      <c r="D13" s="214" t="s">
        <v>19</v>
      </c>
      <c r="E13" s="16"/>
      <c r="F13" s="17">
        <v>638</v>
      </c>
      <c r="G13" s="18">
        <f t="shared" si="1"/>
        <v>1945.4000000000005</v>
      </c>
      <c r="H13" s="28" t="s">
        <v>91</v>
      </c>
      <c r="I13" s="7"/>
      <c r="J13" s="7"/>
      <c r="K13" s="140"/>
    </row>
    <row r="14" spans="1:12" ht="18" customHeight="1" x14ac:dyDescent="0.25">
      <c r="A14" s="14">
        <f t="shared" si="0"/>
        <v>6</v>
      </c>
      <c r="B14" s="8">
        <v>45856</v>
      </c>
      <c r="C14" s="46" t="s">
        <v>173</v>
      </c>
      <c r="D14" s="214" t="s">
        <v>19</v>
      </c>
      <c r="E14" s="16"/>
      <c r="F14" s="27">
        <v>975.1</v>
      </c>
      <c r="G14" s="18">
        <f t="shared" si="1"/>
        <v>970.30000000000052</v>
      </c>
      <c r="H14" s="28" t="s">
        <v>91</v>
      </c>
      <c r="I14" s="7"/>
      <c r="J14" s="7"/>
      <c r="K14" s="7"/>
    </row>
    <row r="15" spans="1:12" ht="18" customHeight="1" x14ac:dyDescent="0.25">
      <c r="A15" s="14">
        <f t="shared" si="0"/>
        <v>7</v>
      </c>
      <c r="B15" s="8">
        <v>45890</v>
      </c>
      <c r="C15" s="46" t="s">
        <v>173</v>
      </c>
      <c r="D15" s="214" t="s">
        <v>19</v>
      </c>
      <c r="E15" s="16"/>
      <c r="F15" s="27">
        <v>972.6</v>
      </c>
      <c r="G15" s="18">
        <f t="shared" si="1"/>
        <v>-2.2999999999994998</v>
      </c>
      <c r="H15" s="28" t="s">
        <v>91</v>
      </c>
      <c r="I15" s="7"/>
      <c r="J15" s="7"/>
      <c r="K15" s="140"/>
    </row>
    <row r="16" spans="1:12" ht="18" customHeight="1" x14ac:dyDescent="0.25">
      <c r="A16" s="14">
        <f t="shared" si="0"/>
        <v>8</v>
      </c>
      <c r="B16" s="8"/>
      <c r="C16" s="46" t="s">
        <v>173</v>
      </c>
      <c r="D16" s="214" t="s">
        <v>19</v>
      </c>
      <c r="E16" s="16"/>
      <c r="F16" s="27"/>
      <c r="G16" s="18">
        <f t="shared" si="1"/>
        <v>-2.2999999999994998</v>
      </c>
      <c r="H16" s="28" t="s">
        <v>91</v>
      </c>
      <c r="I16" s="7"/>
      <c r="J16" s="7"/>
      <c r="K16" s="7"/>
    </row>
    <row r="17" spans="1:11" ht="18" customHeight="1" x14ac:dyDescent="0.25">
      <c r="A17" s="14">
        <f t="shared" si="0"/>
        <v>9</v>
      </c>
      <c r="B17" s="8"/>
      <c r="C17" s="46" t="s">
        <v>173</v>
      </c>
      <c r="D17" s="214" t="s">
        <v>19</v>
      </c>
      <c r="E17" s="30"/>
      <c r="F17" s="27"/>
      <c r="G17" s="18">
        <f t="shared" si="1"/>
        <v>-2.2999999999994998</v>
      </c>
      <c r="H17" s="28" t="s">
        <v>91</v>
      </c>
      <c r="I17" s="7"/>
      <c r="J17" s="7"/>
      <c r="K17" s="7"/>
    </row>
    <row r="18" spans="1:11" s="230" customFormat="1" ht="18" customHeight="1" x14ac:dyDescent="0.25">
      <c r="A18" s="223">
        <f>+A17+1</f>
        <v>10</v>
      </c>
      <c r="B18" s="224"/>
      <c r="C18" s="46" t="s">
        <v>173</v>
      </c>
      <c r="D18" s="226" t="s">
        <v>19</v>
      </c>
      <c r="E18" s="227"/>
      <c r="F18" s="228"/>
      <c r="G18" s="229">
        <f t="shared" si="1"/>
        <v>-2.2999999999994998</v>
      </c>
      <c r="H18" s="28" t="s">
        <v>91</v>
      </c>
      <c r="I18" s="7"/>
      <c r="J18" s="7"/>
      <c r="K18" s="348"/>
    </row>
    <row r="19" spans="1:11" s="230" customFormat="1" ht="18" customHeight="1" x14ac:dyDescent="0.25">
      <c r="A19" s="223">
        <f t="shared" si="0"/>
        <v>11</v>
      </c>
      <c r="B19" s="224"/>
      <c r="C19" s="46" t="s">
        <v>173</v>
      </c>
      <c r="D19" s="226" t="s">
        <v>19</v>
      </c>
      <c r="E19" s="231"/>
      <c r="F19" s="228"/>
      <c r="G19" s="229">
        <f t="shared" si="1"/>
        <v>-2.2999999999994998</v>
      </c>
      <c r="H19" s="28" t="s">
        <v>91</v>
      </c>
      <c r="I19" s="7"/>
      <c r="J19" s="7"/>
      <c r="K19" s="348"/>
    </row>
    <row r="20" spans="1:11" ht="18" customHeight="1" x14ac:dyDescent="0.25">
      <c r="A20" s="14">
        <f t="shared" si="0"/>
        <v>12</v>
      </c>
      <c r="B20" s="8"/>
      <c r="C20" s="46" t="s">
        <v>173</v>
      </c>
      <c r="D20" s="214" t="s">
        <v>19</v>
      </c>
      <c r="E20" s="32"/>
      <c r="F20" s="17"/>
      <c r="G20" s="18">
        <f t="shared" si="1"/>
        <v>-2.2999999999994998</v>
      </c>
      <c r="H20" s="28" t="s">
        <v>91</v>
      </c>
      <c r="I20" s="7"/>
      <c r="J20" s="7"/>
      <c r="K20" s="7"/>
    </row>
    <row r="21" spans="1:11" ht="18" customHeight="1" x14ac:dyDescent="0.25">
      <c r="A21" s="14">
        <f t="shared" si="0"/>
        <v>13</v>
      </c>
      <c r="B21" s="8"/>
      <c r="C21" s="46" t="s">
        <v>173</v>
      </c>
      <c r="D21" s="214" t="s">
        <v>19</v>
      </c>
      <c r="E21" s="32"/>
      <c r="F21" s="27"/>
      <c r="G21" s="18">
        <f t="shared" si="1"/>
        <v>-2.2999999999994998</v>
      </c>
      <c r="H21" s="28" t="s">
        <v>91</v>
      </c>
      <c r="I21" s="7"/>
      <c r="J21" s="7"/>
      <c r="K21" s="7"/>
    </row>
    <row r="22" spans="1:11" ht="18" customHeight="1" x14ac:dyDescent="0.25">
      <c r="A22" s="14">
        <f t="shared" si="0"/>
        <v>14</v>
      </c>
      <c r="B22" s="232"/>
      <c r="C22" s="46" t="s">
        <v>173</v>
      </c>
      <c r="D22" s="234" t="s">
        <v>19</v>
      </c>
      <c r="E22" s="235"/>
      <c r="F22" s="172"/>
      <c r="G22" s="18">
        <f t="shared" si="1"/>
        <v>-2.2999999999994998</v>
      </c>
      <c r="H22" s="28" t="s">
        <v>129</v>
      </c>
      <c r="I22" s="7"/>
      <c r="J22" s="7"/>
      <c r="K22" s="7"/>
    </row>
    <row r="23" spans="1:11" ht="18" customHeight="1" x14ac:dyDescent="0.25">
      <c r="A23" s="14">
        <f t="shared" si="0"/>
        <v>15</v>
      </c>
      <c r="B23" s="8"/>
      <c r="C23" s="46" t="s">
        <v>173</v>
      </c>
      <c r="D23" s="214" t="s">
        <v>19</v>
      </c>
      <c r="E23" s="32"/>
      <c r="F23" s="17"/>
      <c r="G23" s="18">
        <f t="shared" si="1"/>
        <v>-2.2999999999994998</v>
      </c>
      <c r="H23" s="28" t="s">
        <v>129</v>
      </c>
      <c r="I23" s="7"/>
      <c r="J23" s="7"/>
      <c r="K23" s="7"/>
    </row>
    <row r="24" spans="1:11" ht="18" customHeight="1" x14ac:dyDescent="0.25">
      <c r="A24" s="14">
        <f t="shared" si="0"/>
        <v>16</v>
      </c>
      <c r="B24" s="8"/>
      <c r="C24" s="46" t="s">
        <v>173</v>
      </c>
      <c r="D24" s="214" t="s">
        <v>19</v>
      </c>
      <c r="E24" s="32"/>
      <c r="F24" s="17"/>
      <c r="G24" s="18">
        <f t="shared" si="1"/>
        <v>-2.2999999999994998</v>
      </c>
      <c r="H24" s="28" t="s">
        <v>91</v>
      </c>
      <c r="I24" s="7"/>
      <c r="J24" s="7"/>
      <c r="K24" s="7"/>
    </row>
    <row r="25" spans="1:11" ht="18" customHeight="1" x14ac:dyDescent="0.25">
      <c r="A25" s="14">
        <f t="shared" si="0"/>
        <v>17</v>
      </c>
      <c r="B25" s="8"/>
      <c r="C25" s="46" t="s">
        <v>173</v>
      </c>
      <c r="D25" s="214" t="s">
        <v>19</v>
      </c>
      <c r="E25" s="32"/>
      <c r="F25" s="17"/>
      <c r="G25" s="18">
        <f t="shared" si="1"/>
        <v>-2.2999999999994998</v>
      </c>
      <c r="H25" s="28" t="s">
        <v>91</v>
      </c>
      <c r="I25" s="7"/>
      <c r="J25" s="7"/>
      <c r="K25" s="7"/>
    </row>
    <row r="26" spans="1:11" ht="18" customHeight="1" x14ac:dyDescent="0.25">
      <c r="A26" s="14">
        <f t="shared" si="0"/>
        <v>18</v>
      </c>
      <c r="B26" s="8"/>
      <c r="C26" s="46" t="s">
        <v>173</v>
      </c>
      <c r="D26" s="214" t="s">
        <v>19</v>
      </c>
      <c r="E26" s="32"/>
      <c r="F26" s="17"/>
      <c r="G26" s="18">
        <f t="shared" si="1"/>
        <v>-2.2999999999994998</v>
      </c>
      <c r="H26" s="28" t="s">
        <v>91</v>
      </c>
      <c r="I26" s="7"/>
      <c r="J26" s="7"/>
      <c r="K26" s="7"/>
    </row>
    <row r="27" spans="1:11" ht="18" customHeight="1" x14ac:dyDescent="0.25">
      <c r="A27" s="14">
        <f>+A26+1</f>
        <v>19</v>
      </c>
      <c r="B27" s="8"/>
      <c r="C27" s="46" t="s">
        <v>173</v>
      </c>
      <c r="D27" s="214" t="s">
        <v>19</v>
      </c>
      <c r="E27" s="32"/>
      <c r="F27" s="125"/>
      <c r="G27" s="18">
        <f t="shared" si="1"/>
        <v>-2.2999999999994998</v>
      </c>
      <c r="H27" s="28" t="s">
        <v>91</v>
      </c>
      <c r="I27" s="7"/>
      <c r="J27" s="7"/>
      <c r="K27" s="7"/>
    </row>
    <row r="28" spans="1:11" ht="18" customHeight="1" x14ac:dyDescent="0.25">
      <c r="A28" s="14">
        <f t="shared" si="0"/>
        <v>20</v>
      </c>
      <c r="B28" s="8"/>
      <c r="C28" s="46" t="s">
        <v>173</v>
      </c>
      <c r="D28" s="214" t="s">
        <v>19</v>
      </c>
      <c r="E28" s="129"/>
      <c r="F28" s="17"/>
      <c r="G28" s="18">
        <f t="shared" si="1"/>
        <v>-2.2999999999994998</v>
      </c>
      <c r="H28" s="28" t="s">
        <v>91</v>
      </c>
      <c r="I28" s="7"/>
      <c r="J28" s="7"/>
      <c r="K28" s="7"/>
    </row>
    <row r="29" spans="1:11" ht="18" customHeight="1" x14ac:dyDescent="0.25">
      <c r="A29" s="14">
        <f t="shared" si="0"/>
        <v>21</v>
      </c>
      <c r="B29" s="8"/>
      <c r="C29" s="46" t="s">
        <v>173</v>
      </c>
      <c r="D29" s="214" t="s">
        <v>19</v>
      </c>
      <c r="E29" s="32"/>
      <c r="F29" s="172"/>
      <c r="G29" s="18">
        <f t="shared" si="1"/>
        <v>-2.2999999999994998</v>
      </c>
      <c r="H29" s="28" t="s">
        <v>91</v>
      </c>
      <c r="I29" s="7"/>
      <c r="J29" s="7"/>
      <c r="K29" s="7"/>
    </row>
    <row r="30" spans="1:11" ht="18" customHeight="1" x14ac:dyDescent="0.25">
      <c r="A30" s="14">
        <f t="shared" si="0"/>
        <v>22</v>
      </c>
      <c r="B30" s="8"/>
      <c r="C30" s="46" t="s">
        <v>173</v>
      </c>
      <c r="D30" s="214" t="s">
        <v>19</v>
      </c>
      <c r="E30" s="32"/>
      <c r="F30" s="125"/>
      <c r="G30" s="18">
        <f t="shared" si="1"/>
        <v>-2.2999999999994998</v>
      </c>
      <c r="H30" s="28" t="s">
        <v>91</v>
      </c>
      <c r="I30" s="7"/>
      <c r="J30" s="7"/>
      <c r="K30" s="7"/>
    </row>
    <row r="31" spans="1:11" ht="18" customHeight="1" x14ac:dyDescent="0.25">
      <c r="A31" s="14">
        <f t="shared" si="0"/>
        <v>23</v>
      </c>
      <c r="B31" s="8"/>
      <c r="C31" s="46" t="s">
        <v>173</v>
      </c>
      <c r="D31" s="214" t="s">
        <v>19</v>
      </c>
      <c r="E31" s="32"/>
      <c r="F31" s="152"/>
      <c r="G31" s="18">
        <f t="shared" si="1"/>
        <v>-2.2999999999994998</v>
      </c>
      <c r="H31" s="28" t="s">
        <v>91</v>
      </c>
      <c r="I31" s="7"/>
      <c r="J31" s="7"/>
      <c r="K31" s="7"/>
    </row>
    <row r="32" spans="1:11" ht="17.25" customHeight="1" x14ac:dyDescent="0.25">
      <c r="A32" s="14">
        <f t="shared" si="0"/>
        <v>24</v>
      </c>
      <c r="B32" s="8"/>
      <c r="C32" s="46" t="s">
        <v>173</v>
      </c>
      <c r="D32" s="214" t="s">
        <v>19</v>
      </c>
      <c r="E32" s="13"/>
      <c r="F32" s="17"/>
      <c r="G32" s="18">
        <f t="shared" si="1"/>
        <v>-2.2999999999994998</v>
      </c>
      <c r="H32" s="28" t="s">
        <v>91</v>
      </c>
      <c r="I32" s="7"/>
      <c r="J32" s="7"/>
      <c r="K32" s="7"/>
    </row>
    <row r="33" spans="1:17" ht="17.25" customHeight="1" x14ac:dyDescent="0.25">
      <c r="A33" s="14">
        <f t="shared" si="0"/>
        <v>25</v>
      </c>
      <c r="B33" s="44"/>
      <c r="C33" s="46" t="s">
        <v>173</v>
      </c>
      <c r="D33" s="214" t="s">
        <v>19</v>
      </c>
      <c r="E33" s="13"/>
      <c r="F33" s="17"/>
      <c r="G33" s="18">
        <f t="shared" si="1"/>
        <v>-2.2999999999994998</v>
      </c>
      <c r="H33" s="178"/>
      <c r="I33" s="7"/>
      <c r="J33" s="7"/>
      <c r="K33" s="7"/>
    </row>
    <row r="34" spans="1:17" ht="18" customHeight="1" x14ac:dyDescent="0.25">
      <c r="A34" s="14">
        <f t="shared" si="0"/>
        <v>26</v>
      </c>
      <c r="B34" s="8"/>
      <c r="C34" s="46" t="s">
        <v>173</v>
      </c>
      <c r="D34" s="214" t="s">
        <v>19</v>
      </c>
      <c r="E34" s="32"/>
      <c r="F34" s="40"/>
      <c r="G34" s="238">
        <f t="shared" si="1"/>
        <v>-2.2999999999994998</v>
      </c>
      <c r="H34" s="178"/>
      <c r="I34" s="7"/>
      <c r="J34" s="7"/>
      <c r="K34" s="7"/>
    </row>
    <row r="35" spans="1:17" ht="18" customHeight="1" x14ac:dyDescent="0.25">
      <c r="A35" s="14">
        <f t="shared" si="0"/>
        <v>27</v>
      </c>
      <c r="B35" s="45"/>
      <c r="C35" s="46" t="s">
        <v>173</v>
      </c>
      <c r="D35" s="214" t="s">
        <v>19</v>
      </c>
      <c r="E35" s="32"/>
      <c r="F35" s="40"/>
      <c r="G35" s="18">
        <f t="shared" si="1"/>
        <v>-2.2999999999994998</v>
      </c>
      <c r="H35" s="178"/>
      <c r="I35" s="7"/>
      <c r="J35" s="7"/>
      <c r="K35" s="7"/>
    </row>
    <row r="36" spans="1:17" ht="18" customHeight="1" x14ac:dyDescent="0.25">
      <c r="A36" s="14">
        <f t="shared" si="0"/>
        <v>28</v>
      </c>
      <c r="B36" s="8"/>
      <c r="C36" s="46" t="s">
        <v>173</v>
      </c>
      <c r="D36" s="214" t="s">
        <v>19</v>
      </c>
      <c r="E36" s="32"/>
      <c r="F36" s="40"/>
      <c r="G36" s="18">
        <f t="shared" si="1"/>
        <v>-2.2999999999994998</v>
      </c>
      <c r="H36" s="178"/>
      <c r="I36" s="7"/>
      <c r="J36" s="7"/>
      <c r="K36" s="7"/>
    </row>
    <row r="37" spans="1:17" ht="18" customHeight="1" x14ac:dyDescent="0.25">
      <c r="A37" s="14">
        <f t="shared" si="0"/>
        <v>29</v>
      </c>
      <c r="B37" s="8"/>
      <c r="C37" s="46" t="s">
        <v>173</v>
      </c>
      <c r="D37" s="214" t="s">
        <v>19</v>
      </c>
      <c r="E37" s="32"/>
      <c r="F37" s="17"/>
      <c r="G37" s="18">
        <f t="shared" si="1"/>
        <v>-2.2999999999994998</v>
      </c>
      <c r="H37" s="178"/>
      <c r="I37" s="7"/>
      <c r="J37" s="7"/>
      <c r="K37" s="7"/>
    </row>
    <row r="38" spans="1:17" ht="18" customHeight="1" x14ac:dyDescent="0.25">
      <c r="A38" s="14">
        <f t="shared" si="0"/>
        <v>30</v>
      </c>
      <c r="B38" s="8"/>
      <c r="C38" s="46" t="s">
        <v>173</v>
      </c>
      <c r="D38" s="214" t="s">
        <v>19</v>
      </c>
      <c r="E38" s="32"/>
      <c r="F38" s="17"/>
      <c r="G38" s="18">
        <f t="shared" si="1"/>
        <v>-2.2999999999994998</v>
      </c>
      <c r="H38" s="178"/>
      <c r="I38" s="7"/>
      <c r="J38" s="7"/>
      <c r="K38" s="7"/>
    </row>
    <row r="39" spans="1:17" ht="18" customHeight="1" x14ac:dyDescent="0.25">
      <c r="A39" s="14">
        <f t="shared" si="0"/>
        <v>31</v>
      </c>
      <c r="B39" s="8"/>
      <c r="C39" s="46" t="s">
        <v>173</v>
      </c>
      <c r="D39" s="214" t="s">
        <v>19</v>
      </c>
      <c r="E39" s="32"/>
      <c r="F39" s="17"/>
      <c r="G39" s="18">
        <f t="shared" si="1"/>
        <v>-2.2999999999994998</v>
      </c>
      <c r="H39" s="178"/>
      <c r="I39" s="7"/>
      <c r="J39" s="7"/>
      <c r="K39" s="7"/>
    </row>
    <row r="40" spans="1:17" ht="18" customHeight="1" x14ac:dyDescent="0.25">
      <c r="A40" s="14">
        <f t="shared" si="0"/>
        <v>32</v>
      </c>
      <c r="B40" s="8"/>
      <c r="C40" s="46" t="s">
        <v>173</v>
      </c>
      <c r="D40" s="214" t="s">
        <v>19</v>
      </c>
      <c r="E40" s="32"/>
      <c r="F40" s="17"/>
      <c r="G40" s="18">
        <f t="shared" si="1"/>
        <v>-2.2999999999994998</v>
      </c>
      <c r="H40" s="178"/>
      <c r="I40" s="7"/>
      <c r="J40" s="7"/>
      <c r="K40" s="7"/>
    </row>
    <row r="41" spans="1:17" ht="18" customHeight="1" x14ac:dyDescent="0.25">
      <c r="A41" s="14">
        <f t="shared" si="0"/>
        <v>33</v>
      </c>
      <c r="B41" s="8"/>
      <c r="C41" s="46" t="s">
        <v>173</v>
      </c>
      <c r="D41" s="214" t="s">
        <v>19</v>
      </c>
      <c r="E41" s="32"/>
      <c r="F41" s="172"/>
      <c r="G41" s="18">
        <f t="shared" si="1"/>
        <v>-2.2999999999994998</v>
      </c>
      <c r="H41" s="178"/>
      <c r="I41" s="7"/>
      <c r="J41" s="7"/>
      <c r="K41" s="7"/>
      <c r="Q41" s="162"/>
    </row>
    <row r="42" spans="1:17" ht="18" customHeight="1" x14ac:dyDescent="0.25">
      <c r="A42" s="14">
        <f t="shared" si="0"/>
        <v>34</v>
      </c>
      <c r="B42" s="8"/>
      <c r="C42" s="46" t="s">
        <v>173</v>
      </c>
      <c r="D42" s="214" t="s">
        <v>19</v>
      </c>
      <c r="E42" s="32"/>
      <c r="F42" s="17"/>
      <c r="G42" s="18">
        <f t="shared" si="1"/>
        <v>-2.2999999999994998</v>
      </c>
      <c r="H42" s="178"/>
      <c r="I42" s="7"/>
      <c r="J42" s="7"/>
      <c r="K42" s="7"/>
    </row>
    <row r="43" spans="1:17" ht="18" customHeight="1" x14ac:dyDescent="0.25">
      <c r="A43" s="14">
        <f t="shared" si="0"/>
        <v>35</v>
      </c>
      <c r="B43" s="8"/>
      <c r="C43" s="46" t="s">
        <v>173</v>
      </c>
      <c r="D43" s="214" t="s">
        <v>19</v>
      </c>
      <c r="E43" s="32"/>
      <c r="F43" s="17"/>
      <c r="G43" s="18">
        <f t="shared" si="1"/>
        <v>-2.2999999999994998</v>
      </c>
      <c r="H43" s="178"/>
      <c r="I43" s="7"/>
      <c r="J43" s="7"/>
      <c r="K43" s="7"/>
    </row>
    <row r="44" spans="1:17" ht="18" customHeight="1" x14ac:dyDescent="0.25">
      <c r="A44" s="14">
        <f t="shared" si="0"/>
        <v>36</v>
      </c>
      <c r="B44" s="8"/>
      <c r="C44" s="46" t="s">
        <v>173</v>
      </c>
      <c r="D44" s="214" t="s">
        <v>19</v>
      </c>
      <c r="E44" s="32"/>
      <c r="F44" s="17"/>
      <c r="G44" s="18">
        <f t="shared" si="1"/>
        <v>-2.2999999999994998</v>
      </c>
      <c r="H44" s="178"/>
      <c r="I44" s="7"/>
      <c r="J44" s="7"/>
      <c r="K44" s="7"/>
    </row>
    <row r="45" spans="1:17" ht="18" customHeight="1" x14ac:dyDescent="0.25">
      <c r="A45" s="14">
        <f t="shared" si="0"/>
        <v>37</v>
      </c>
      <c r="B45" s="8"/>
      <c r="C45" s="46" t="s">
        <v>173</v>
      </c>
      <c r="D45" s="214" t="s">
        <v>19</v>
      </c>
      <c r="E45" s="32"/>
      <c r="F45" s="17"/>
      <c r="G45" s="18">
        <f t="shared" si="1"/>
        <v>-2.2999999999994998</v>
      </c>
      <c r="H45" s="178"/>
      <c r="I45" s="29"/>
      <c r="J45" s="29"/>
      <c r="K45" s="7"/>
    </row>
    <row r="46" spans="1:17" ht="18" customHeight="1" x14ac:dyDescent="0.25">
      <c r="A46" s="14">
        <f t="shared" si="0"/>
        <v>38</v>
      </c>
      <c r="B46" s="8"/>
      <c r="C46" s="46" t="s">
        <v>173</v>
      </c>
      <c r="D46" s="214" t="s">
        <v>19</v>
      </c>
      <c r="E46" s="32"/>
      <c r="F46" s="17"/>
      <c r="G46" s="18">
        <f t="shared" si="1"/>
        <v>-2.2999999999994998</v>
      </c>
      <c r="H46" s="178"/>
      <c r="I46" s="29"/>
      <c r="J46" s="29"/>
      <c r="K46" s="7"/>
    </row>
    <row r="47" spans="1:17" ht="18" customHeight="1" x14ac:dyDescent="0.25">
      <c r="A47" s="14">
        <f t="shared" si="0"/>
        <v>39</v>
      </c>
      <c r="B47" s="8"/>
      <c r="C47" s="46" t="s">
        <v>173</v>
      </c>
      <c r="D47" s="214" t="s">
        <v>19</v>
      </c>
      <c r="E47" s="32"/>
      <c r="F47" s="17"/>
      <c r="G47" s="18">
        <f t="shared" si="1"/>
        <v>-2.2999999999994998</v>
      </c>
      <c r="H47" s="178"/>
      <c r="I47" s="29"/>
      <c r="J47" s="29"/>
      <c r="K47" s="7"/>
    </row>
    <row r="48" spans="1:17" ht="18" customHeight="1" x14ac:dyDescent="0.25">
      <c r="A48" s="14">
        <f t="shared" si="0"/>
        <v>40</v>
      </c>
      <c r="B48" s="8"/>
      <c r="C48" s="46" t="s">
        <v>173</v>
      </c>
      <c r="D48" s="214" t="s">
        <v>19</v>
      </c>
      <c r="E48" s="32"/>
      <c r="F48" s="17"/>
      <c r="G48" s="18">
        <f t="shared" si="1"/>
        <v>-2.2999999999994998</v>
      </c>
      <c r="H48" s="178"/>
      <c r="I48" s="29"/>
      <c r="J48" s="29"/>
      <c r="K48" s="7"/>
    </row>
    <row r="49" spans="1:17" ht="18" customHeight="1" x14ac:dyDescent="0.25">
      <c r="A49" s="14">
        <f t="shared" si="0"/>
        <v>41</v>
      </c>
      <c r="B49" s="8"/>
      <c r="C49" s="46" t="s">
        <v>173</v>
      </c>
      <c r="D49" s="214" t="s">
        <v>19</v>
      </c>
      <c r="E49" s="32"/>
      <c r="F49" s="17"/>
      <c r="G49" s="18">
        <f t="shared" si="1"/>
        <v>-2.2999999999994998</v>
      </c>
      <c r="H49" s="178"/>
      <c r="I49" s="7"/>
      <c r="J49" s="7"/>
      <c r="K49" s="7"/>
    </row>
    <row r="50" spans="1:17" s="162" customFormat="1" ht="18" customHeight="1" x14ac:dyDescent="0.25">
      <c r="A50" s="158">
        <f t="shared" si="0"/>
        <v>42</v>
      </c>
      <c r="B50" s="174"/>
      <c r="C50" s="46" t="s">
        <v>173</v>
      </c>
      <c r="D50" s="237" t="s">
        <v>19</v>
      </c>
      <c r="E50" s="175"/>
      <c r="F50" s="172"/>
      <c r="G50" s="238">
        <f t="shared" si="1"/>
        <v>-2.2999999999994998</v>
      </c>
      <c r="H50" s="178"/>
      <c r="I50" s="7"/>
      <c r="J50" s="7"/>
      <c r="K50" s="271"/>
      <c r="Q50"/>
    </row>
    <row r="51" spans="1:17" ht="18" customHeight="1" x14ac:dyDescent="0.25">
      <c r="A51" s="14">
        <f t="shared" si="0"/>
        <v>43</v>
      </c>
      <c r="B51" s="8"/>
      <c r="C51" s="46" t="s">
        <v>173</v>
      </c>
      <c r="D51" s="214" t="s">
        <v>19</v>
      </c>
      <c r="E51" s="32"/>
      <c r="F51" s="17"/>
      <c r="G51" s="18">
        <f t="shared" si="1"/>
        <v>-2.2999999999994998</v>
      </c>
      <c r="H51" s="239"/>
      <c r="I51" s="7"/>
      <c r="J51" s="7"/>
      <c r="K51" s="7"/>
    </row>
    <row r="52" spans="1:17" ht="18" customHeight="1" x14ac:dyDescent="0.25">
      <c r="A52" s="14">
        <f t="shared" si="0"/>
        <v>44</v>
      </c>
      <c r="B52" s="8"/>
      <c r="C52" s="46" t="s">
        <v>173</v>
      </c>
      <c r="D52" s="214" t="s">
        <v>19</v>
      </c>
      <c r="E52" s="32"/>
      <c r="F52" s="17"/>
      <c r="G52" s="18">
        <f t="shared" si="1"/>
        <v>-2.2999999999994998</v>
      </c>
      <c r="H52" s="239"/>
      <c r="I52" s="7"/>
      <c r="J52" s="7"/>
      <c r="K52" s="7"/>
    </row>
    <row r="53" spans="1:17" ht="18" customHeight="1" x14ac:dyDescent="0.25">
      <c r="A53" s="14">
        <f t="shared" si="0"/>
        <v>45</v>
      </c>
      <c r="B53" s="8"/>
      <c r="C53" s="46" t="s">
        <v>173</v>
      </c>
      <c r="D53" s="214" t="s">
        <v>19</v>
      </c>
      <c r="E53" s="32"/>
      <c r="F53" s="17"/>
      <c r="G53" s="18">
        <f t="shared" si="1"/>
        <v>-2.2999999999994998</v>
      </c>
      <c r="H53" s="239"/>
      <c r="I53" s="7"/>
      <c r="J53" s="7"/>
      <c r="K53" s="7"/>
    </row>
    <row r="54" spans="1:17" ht="18" customHeight="1" x14ac:dyDescent="0.25">
      <c r="A54" s="14">
        <f t="shared" si="0"/>
        <v>46</v>
      </c>
      <c r="B54" s="8"/>
      <c r="C54" s="46" t="s">
        <v>173</v>
      </c>
      <c r="D54" s="214" t="s">
        <v>19</v>
      </c>
      <c r="E54" s="32"/>
      <c r="F54" s="17"/>
      <c r="G54" s="18">
        <f t="shared" si="1"/>
        <v>-2.2999999999994998</v>
      </c>
      <c r="H54" s="28"/>
      <c r="I54" s="7"/>
      <c r="J54" s="7"/>
      <c r="K54" s="7"/>
    </row>
    <row r="55" spans="1:17" ht="18" customHeight="1" x14ac:dyDescent="0.25">
      <c r="A55" s="14">
        <f t="shared" si="0"/>
        <v>47</v>
      </c>
      <c r="B55" s="8"/>
      <c r="C55" s="46" t="s">
        <v>173</v>
      </c>
      <c r="D55" s="214" t="s">
        <v>19</v>
      </c>
      <c r="E55" s="32"/>
      <c r="F55" s="17"/>
      <c r="G55" s="18">
        <f t="shared" si="1"/>
        <v>-2.2999999999994998</v>
      </c>
      <c r="H55" s="240"/>
      <c r="I55" s="7"/>
      <c r="J55" s="7"/>
      <c r="K55" s="7"/>
    </row>
    <row r="56" spans="1:17" ht="18" customHeight="1" x14ac:dyDescent="0.25">
      <c r="A56" s="14">
        <f t="shared" si="0"/>
        <v>48</v>
      </c>
      <c r="B56" s="8"/>
      <c r="C56" s="46" t="s">
        <v>173</v>
      </c>
      <c r="D56" s="214" t="s">
        <v>19</v>
      </c>
      <c r="E56" s="32"/>
      <c r="F56" s="17"/>
      <c r="G56" s="18">
        <f t="shared" si="1"/>
        <v>-2.2999999999994998</v>
      </c>
      <c r="H56" s="240"/>
      <c r="I56" s="7"/>
      <c r="J56" s="7"/>
      <c r="K56" s="7"/>
    </row>
    <row r="57" spans="1:17" ht="18" customHeight="1" x14ac:dyDescent="0.25">
      <c r="A57" s="14">
        <f t="shared" si="0"/>
        <v>49</v>
      </c>
      <c r="B57" s="8"/>
      <c r="C57" s="46" t="s">
        <v>173</v>
      </c>
      <c r="D57" s="214" t="s">
        <v>19</v>
      </c>
      <c r="E57" s="32"/>
      <c r="F57" s="17"/>
      <c r="G57" s="18">
        <f t="shared" si="1"/>
        <v>-2.2999999999994998</v>
      </c>
      <c r="H57" s="240"/>
      <c r="I57" s="7"/>
      <c r="J57" s="7"/>
      <c r="K57" s="7"/>
    </row>
    <row r="58" spans="1:17" ht="18" customHeight="1" x14ac:dyDescent="0.25">
      <c r="A58" s="14">
        <f t="shared" si="0"/>
        <v>50</v>
      </c>
      <c r="B58" s="8"/>
      <c r="C58" s="46" t="s">
        <v>173</v>
      </c>
      <c r="D58" s="214" t="s">
        <v>19</v>
      </c>
      <c r="E58" s="32"/>
      <c r="F58" s="17"/>
      <c r="G58" s="18">
        <f t="shared" si="1"/>
        <v>-2.2999999999994998</v>
      </c>
      <c r="H58" s="240"/>
      <c r="I58" s="7"/>
      <c r="J58" s="7"/>
      <c r="K58" s="7"/>
    </row>
    <row r="59" spans="1:17" ht="18" customHeight="1" x14ac:dyDescent="0.25">
      <c r="A59" s="14">
        <f t="shared" si="0"/>
        <v>51</v>
      </c>
      <c r="B59" s="8"/>
      <c r="C59" s="46" t="s">
        <v>173</v>
      </c>
      <c r="D59" s="214" t="s">
        <v>19</v>
      </c>
      <c r="E59" s="32"/>
      <c r="F59" s="17"/>
      <c r="G59" s="18">
        <f t="shared" si="1"/>
        <v>-2.2999999999994998</v>
      </c>
      <c r="H59" s="240"/>
      <c r="I59" s="7"/>
      <c r="J59" s="7"/>
      <c r="K59" s="7"/>
    </row>
    <row r="60" spans="1:17" ht="18" customHeight="1" x14ac:dyDescent="0.25">
      <c r="A60" s="14">
        <f t="shared" si="0"/>
        <v>52</v>
      </c>
      <c r="B60" s="8"/>
      <c r="C60" s="46" t="s">
        <v>173</v>
      </c>
      <c r="D60" s="214" t="s">
        <v>19</v>
      </c>
      <c r="E60" s="32"/>
      <c r="F60" s="17"/>
      <c r="G60" s="18">
        <f t="shared" si="1"/>
        <v>-2.2999999999994998</v>
      </c>
      <c r="H60" s="240"/>
      <c r="I60" s="7"/>
      <c r="J60" s="7"/>
      <c r="K60" s="7"/>
    </row>
    <row r="61" spans="1:17" ht="18" customHeight="1" x14ac:dyDescent="0.25">
      <c r="A61" s="14">
        <f t="shared" si="0"/>
        <v>53</v>
      </c>
      <c r="B61" s="8"/>
      <c r="C61" s="46" t="s">
        <v>173</v>
      </c>
      <c r="D61" s="214" t="s">
        <v>19</v>
      </c>
      <c r="E61" s="32"/>
      <c r="F61" s="17"/>
      <c r="G61" s="18">
        <f t="shared" si="1"/>
        <v>-2.2999999999994998</v>
      </c>
      <c r="H61" s="240"/>
      <c r="I61" s="7"/>
      <c r="J61" s="7"/>
      <c r="K61" s="7"/>
    </row>
    <row r="62" spans="1:17" ht="18" customHeight="1" x14ac:dyDescent="0.25">
      <c r="A62" s="14">
        <f t="shared" si="0"/>
        <v>54</v>
      </c>
      <c r="B62" s="8"/>
      <c r="C62" s="46" t="s">
        <v>173</v>
      </c>
      <c r="D62" s="214" t="s">
        <v>19</v>
      </c>
      <c r="E62" s="32"/>
      <c r="F62" s="17"/>
      <c r="G62" s="18">
        <f t="shared" si="1"/>
        <v>-2.2999999999994998</v>
      </c>
      <c r="H62" s="240"/>
      <c r="I62" s="7"/>
      <c r="J62" s="7"/>
      <c r="K62" s="7"/>
    </row>
    <row r="63" spans="1:17" ht="18" customHeight="1" x14ac:dyDescent="0.25">
      <c r="A63" s="14">
        <f t="shared" si="0"/>
        <v>55</v>
      </c>
      <c r="B63" s="8"/>
      <c r="C63" s="46" t="s">
        <v>173</v>
      </c>
      <c r="D63" s="214" t="s">
        <v>19</v>
      </c>
      <c r="E63" s="32"/>
      <c r="F63" s="17"/>
      <c r="G63" s="18">
        <f t="shared" si="1"/>
        <v>-2.2999999999994998</v>
      </c>
      <c r="H63" s="240"/>
      <c r="I63" s="7"/>
      <c r="J63" s="7"/>
      <c r="K63" s="7"/>
    </row>
    <row r="64" spans="1:17" ht="18" customHeight="1" x14ac:dyDescent="0.25">
      <c r="A64" s="14">
        <f t="shared" si="0"/>
        <v>56</v>
      </c>
      <c r="B64" s="8"/>
      <c r="C64" s="46" t="s">
        <v>173</v>
      </c>
      <c r="D64" s="214" t="s">
        <v>19</v>
      </c>
      <c r="E64" s="32"/>
      <c r="F64" s="17"/>
      <c r="G64" s="18">
        <f t="shared" si="1"/>
        <v>-2.2999999999994998</v>
      </c>
      <c r="H64" s="240"/>
      <c r="I64" s="7"/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173</v>
      </c>
      <c r="D65" s="214" t="s">
        <v>19</v>
      </c>
      <c r="E65" s="32"/>
      <c r="F65" s="17"/>
      <c r="G65" s="18">
        <f t="shared" si="1"/>
        <v>-2.2999999999994998</v>
      </c>
      <c r="H65" s="240"/>
      <c r="I65" s="7"/>
      <c r="J65" s="7"/>
      <c r="K65" s="140"/>
    </row>
    <row r="66" spans="1:11" ht="18" customHeight="1" x14ac:dyDescent="0.25">
      <c r="A66" s="14">
        <f t="shared" si="0"/>
        <v>58</v>
      </c>
      <c r="B66" s="8"/>
      <c r="C66" s="46" t="s">
        <v>173</v>
      </c>
      <c r="D66" s="214" t="s">
        <v>19</v>
      </c>
      <c r="E66" s="32"/>
      <c r="F66" s="17"/>
      <c r="G66" s="18">
        <f t="shared" si="1"/>
        <v>-2.2999999999994998</v>
      </c>
      <c r="H66" s="240"/>
      <c r="I66" s="7"/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173</v>
      </c>
      <c r="D67" s="214" t="s">
        <v>19</v>
      </c>
      <c r="E67" s="32"/>
      <c r="F67" s="17"/>
      <c r="G67" s="18">
        <f>+G66+E67-F67</f>
        <v>-2.2999999999994998</v>
      </c>
      <c r="H67" s="240"/>
      <c r="I67" s="7"/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173</v>
      </c>
      <c r="D68" s="214" t="s">
        <v>19</v>
      </c>
      <c r="E68" s="32"/>
      <c r="F68" s="17"/>
      <c r="G68" s="18">
        <f>+G67+E68-F68</f>
        <v>-2.2999999999994998</v>
      </c>
      <c r="H68" s="240"/>
      <c r="I68" s="7"/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173</v>
      </c>
      <c r="D69" s="214" t="s">
        <v>19</v>
      </c>
      <c r="E69" s="32"/>
      <c r="F69" s="17"/>
      <c r="G69" s="18">
        <f>+G68+E69-F69</f>
        <v>-2.2999999999994998</v>
      </c>
      <c r="H69" s="240"/>
      <c r="I69" s="7"/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173</v>
      </c>
      <c r="D70" s="214" t="s">
        <v>19</v>
      </c>
      <c r="E70" s="32"/>
      <c r="F70" s="17"/>
      <c r="G70" s="18">
        <f t="shared" si="1"/>
        <v>-2.2999999999994998</v>
      </c>
      <c r="H70" s="240"/>
      <c r="I70" s="7"/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173</v>
      </c>
      <c r="D71" s="214" t="s">
        <v>19</v>
      </c>
      <c r="E71" s="32"/>
      <c r="F71" s="17"/>
      <c r="G71" s="18">
        <f t="shared" si="1"/>
        <v>-2.2999999999994998</v>
      </c>
      <c r="H71" s="240"/>
      <c r="I71" s="7"/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173</v>
      </c>
      <c r="D72" s="214" t="s">
        <v>19</v>
      </c>
      <c r="E72" s="32"/>
      <c r="F72" s="17"/>
      <c r="G72" s="18">
        <f t="shared" si="1"/>
        <v>-2.2999999999994998</v>
      </c>
      <c r="H72" s="240"/>
      <c r="I72" s="7"/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173</v>
      </c>
      <c r="D73" s="214" t="s">
        <v>19</v>
      </c>
      <c r="E73" s="32"/>
      <c r="F73" s="17"/>
      <c r="G73" s="18">
        <f t="shared" si="1"/>
        <v>-2.2999999999994998</v>
      </c>
      <c r="H73" s="240"/>
      <c r="I73" s="7"/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173</v>
      </c>
      <c r="D74" s="214" t="s">
        <v>19</v>
      </c>
      <c r="E74" s="32"/>
      <c r="F74" s="17"/>
      <c r="G74" s="18">
        <f t="shared" ref="G74:G91" si="3">+G73+E74-F74</f>
        <v>-2.2999999999994998</v>
      </c>
      <c r="H74" s="240"/>
      <c r="I74" s="7"/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173</v>
      </c>
      <c r="D75" s="214" t="s">
        <v>19</v>
      </c>
      <c r="E75" s="32"/>
      <c r="F75" s="17"/>
      <c r="G75" s="18">
        <f t="shared" si="3"/>
        <v>-2.2999999999994998</v>
      </c>
      <c r="H75" s="240"/>
      <c r="I75" s="7"/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173</v>
      </c>
      <c r="D76" s="214" t="s">
        <v>19</v>
      </c>
      <c r="E76" s="32"/>
      <c r="F76" s="17"/>
      <c r="G76" s="18">
        <f t="shared" si="3"/>
        <v>-2.2999999999994998</v>
      </c>
      <c r="H76" s="240"/>
      <c r="I76" s="7"/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173</v>
      </c>
      <c r="D77" s="214" t="s">
        <v>19</v>
      </c>
      <c r="E77" s="32"/>
      <c r="F77" s="17"/>
      <c r="G77" s="18">
        <f t="shared" si="3"/>
        <v>-2.2999999999994998</v>
      </c>
      <c r="H77" s="240"/>
      <c r="I77" s="7"/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173</v>
      </c>
      <c r="D78" s="214" t="s">
        <v>19</v>
      </c>
      <c r="E78" s="32"/>
      <c r="F78" s="17"/>
      <c r="G78" s="18">
        <f t="shared" si="3"/>
        <v>-2.2999999999994998</v>
      </c>
      <c r="H78" s="240"/>
      <c r="I78" s="7"/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173</v>
      </c>
      <c r="D79" s="214" t="s">
        <v>19</v>
      </c>
      <c r="E79" s="32"/>
      <c r="F79" s="17"/>
      <c r="G79" s="18">
        <f t="shared" si="3"/>
        <v>-2.2999999999994998</v>
      </c>
      <c r="H79" s="240"/>
      <c r="I79" s="7"/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173</v>
      </c>
      <c r="D80" s="214" t="s">
        <v>19</v>
      </c>
      <c r="E80" s="32"/>
      <c r="F80" s="17"/>
      <c r="G80" s="18">
        <f t="shared" si="3"/>
        <v>-2.2999999999994998</v>
      </c>
      <c r="H80" s="240"/>
      <c r="I80" s="7"/>
      <c r="J80" s="7"/>
      <c r="K80" s="7"/>
    </row>
    <row r="81" spans="1:18" ht="18" customHeight="1" x14ac:dyDescent="0.25">
      <c r="A81" s="14">
        <f t="shared" si="2"/>
        <v>73</v>
      </c>
      <c r="B81" s="8"/>
      <c r="C81" s="46" t="s">
        <v>173</v>
      </c>
      <c r="D81" s="214" t="s">
        <v>19</v>
      </c>
      <c r="E81" s="32"/>
      <c r="F81" s="17"/>
      <c r="G81" s="18">
        <f t="shared" si="3"/>
        <v>-2.2999999999994998</v>
      </c>
      <c r="H81" s="240"/>
      <c r="I81" s="7"/>
      <c r="J81" s="7"/>
      <c r="K81" s="7"/>
    </row>
    <row r="82" spans="1:18" ht="18" customHeight="1" x14ac:dyDescent="0.25">
      <c r="A82" s="14">
        <f t="shared" si="2"/>
        <v>74</v>
      </c>
      <c r="B82" s="8"/>
      <c r="C82" s="46" t="s">
        <v>173</v>
      </c>
      <c r="D82" s="214" t="s">
        <v>19</v>
      </c>
      <c r="E82" s="32"/>
      <c r="F82" s="17"/>
      <c r="G82" s="18">
        <f t="shared" si="3"/>
        <v>-2.2999999999994998</v>
      </c>
      <c r="H82" s="240"/>
      <c r="I82" s="7"/>
      <c r="J82" s="7"/>
      <c r="K82" s="7"/>
    </row>
    <row r="83" spans="1:18" ht="18" customHeight="1" x14ac:dyDescent="0.25">
      <c r="A83" s="14">
        <f t="shared" si="2"/>
        <v>75</v>
      </c>
      <c r="B83" s="8"/>
      <c r="C83" s="46" t="s">
        <v>173</v>
      </c>
      <c r="D83" s="214" t="s">
        <v>19</v>
      </c>
      <c r="E83" s="32"/>
      <c r="F83" s="27"/>
      <c r="G83" s="18">
        <f t="shared" si="3"/>
        <v>-2.2999999999994998</v>
      </c>
      <c r="H83" s="240"/>
      <c r="I83" s="7"/>
      <c r="J83" s="7"/>
      <c r="K83" s="7"/>
    </row>
    <row r="84" spans="1:18" ht="18" customHeight="1" x14ac:dyDescent="0.25">
      <c r="A84" s="14">
        <f t="shared" si="2"/>
        <v>76</v>
      </c>
      <c r="B84" s="8"/>
      <c r="C84" s="46" t="s">
        <v>173</v>
      </c>
      <c r="D84" s="214" t="s">
        <v>19</v>
      </c>
      <c r="E84" s="32"/>
      <c r="F84" s="17"/>
      <c r="G84" s="18">
        <f t="shared" si="3"/>
        <v>-2.2999999999994998</v>
      </c>
      <c r="H84" s="240"/>
      <c r="I84" s="7"/>
      <c r="J84" s="7"/>
      <c r="K84" s="7"/>
    </row>
    <row r="85" spans="1:18" ht="18" customHeight="1" x14ac:dyDescent="0.25">
      <c r="A85" s="14">
        <f t="shared" si="2"/>
        <v>77</v>
      </c>
      <c r="B85" s="8"/>
      <c r="C85" s="46" t="s">
        <v>173</v>
      </c>
      <c r="D85" s="214" t="s">
        <v>19</v>
      </c>
      <c r="E85" s="32"/>
      <c r="F85" s="17"/>
      <c r="G85" s="18">
        <f t="shared" si="3"/>
        <v>-2.2999999999994998</v>
      </c>
      <c r="H85" s="240"/>
      <c r="I85" s="7"/>
      <c r="J85" s="7"/>
      <c r="K85" s="7"/>
    </row>
    <row r="86" spans="1:18" ht="18" customHeight="1" x14ac:dyDescent="0.25">
      <c r="A86" s="14">
        <f t="shared" si="2"/>
        <v>78</v>
      </c>
      <c r="B86" s="8"/>
      <c r="C86" s="46" t="s">
        <v>173</v>
      </c>
      <c r="D86" s="214" t="s">
        <v>19</v>
      </c>
      <c r="E86" s="32"/>
      <c r="F86" s="17"/>
      <c r="G86" s="18">
        <f t="shared" si="3"/>
        <v>-2.2999999999994998</v>
      </c>
      <c r="H86" s="240"/>
      <c r="I86" s="7"/>
      <c r="J86" s="7"/>
      <c r="K86" s="7"/>
    </row>
    <row r="87" spans="1:18" ht="18" customHeight="1" x14ac:dyDescent="0.25">
      <c r="A87" s="14">
        <f t="shared" si="2"/>
        <v>79</v>
      </c>
      <c r="B87" s="8"/>
      <c r="C87" s="46" t="s">
        <v>173</v>
      </c>
      <c r="D87" s="214" t="s">
        <v>19</v>
      </c>
      <c r="E87" s="32"/>
      <c r="F87" s="17"/>
      <c r="G87" s="18">
        <f t="shared" si="3"/>
        <v>-2.2999999999994998</v>
      </c>
      <c r="H87" s="240"/>
      <c r="I87" s="7"/>
      <c r="J87" s="7"/>
      <c r="K87" s="7"/>
    </row>
    <row r="88" spans="1:18" ht="18" customHeight="1" x14ac:dyDescent="0.25">
      <c r="A88" s="14">
        <f t="shared" si="2"/>
        <v>80</v>
      </c>
      <c r="B88" s="8"/>
      <c r="C88" s="46" t="s">
        <v>173</v>
      </c>
      <c r="D88" s="214" t="s">
        <v>19</v>
      </c>
      <c r="E88" s="32"/>
      <c r="F88" s="17"/>
      <c r="G88" s="18">
        <f t="shared" si="3"/>
        <v>-2.2999999999994998</v>
      </c>
      <c r="H88" s="240"/>
      <c r="I88" s="7"/>
      <c r="J88" s="7"/>
      <c r="K88" s="7"/>
    </row>
    <row r="89" spans="1:18" ht="18" customHeight="1" x14ac:dyDescent="0.25">
      <c r="A89" s="14">
        <f t="shared" si="2"/>
        <v>81</v>
      </c>
      <c r="B89" s="8"/>
      <c r="C89" s="46" t="s">
        <v>173</v>
      </c>
      <c r="D89" s="214" t="s">
        <v>19</v>
      </c>
      <c r="E89" s="32"/>
      <c r="F89" s="17"/>
      <c r="G89" s="18">
        <f t="shared" si="3"/>
        <v>-2.2999999999994998</v>
      </c>
      <c r="H89" s="240"/>
      <c r="I89" s="7"/>
      <c r="J89" s="7"/>
      <c r="K89" s="7"/>
    </row>
    <row r="90" spans="1:18" ht="18" customHeight="1" x14ac:dyDescent="0.25">
      <c r="A90" s="14">
        <f t="shared" si="2"/>
        <v>82</v>
      </c>
      <c r="B90" s="8"/>
      <c r="C90" s="46" t="s">
        <v>173</v>
      </c>
      <c r="D90" s="214" t="s">
        <v>19</v>
      </c>
      <c r="E90" s="32"/>
      <c r="F90" s="17"/>
      <c r="G90" s="18">
        <f t="shared" si="3"/>
        <v>-2.2999999999994998</v>
      </c>
      <c r="H90" s="240"/>
      <c r="I90" s="7"/>
      <c r="J90" s="7"/>
      <c r="K90" s="7"/>
      <c r="M90" s="199"/>
      <c r="R90" s="199"/>
    </row>
    <row r="91" spans="1:18" ht="18" customHeight="1" x14ac:dyDescent="0.25">
      <c r="A91" s="14">
        <f t="shared" si="2"/>
        <v>83</v>
      </c>
      <c r="B91" s="8"/>
      <c r="C91" s="46" t="s">
        <v>173</v>
      </c>
      <c r="D91" s="214" t="s">
        <v>19</v>
      </c>
      <c r="E91" s="32"/>
      <c r="F91" s="27"/>
      <c r="G91" s="18">
        <f t="shared" si="3"/>
        <v>-2.2999999999994998</v>
      </c>
      <c r="H91" s="240"/>
      <c r="I91" s="7"/>
      <c r="J91" s="7"/>
      <c r="K91" s="7"/>
      <c r="M91" s="199"/>
      <c r="R91" s="199"/>
    </row>
    <row r="92" spans="1:18" ht="18" customHeight="1" x14ac:dyDescent="0.25">
      <c r="A92" s="14">
        <f t="shared" si="2"/>
        <v>84</v>
      </c>
      <c r="B92" s="8"/>
      <c r="C92" s="46" t="s">
        <v>173</v>
      </c>
      <c r="D92" s="214" t="s">
        <v>19</v>
      </c>
      <c r="E92" s="32"/>
      <c r="F92" s="27"/>
      <c r="G92" s="18">
        <f>+G91+E92-F92</f>
        <v>-2.2999999999994998</v>
      </c>
      <c r="H92" s="240"/>
      <c r="I92" s="7"/>
      <c r="J92" s="7"/>
      <c r="K92" s="7"/>
      <c r="M92" s="199"/>
      <c r="R92" s="199"/>
    </row>
    <row r="93" spans="1:18" s="179" customFormat="1" ht="18" customHeight="1" x14ac:dyDescent="0.25">
      <c r="A93" s="241">
        <f t="shared" si="2"/>
        <v>85</v>
      </c>
      <c r="B93" s="242"/>
      <c r="C93" s="46" t="s">
        <v>173</v>
      </c>
      <c r="D93" s="244" t="s">
        <v>19</v>
      </c>
      <c r="E93" s="245"/>
      <c r="F93" s="52"/>
      <c r="G93" s="246">
        <f>+G92+E93-F93</f>
        <v>-2.2999999999994998</v>
      </c>
      <c r="H93" s="240"/>
      <c r="I93" s="247"/>
      <c r="J93" s="247"/>
      <c r="K93" s="247"/>
      <c r="M93" s="248"/>
      <c r="R93" s="248"/>
    </row>
    <row r="94" spans="1:18" s="179" customFormat="1" ht="18" customHeight="1" x14ac:dyDescent="0.25">
      <c r="A94" s="241"/>
      <c r="B94" s="242"/>
      <c r="C94" s="46" t="s">
        <v>173</v>
      </c>
      <c r="D94" s="244" t="s">
        <v>19</v>
      </c>
      <c r="E94" s="245"/>
      <c r="F94" s="52"/>
      <c r="G94" s="246">
        <f t="shared" ref="G94:G106" si="4">+G93+E94-F94</f>
        <v>-2.2999999999994998</v>
      </c>
      <c r="H94" s="240"/>
      <c r="I94" s="247"/>
      <c r="J94" s="247"/>
      <c r="K94" s="247"/>
      <c r="M94" s="248"/>
      <c r="R94" s="248"/>
    </row>
    <row r="95" spans="1:18" s="179" customFormat="1" ht="18" customHeight="1" x14ac:dyDescent="0.25">
      <c r="A95" s="241"/>
      <c r="B95" s="242"/>
      <c r="C95" s="46" t="s">
        <v>173</v>
      </c>
      <c r="D95" s="244" t="s">
        <v>19</v>
      </c>
      <c r="E95" s="245"/>
      <c r="F95" s="52"/>
      <c r="G95" s="246">
        <f t="shared" si="4"/>
        <v>-2.2999999999994998</v>
      </c>
      <c r="H95" s="240"/>
      <c r="I95" s="247"/>
      <c r="J95" s="247"/>
      <c r="K95" s="247"/>
      <c r="M95" s="248"/>
      <c r="R95" s="248"/>
    </row>
    <row r="96" spans="1:18" s="179" customFormat="1" ht="18" customHeight="1" x14ac:dyDescent="0.25">
      <c r="A96" s="241"/>
      <c r="B96" s="242"/>
      <c r="C96" s="46" t="s">
        <v>173</v>
      </c>
      <c r="D96" s="244" t="s">
        <v>19</v>
      </c>
      <c r="E96" s="245"/>
      <c r="F96" s="52"/>
      <c r="G96" s="246">
        <f t="shared" si="4"/>
        <v>-2.2999999999994998</v>
      </c>
      <c r="H96" s="240"/>
      <c r="I96" s="247"/>
      <c r="J96" s="247"/>
      <c r="K96" s="247"/>
      <c r="M96" s="248"/>
      <c r="R96" s="248"/>
    </row>
    <row r="97" spans="1:18" s="179" customFormat="1" ht="18" customHeight="1" x14ac:dyDescent="0.25">
      <c r="A97" s="241"/>
      <c r="B97" s="242"/>
      <c r="C97" s="46" t="s">
        <v>173</v>
      </c>
      <c r="D97" s="244" t="s">
        <v>19</v>
      </c>
      <c r="E97" s="245"/>
      <c r="F97" s="52"/>
      <c r="G97" s="246">
        <f t="shared" si="4"/>
        <v>-2.2999999999994998</v>
      </c>
      <c r="H97" s="240"/>
      <c r="I97" s="247"/>
      <c r="J97" s="247"/>
      <c r="K97" s="247"/>
      <c r="M97" s="248"/>
      <c r="R97" s="248"/>
    </row>
    <row r="98" spans="1:18" s="179" customFormat="1" ht="18" customHeight="1" x14ac:dyDescent="0.25">
      <c r="A98" s="241"/>
      <c r="B98" s="242"/>
      <c r="C98" s="46" t="s">
        <v>173</v>
      </c>
      <c r="D98" s="244" t="s">
        <v>19</v>
      </c>
      <c r="E98" s="245"/>
      <c r="F98" s="52"/>
      <c r="G98" s="246">
        <f t="shared" si="4"/>
        <v>-2.2999999999994998</v>
      </c>
      <c r="H98" s="240"/>
      <c r="I98" s="247"/>
      <c r="J98" s="247"/>
      <c r="K98" s="247"/>
      <c r="M98" s="248"/>
      <c r="R98" s="248"/>
    </row>
    <row r="99" spans="1:18" s="179" customFormat="1" ht="18" customHeight="1" x14ac:dyDescent="0.25">
      <c r="A99" s="241"/>
      <c r="B99" s="242"/>
      <c r="C99" s="46" t="s">
        <v>173</v>
      </c>
      <c r="D99" s="244" t="s">
        <v>19</v>
      </c>
      <c r="E99" s="245"/>
      <c r="F99" s="52"/>
      <c r="G99" s="246">
        <f t="shared" si="4"/>
        <v>-2.2999999999994998</v>
      </c>
      <c r="H99" s="240"/>
      <c r="I99" s="247"/>
      <c r="J99" s="247"/>
      <c r="K99" s="247"/>
      <c r="M99" s="248"/>
      <c r="R99" s="248"/>
    </row>
    <row r="100" spans="1:18" s="179" customFormat="1" ht="18" customHeight="1" x14ac:dyDescent="0.25">
      <c r="A100" s="241"/>
      <c r="B100" s="242"/>
      <c r="C100" s="46" t="s">
        <v>173</v>
      </c>
      <c r="D100" s="244" t="s">
        <v>19</v>
      </c>
      <c r="E100" s="245"/>
      <c r="F100" s="52"/>
      <c r="G100" s="246">
        <f t="shared" si="4"/>
        <v>-2.2999999999994998</v>
      </c>
      <c r="H100" s="240"/>
      <c r="I100" s="247"/>
      <c r="J100" s="247"/>
      <c r="K100" s="247"/>
      <c r="M100" s="248"/>
      <c r="R100" s="248"/>
    </row>
    <row r="101" spans="1:18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-2.2999999999994998</v>
      </c>
      <c r="H101" s="240"/>
      <c r="I101" s="247"/>
      <c r="J101" s="247"/>
      <c r="K101" s="247"/>
      <c r="M101" s="248"/>
      <c r="R101" s="248"/>
    </row>
    <row r="102" spans="1:18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-2.2999999999994998</v>
      </c>
      <c r="H102" s="240"/>
      <c r="I102" s="247"/>
      <c r="J102" s="247"/>
      <c r="K102" s="247"/>
      <c r="M102" s="248"/>
      <c r="R102" s="248"/>
    </row>
    <row r="103" spans="1:18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-2.2999999999994998</v>
      </c>
      <c r="H103" s="240"/>
      <c r="I103" s="247"/>
      <c r="J103" s="247"/>
      <c r="K103" s="247"/>
      <c r="M103" s="248"/>
      <c r="R103" s="248"/>
    </row>
    <row r="104" spans="1:18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-2.2999999999994998</v>
      </c>
      <c r="H104" s="240"/>
      <c r="I104" s="247"/>
      <c r="J104" s="247"/>
      <c r="K104" s="247"/>
      <c r="M104" s="248"/>
      <c r="R104" s="248"/>
    </row>
    <row r="105" spans="1:18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-2.2999999999994998</v>
      </c>
      <c r="H105" s="28"/>
      <c r="I105" s="7"/>
      <c r="J105" s="7"/>
      <c r="K105" s="7"/>
      <c r="M105" s="199"/>
      <c r="R105" s="199"/>
    </row>
    <row r="106" spans="1:18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-2.2999999999994998</v>
      </c>
      <c r="H106" s="28"/>
      <c r="I106" s="7"/>
      <c r="J106" s="7"/>
      <c r="K106" s="7"/>
      <c r="M106" s="199"/>
      <c r="R106" s="199"/>
    </row>
    <row r="107" spans="1:18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-2.2999999999994998</v>
      </c>
      <c r="H107" s="28"/>
      <c r="I107" s="7"/>
      <c r="J107" s="7"/>
      <c r="K107" s="7"/>
      <c r="M107" s="199"/>
      <c r="R107" s="199"/>
    </row>
    <row r="108" spans="1:18" ht="18" customHeight="1" x14ac:dyDescent="0.25">
      <c r="A108" s="7"/>
      <c r="B108" s="7"/>
      <c r="C108" s="34" t="s">
        <v>13</v>
      </c>
      <c r="D108" s="14"/>
      <c r="E108" s="35">
        <f>SUM(E8:E107)</f>
        <v>3920.1</v>
      </c>
      <c r="F108" s="35">
        <f>SUM(F8:F107)</f>
        <v>5849.4000000000005</v>
      </c>
      <c r="G108" s="35">
        <f>+E108-F108+G8</f>
        <v>-2.3000000000006366</v>
      </c>
      <c r="H108" s="35"/>
      <c r="I108" s="36"/>
      <c r="J108" s="36"/>
      <c r="K108" s="7">
        <f>SUM(K9:K107)</f>
        <v>4</v>
      </c>
    </row>
    <row r="109" spans="1:18" ht="18" customHeight="1" x14ac:dyDescent="0.25"/>
    <row r="112" spans="1:18" x14ac:dyDescent="0.25">
      <c r="E112" s="201"/>
      <c r="F112" s="201"/>
      <c r="G112" s="201"/>
      <c r="H112" s="201"/>
    </row>
    <row r="113" spans="5:10" x14ac:dyDescent="0.25">
      <c r="F113" s="26"/>
    </row>
    <row r="114" spans="5:10" x14ac:dyDescent="0.25">
      <c r="E114" s="26"/>
      <c r="F114" s="26"/>
      <c r="G114" s="26"/>
      <c r="H114" s="26"/>
      <c r="I114" s="26"/>
      <c r="J114" s="26"/>
    </row>
    <row r="115" spans="5:10" x14ac:dyDescent="0.25">
      <c r="I115" s="202"/>
      <c r="J115" s="202"/>
    </row>
    <row r="116" spans="5:10" x14ac:dyDescent="0.25">
      <c r="E116" s="199"/>
    </row>
    <row r="117" spans="5:10" x14ac:dyDescent="0.25">
      <c r="E117" s="26"/>
      <c r="F117" s="26"/>
    </row>
    <row r="118" spans="5:10" x14ac:dyDescent="0.25">
      <c r="E118" s="203"/>
      <c r="F118" s="204"/>
      <c r="G118" s="203"/>
      <c r="H118" s="203"/>
    </row>
    <row r="119" spans="5:10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8F2F-3EDA-48CB-AA06-BB5A5BB91F46}">
  <sheetPr codeName="Sheet71"/>
  <dimension ref="A1:R120"/>
  <sheetViews>
    <sheetView topLeftCell="A11" workbookViewId="0">
      <selection activeCell="E32" sqref="E3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10" width="12.42578125" customWidth="1"/>
    <col min="11" max="11" width="18.42578125" customWidth="1"/>
    <col min="13" max="13" width="11.28515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2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2"/>
    </row>
    <row r="6" spans="1:13" x14ac:dyDescent="0.25">
      <c r="A6" t="s">
        <v>163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352</v>
      </c>
      <c r="K7" s="4" t="s">
        <v>172</v>
      </c>
    </row>
    <row r="8" spans="1:13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45799</v>
      </c>
      <c r="C9" s="46" t="s">
        <v>405</v>
      </c>
      <c r="D9" s="214" t="s">
        <v>19</v>
      </c>
      <c r="E9" s="30">
        <v>9183.2000000000007</v>
      </c>
      <c r="F9" s="27"/>
      <c r="G9" s="18">
        <f>+G8+E9-F9</f>
        <v>9183.2000000000007</v>
      </c>
      <c r="H9" s="28" t="s">
        <v>91</v>
      </c>
      <c r="I9" s="7"/>
      <c r="J9" s="7"/>
      <c r="K9" s="7">
        <v>10</v>
      </c>
    </row>
    <row r="10" spans="1:13" ht="17.25" customHeight="1" x14ac:dyDescent="0.25">
      <c r="A10" s="14">
        <f t="shared" ref="A10:A74" si="0">+A9+1</f>
        <v>2</v>
      </c>
      <c r="B10" s="8">
        <v>45799</v>
      </c>
      <c r="C10" s="46" t="s">
        <v>392</v>
      </c>
      <c r="D10" s="214" t="s">
        <v>19</v>
      </c>
      <c r="E10" s="11">
        <v>1807.9</v>
      </c>
      <c r="F10" s="27"/>
      <c r="G10" s="18">
        <f t="shared" ref="G10:G74" si="1">+G9+E10-F10</f>
        <v>10991.1</v>
      </c>
      <c r="H10" s="28" t="s">
        <v>91</v>
      </c>
      <c r="I10" s="7"/>
      <c r="J10" s="7"/>
      <c r="K10" s="7">
        <v>2</v>
      </c>
    </row>
    <row r="11" spans="1:13" ht="18" customHeight="1" x14ac:dyDescent="0.25">
      <c r="A11" s="14">
        <f t="shared" si="0"/>
        <v>3</v>
      </c>
      <c r="B11" s="8">
        <v>45826</v>
      </c>
      <c r="C11" s="46" t="s">
        <v>392</v>
      </c>
      <c r="D11" s="214" t="s">
        <v>19</v>
      </c>
      <c r="E11" s="16"/>
      <c r="F11" s="27">
        <v>1720.8</v>
      </c>
      <c r="G11" s="18">
        <f t="shared" si="1"/>
        <v>9270.3000000000011</v>
      </c>
      <c r="H11" s="28" t="s">
        <v>91</v>
      </c>
      <c r="I11" s="7"/>
      <c r="J11" s="7"/>
      <c r="K11" s="140"/>
      <c r="M11">
        <f>641.4+649.8+583.6+594</f>
        <v>2468.7999999999997</v>
      </c>
    </row>
    <row r="12" spans="1:13" ht="18" customHeight="1" x14ac:dyDescent="0.25">
      <c r="A12" s="14">
        <f t="shared" si="0"/>
        <v>4</v>
      </c>
      <c r="B12" s="8">
        <v>45828</v>
      </c>
      <c r="C12" s="46" t="s">
        <v>392</v>
      </c>
      <c r="D12" s="214" t="s">
        <v>19</v>
      </c>
      <c r="E12" s="16"/>
      <c r="F12" s="17">
        <v>1919</v>
      </c>
      <c r="G12" s="18">
        <f t="shared" si="1"/>
        <v>7351.3000000000011</v>
      </c>
      <c r="H12" s="28" t="s">
        <v>91</v>
      </c>
      <c r="I12" s="7"/>
      <c r="J12" s="7"/>
      <c r="K12" s="140"/>
      <c r="L12" t="s">
        <v>188</v>
      </c>
    </row>
    <row r="13" spans="1:13" ht="18" customHeight="1" x14ac:dyDescent="0.25">
      <c r="A13" s="14">
        <f t="shared" si="0"/>
        <v>5</v>
      </c>
      <c r="B13" s="205">
        <v>45833</v>
      </c>
      <c r="C13" s="46" t="s">
        <v>392</v>
      </c>
      <c r="D13" s="214" t="s">
        <v>19</v>
      </c>
      <c r="E13" s="16"/>
      <c r="F13" s="17">
        <v>1873.9</v>
      </c>
      <c r="G13" s="18">
        <f t="shared" si="1"/>
        <v>5477.4000000000015</v>
      </c>
      <c r="H13" s="28" t="s">
        <v>91</v>
      </c>
      <c r="I13" s="7"/>
      <c r="J13" s="7"/>
      <c r="K13" s="140"/>
    </row>
    <row r="14" spans="1:13" ht="18" customHeight="1" x14ac:dyDescent="0.25">
      <c r="A14" s="14">
        <f t="shared" si="0"/>
        <v>6</v>
      </c>
      <c r="B14" s="8">
        <v>45834</v>
      </c>
      <c r="C14" s="46" t="s">
        <v>392</v>
      </c>
      <c r="D14" s="214" t="s">
        <v>19</v>
      </c>
      <c r="E14" s="16"/>
      <c r="F14" s="27">
        <v>1859.9</v>
      </c>
      <c r="G14" s="18">
        <f t="shared" si="1"/>
        <v>3617.5000000000014</v>
      </c>
      <c r="H14" s="28" t="s">
        <v>91</v>
      </c>
      <c r="I14" s="7"/>
      <c r="J14" s="7"/>
      <c r="K14" s="7"/>
    </row>
    <row r="15" spans="1:13" ht="18" customHeight="1" x14ac:dyDescent="0.25">
      <c r="A15" s="14">
        <f t="shared" si="0"/>
        <v>7</v>
      </c>
      <c r="B15" s="8">
        <v>45839</v>
      </c>
      <c r="C15" s="46" t="s">
        <v>392</v>
      </c>
      <c r="D15" s="214" t="s">
        <v>19</v>
      </c>
      <c r="E15" s="16"/>
      <c r="F15" s="27">
        <v>1867.2</v>
      </c>
      <c r="G15" s="18">
        <f t="shared" si="1"/>
        <v>1750.3000000000013</v>
      </c>
      <c r="H15" s="28" t="s">
        <v>91</v>
      </c>
      <c r="I15" s="7"/>
      <c r="J15" s="7"/>
      <c r="K15" s="140"/>
    </row>
    <row r="16" spans="1:13" ht="18" customHeight="1" x14ac:dyDescent="0.25">
      <c r="A16" s="14">
        <f t="shared" si="0"/>
        <v>8</v>
      </c>
      <c r="B16" s="8">
        <v>45845</v>
      </c>
      <c r="C16" s="46" t="s">
        <v>392</v>
      </c>
      <c r="D16" s="214" t="s">
        <v>19</v>
      </c>
      <c r="E16" s="16"/>
      <c r="F16" s="27">
        <v>1750.3</v>
      </c>
      <c r="G16" s="18">
        <f t="shared" si="1"/>
        <v>0</v>
      </c>
      <c r="H16" s="28" t="s">
        <v>91</v>
      </c>
      <c r="I16" s="7"/>
      <c r="J16" s="7"/>
      <c r="K16" s="7"/>
    </row>
    <row r="17" spans="1:17" ht="18" customHeight="1" x14ac:dyDescent="0.25">
      <c r="A17" s="14">
        <f t="shared" si="0"/>
        <v>9</v>
      </c>
      <c r="B17" s="8">
        <v>45863</v>
      </c>
      <c r="C17" s="46" t="s">
        <v>392</v>
      </c>
      <c r="D17" s="214" t="s">
        <v>19</v>
      </c>
      <c r="E17" s="30">
        <v>9312.4</v>
      </c>
      <c r="F17" s="27"/>
      <c r="G17" s="18">
        <f t="shared" si="1"/>
        <v>9312.4</v>
      </c>
      <c r="H17" s="28" t="s">
        <v>91</v>
      </c>
      <c r="I17" s="7"/>
      <c r="J17" s="7"/>
      <c r="K17" s="7">
        <v>11</v>
      </c>
    </row>
    <row r="18" spans="1:17" ht="18" customHeight="1" x14ac:dyDescent="0.25">
      <c r="A18" s="14">
        <f t="shared" si="0"/>
        <v>10</v>
      </c>
      <c r="B18" s="8">
        <v>45873</v>
      </c>
      <c r="C18" s="46" t="s">
        <v>392</v>
      </c>
      <c r="D18" s="214" t="s">
        <v>19</v>
      </c>
      <c r="E18" s="30"/>
      <c r="F18" s="27">
        <v>1644.2</v>
      </c>
      <c r="G18" s="18">
        <f t="shared" si="1"/>
        <v>7668.2</v>
      </c>
      <c r="H18" s="28" t="s">
        <v>91</v>
      </c>
      <c r="I18" s="7"/>
      <c r="J18" s="7"/>
      <c r="K18" s="7"/>
    </row>
    <row r="19" spans="1:17" s="230" customFormat="1" ht="18" customHeight="1" x14ac:dyDescent="0.25">
      <c r="A19" s="14">
        <f t="shared" si="0"/>
        <v>11</v>
      </c>
      <c r="B19" s="224">
        <v>45874</v>
      </c>
      <c r="C19" s="46" t="s">
        <v>392</v>
      </c>
      <c r="D19" s="226" t="s">
        <v>19</v>
      </c>
      <c r="E19" s="227"/>
      <c r="F19" s="228">
        <v>805.6</v>
      </c>
      <c r="G19" s="18">
        <f t="shared" si="1"/>
        <v>6862.5999999999995</v>
      </c>
      <c r="H19" s="28" t="s">
        <v>91</v>
      </c>
      <c r="I19" s="7"/>
      <c r="J19" s="7"/>
      <c r="K19" s="348"/>
    </row>
    <row r="20" spans="1:17" s="230" customFormat="1" ht="18" customHeight="1" x14ac:dyDescent="0.25">
      <c r="A20" s="14">
        <f t="shared" si="0"/>
        <v>12</v>
      </c>
      <c r="B20" s="224">
        <v>45875</v>
      </c>
      <c r="C20" s="46" t="s">
        <v>392</v>
      </c>
      <c r="D20" s="226" t="s">
        <v>19</v>
      </c>
      <c r="E20" s="231"/>
      <c r="F20" s="228">
        <v>825.1</v>
      </c>
      <c r="G20" s="18">
        <f t="shared" si="1"/>
        <v>6037.4999999999991</v>
      </c>
      <c r="H20" s="28" t="s">
        <v>91</v>
      </c>
      <c r="I20" s="7"/>
      <c r="J20" s="7"/>
      <c r="K20" s="348"/>
    </row>
    <row r="21" spans="1:17" ht="18" customHeight="1" x14ac:dyDescent="0.25">
      <c r="A21" s="14">
        <f t="shared" si="0"/>
        <v>13</v>
      </c>
      <c r="B21" s="8">
        <v>45876</v>
      </c>
      <c r="C21" s="46" t="s">
        <v>392</v>
      </c>
      <c r="D21" s="214" t="s">
        <v>19</v>
      </c>
      <c r="E21" s="32"/>
      <c r="F21" s="17">
        <v>837.7</v>
      </c>
      <c r="G21" s="18">
        <f t="shared" si="1"/>
        <v>5199.7999999999993</v>
      </c>
      <c r="H21" s="28" t="s">
        <v>91</v>
      </c>
      <c r="I21" s="7"/>
      <c r="J21" s="7"/>
      <c r="K21" s="7"/>
      <c r="Q21">
        <f>655.4+618+648+651.2+620+645+649+674+641+652+617+635+623+619</f>
        <v>8947.6</v>
      </c>
    </row>
    <row r="22" spans="1:17" ht="18" customHeight="1" x14ac:dyDescent="0.25">
      <c r="A22" s="14">
        <f t="shared" si="0"/>
        <v>14</v>
      </c>
      <c r="B22" s="8">
        <v>45878</v>
      </c>
      <c r="C22" s="46" t="s">
        <v>392</v>
      </c>
      <c r="D22" s="214" t="s">
        <v>19</v>
      </c>
      <c r="E22" s="32"/>
      <c r="F22" s="27">
        <v>875.7</v>
      </c>
      <c r="G22" s="18">
        <f t="shared" si="1"/>
        <v>4324.0999999999995</v>
      </c>
      <c r="H22" s="28" t="s">
        <v>91</v>
      </c>
      <c r="I22" s="7"/>
      <c r="J22" s="7"/>
      <c r="K22" s="7"/>
    </row>
    <row r="23" spans="1:17" ht="18" customHeight="1" x14ac:dyDescent="0.25">
      <c r="A23" s="14">
        <f t="shared" si="0"/>
        <v>15</v>
      </c>
      <c r="B23" s="232">
        <v>45880</v>
      </c>
      <c r="C23" s="46" t="s">
        <v>392</v>
      </c>
      <c r="D23" s="234" t="s">
        <v>19</v>
      </c>
      <c r="E23" s="235"/>
      <c r="F23" s="172">
        <v>905.1</v>
      </c>
      <c r="G23" s="18">
        <f t="shared" si="1"/>
        <v>3418.9999999999995</v>
      </c>
      <c r="H23" s="28" t="s">
        <v>129</v>
      </c>
      <c r="I23" s="7"/>
      <c r="J23" s="7"/>
      <c r="K23" s="7"/>
      <c r="N23" t="s">
        <v>36</v>
      </c>
    </row>
    <row r="24" spans="1:17" ht="18" customHeight="1" x14ac:dyDescent="0.25">
      <c r="A24" s="14">
        <f t="shared" si="0"/>
        <v>16</v>
      </c>
      <c r="B24" s="8">
        <v>45880</v>
      </c>
      <c r="C24" s="46" t="s">
        <v>392</v>
      </c>
      <c r="D24" s="214" t="s">
        <v>19</v>
      </c>
      <c r="E24" s="32"/>
      <c r="F24" s="17">
        <v>1684.2</v>
      </c>
      <c r="G24" s="18">
        <f t="shared" si="1"/>
        <v>1734.7999999999995</v>
      </c>
      <c r="H24" s="28" t="s">
        <v>129</v>
      </c>
      <c r="I24" s="7"/>
      <c r="J24" s="7"/>
      <c r="K24" s="7"/>
    </row>
    <row r="25" spans="1:17" ht="18" customHeight="1" x14ac:dyDescent="0.25">
      <c r="A25" s="14">
        <f t="shared" si="0"/>
        <v>17</v>
      </c>
      <c r="B25" s="8">
        <v>45881</v>
      </c>
      <c r="C25" s="46" t="s">
        <v>392</v>
      </c>
      <c r="D25" s="214" t="s">
        <v>19</v>
      </c>
      <c r="E25" s="32"/>
      <c r="F25" s="17">
        <v>867.4</v>
      </c>
      <c r="G25" s="18">
        <f t="shared" si="1"/>
        <v>867.39999999999952</v>
      </c>
      <c r="H25" s="28" t="s">
        <v>91</v>
      </c>
      <c r="I25" s="7"/>
      <c r="J25" s="7"/>
      <c r="K25" s="7"/>
    </row>
    <row r="26" spans="1:17" ht="18" customHeight="1" x14ac:dyDescent="0.25">
      <c r="A26" s="14">
        <f t="shared" si="0"/>
        <v>18</v>
      </c>
      <c r="B26" s="8">
        <v>45881</v>
      </c>
      <c r="C26" s="46" t="s">
        <v>392</v>
      </c>
      <c r="D26" s="214" t="s">
        <v>19</v>
      </c>
      <c r="E26" s="32"/>
      <c r="F26" s="17">
        <v>867.4</v>
      </c>
      <c r="G26" s="18">
        <f t="shared" si="1"/>
        <v>0</v>
      </c>
      <c r="H26" s="28" t="s">
        <v>91</v>
      </c>
      <c r="I26" s="7"/>
      <c r="J26" s="7"/>
      <c r="K26" s="7"/>
    </row>
    <row r="27" spans="1:17" ht="18" customHeight="1" x14ac:dyDescent="0.25">
      <c r="A27" s="14">
        <f t="shared" si="0"/>
        <v>19</v>
      </c>
      <c r="B27" s="8">
        <v>45917</v>
      </c>
      <c r="C27" s="46" t="s">
        <v>392</v>
      </c>
      <c r="D27" s="214" t="s">
        <v>19</v>
      </c>
      <c r="E27" s="32">
        <v>16577.900000000001</v>
      </c>
      <c r="F27" s="17"/>
      <c r="G27" s="18">
        <f t="shared" si="1"/>
        <v>16577.900000000001</v>
      </c>
      <c r="H27" s="28" t="s">
        <v>91</v>
      </c>
      <c r="I27" s="7"/>
      <c r="J27" s="7"/>
      <c r="K27" s="7"/>
    </row>
    <row r="28" spans="1:17" ht="18" customHeight="1" x14ac:dyDescent="0.25">
      <c r="A28" s="14">
        <f t="shared" si="0"/>
        <v>20</v>
      </c>
      <c r="B28" s="8">
        <v>45918</v>
      </c>
      <c r="C28" s="46" t="s">
        <v>392</v>
      </c>
      <c r="D28" s="214" t="s">
        <v>19</v>
      </c>
      <c r="E28" s="32">
        <v>16406.400000000001</v>
      </c>
      <c r="F28" s="125"/>
      <c r="G28" s="18">
        <f t="shared" si="1"/>
        <v>32984.300000000003</v>
      </c>
      <c r="H28" s="28" t="s">
        <v>91</v>
      </c>
      <c r="I28" s="7"/>
      <c r="J28" s="7"/>
      <c r="K28" s="7"/>
      <c r="L28">
        <f>694+624.6</f>
        <v>1318.6</v>
      </c>
    </row>
    <row r="29" spans="1:17" ht="18" customHeight="1" x14ac:dyDescent="0.25">
      <c r="A29" s="14">
        <f t="shared" si="0"/>
        <v>21</v>
      </c>
      <c r="B29" s="8">
        <v>45938</v>
      </c>
      <c r="C29" s="46" t="s">
        <v>392</v>
      </c>
      <c r="D29" s="214" t="s">
        <v>19</v>
      </c>
      <c r="E29" s="129"/>
      <c r="F29" s="17">
        <v>871.4</v>
      </c>
      <c r="G29" s="18">
        <f t="shared" si="1"/>
        <v>32112.9</v>
      </c>
      <c r="H29" s="28" t="s">
        <v>91</v>
      </c>
      <c r="I29" s="7"/>
      <c r="J29" s="7"/>
      <c r="K29" s="7"/>
    </row>
    <row r="30" spans="1:17" ht="18" customHeight="1" x14ac:dyDescent="0.25">
      <c r="A30" s="14">
        <f t="shared" si="0"/>
        <v>22</v>
      </c>
      <c r="B30" s="8"/>
      <c r="C30" s="46" t="s">
        <v>392</v>
      </c>
      <c r="D30" s="214" t="s">
        <v>19</v>
      </c>
      <c r="E30" s="32"/>
      <c r="F30" s="172"/>
      <c r="G30" s="18">
        <f t="shared" si="1"/>
        <v>32112.9</v>
      </c>
      <c r="H30" s="28" t="s">
        <v>91</v>
      </c>
      <c r="I30" s="7"/>
      <c r="J30" s="7"/>
      <c r="K30" s="7"/>
    </row>
    <row r="31" spans="1:17" ht="18" customHeight="1" x14ac:dyDescent="0.25">
      <c r="A31" s="14">
        <f t="shared" si="0"/>
        <v>23</v>
      </c>
      <c r="B31" s="8"/>
      <c r="C31" s="46" t="s">
        <v>392</v>
      </c>
      <c r="D31" s="214" t="s">
        <v>19</v>
      </c>
      <c r="E31" s="32"/>
      <c r="F31" s="125"/>
      <c r="G31" s="18">
        <f t="shared" si="1"/>
        <v>32112.9</v>
      </c>
      <c r="H31" s="28" t="s">
        <v>91</v>
      </c>
      <c r="I31" s="7"/>
      <c r="J31" s="7"/>
      <c r="K31" s="7"/>
    </row>
    <row r="32" spans="1:17" ht="18" customHeight="1" x14ac:dyDescent="0.25">
      <c r="A32" s="14">
        <f t="shared" si="0"/>
        <v>24</v>
      </c>
      <c r="B32" s="8"/>
      <c r="C32" s="46" t="s">
        <v>392</v>
      </c>
      <c r="D32" s="214" t="s">
        <v>19</v>
      </c>
      <c r="E32" s="32"/>
      <c r="F32" s="152"/>
      <c r="G32" s="18">
        <f t="shared" si="1"/>
        <v>32112.9</v>
      </c>
      <c r="H32" s="28" t="s">
        <v>91</v>
      </c>
      <c r="I32" s="7"/>
      <c r="J32" s="7"/>
      <c r="K32" s="7"/>
      <c r="L32">
        <f>645+629.5</f>
        <v>1274.5</v>
      </c>
    </row>
    <row r="33" spans="1:17" ht="17.25" customHeight="1" x14ac:dyDescent="0.25">
      <c r="A33" s="14">
        <f t="shared" si="0"/>
        <v>25</v>
      </c>
      <c r="B33" s="8"/>
      <c r="C33" s="46" t="s">
        <v>392</v>
      </c>
      <c r="D33" s="214" t="s">
        <v>19</v>
      </c>
      <c r="E33" s="13"/>
      <c r="F33" s="17"/>
      <c r="G33" s="18">
        <f t="shared" si="1"/>
        <v>32112.9</v>
      </c>
      <c r="H33" s="28" t="s">
        <v>91</v>
      </c>
      <c r="I33" s="7"/>
      <c r="J33" s="7"/>
      <c r="K33" s="7"/>
    </row>
    <row r="34" spans="1:17" ht="17.25" customHeight="1" x14ac:dyDescent="0.25">
      <c r="A34" s="14">
        <f t="shared" si="0"/>
        <v>26</v>
      </c>
      <c r="B34" s="44"/>
      <c r="C34" s="46" t="s">
        <v>392</v>
      </c>
      <c r="D34" s="214" t="s">
        <v>19</v>
      </c>
      <c r="E34" s="13"/>
      <c r="F34" s="17"/>
      <c r="G34" s="18">
        <f t="shared" si="1"/>
        <v>32112.9</v>
      </c>
      <c r="H34" s="178"/>
      <c r="I34" s="7"/>
      <c r="J34" s="7"/>
      <c r="K34" s="7"/>
      <c r="M34">
        <f>867.4+867.4+829.5+854.7+905.1</f>
        <v>4324.1000000000004</v>
      </c>
    </row>
    <row r="35" spans="1:17" ht="18" customHeight="1" x14ac:dyDescent="0.25">
      <c r="A35" s="14">
        <f t="shared" si="0"/>
        <v>27</v>
      </c>
      <c r="B35" s="8"/>
      <c r="C35" s="46" t="s">
        <v>392</v>
      </c>
      <c r="D35" s="214" t="s">
        <v>19</v>
      </c>
      <c r="E35" s="32"/>
      <c r="F35" s="40"/>
      <c r="G35" s="18">
        <f t="shared" si="1"/>
        <v>32112.9</v>
      </c>
      <c r="H35" s="178"/>
      <c r="I35" s="7"/>
      <c r="J35" s="7"/>
      <c r="K35" s="7"/>
    </row>
    <row r="36" spans="1:17" ht="18" customHeight="1" x14ac:dyDescent="0.25">
      <c r="A36" s="14">
        <f t="shared" si="0"/>
        <v>28</v>
      </c>
      <c r="B36" s="45"/>
      <c r="C36" s="46" t="s">
        <v>392</v>
      </c>
      <c r="D36" s="214" t="s">
        <v>19</v>
      </c>
      <c r="E36" s="32"/>
      <c r="F36" s="40"/>
      <c r="G36" s="18">
        <f t="shared" si="1"/>
        <v>32112.9</v>
      </c>
      <c r="H36" s="178"/>
      <c r="I36" s="7"/>
      <c r="J36" s="7"/>
      <c r="K36" s="7"/>
    </row>
    <row r="37" spans="1:17" ht="18" customHeight="1" x14ac:dyDescent="0.25">
      <c r="A37" s="14">
        <f t="shared" si="0"/>
        <v>29</v>
      </c>
      <c r="B37" s="8"/>
      <c r="C37" s="46" t="s">
        <v>392</v>
      </c>
      <c r="D37" s="214" t="s">
        <v>19</v>
      </c>
      <c r="E37" s="32"/>
      <c r="F37" s="40"/>
      <c r="G37" s="18">
        <f t="shared" si="1"/>
        <v>32112.9</v>
      </c>
      <c r="H37" s="178"/>
      <c r="I37" s="7"/>
      <c r="J37" s="7"/>
      <c r="K37" s="7"/>
      <c r="M37">
        <f>1927/600</f>
        <v>3.2116666666666664</v>
      </c>
    </row>
    <row r="38" spans="1:17" ht="18" customHeight="1" x14ac:dyDescent="0.25">
      <c r="A38" s="14">
        <f t="shared" si="0"/>
        <v>30</v>
      </c>
      <c r="B38" s="8"/>
      <c r="C38" s="46" t="s">
        <v>392</v>
      </c>
      <c r="D38" s="214" t="s">
        <v>19</v>
      </c>
      <c r="E38" s="32"/>
      <c r="F38" s="17"/>
      <c r="G38" s="18">
        <f t="shared" si="1"/>
        <v>32112.9</v>
      </c>
      <c r="H38" s="178"/>
      <c r="I38" s="7"/>
      <c r="J38" s="7"/>
      <c r="K38" s="7"/>
    </row>
    <row r="39" spans="1:17" ht="18" customHeight="1" x14ac:dyDescent="0.25">
      <c r="A39" s="14">
        <f t="shared" si="0"/>
        <v>31</v>
      </c>
      <c r="B39" s="8"/>
      <c r="C39" s="46" t="s">
        <v>392</v>
      </c>
      <c r="D39" s="214" t="s">
        <v>19</v>
      </c>
      <c r="E39" s="32"/>
      <c r="F39" s="17"/>
      <c r="G39" s="18">
        <f t="shared" si="1"/>
        <v>32112.9</v>
      </c>
      <c r="H39" s="178"/>
      <c r="I39" s="7"/>
      <c r="J39" s="7"/>
      <c r="K39" s="7"/>
    </row>
    <row r="40" spans="1:17" ht="18" customHeight="1" x14ac:dyDescent="0.25">
      <c r="A40" s="14">
        <f t="shared" si="0"/>
        <v>32</v>
      </c>
      <c r="B40" s="8"/>
      <c r="C40" s="46" t="s">
        <v>392</v>
      </c>
      <c r="D40" s="214" t="s">
        <v>19</v>
      </c>
      <c r="E40" s="32"/>
      <c r="F40" s="17"/>
      <c r="G40" s="18">
        <f t="shared" si="1"/>
        <v>32112.9</v>
      </c>
      <c r="H40" s="178"/>
      <c r="I40" s="7"/>
      <c r="J40" s="7"/>
      <c r="K40" s="7"/>
    </row>
    <row r="41" spans="1:17" ht="18" customHeight="1" x14ac:dyDescent="0.25">
      <c r="A41" s="14">
        <f t="shared" si="0"/>
        <v>33</v>
      </c>
      <c r="B41" s="8"/>
      <c r="C41" s="46" t="s">
        <v>392</v>
      </c>
      <c r="D41" s="214" t="s">
        <v>19</v>
      </c>
      <c r="E41" s="32"/>
      <c r="F41" s="17"/>
      <c r="G41" s="18">
        <f t="shared" si="1"/>
        <v>32112.9</v>
      </c>
      <c r="H41" s="178"/>
      <c r="I41" s="7"/>
      <c r="J41" s="7"/>
      <c r="K41" s="7"/>
    </row>
    <row r="42" spans="1:17" ht="18" customHeight="1" x14ac:dyDescent="0.25">
      <c r="A42" s="14">
        <f t="shared" si="0"/>
        <v>34</v>
      </c>
      <c r="B42" s="8"/>
      <c r="C42" s="46" t="s">
        <v>392</v>
      </c>
      <c r="D42" s="214" t="s">
        <v>19</v>
      </c>
      <c r="E42" s="32"/>
      <c r="F42" s="172"/>
      <c r="G42" s="18">
        <f t="shared" si="1"/>
        <v>32112.9</v>
      </c>
      <c r="H42" s="178"/>
      <c r="I42" s="7"/>
      <c r="J42" s="7"/>
      <c r="K42" s="7"/>
      <c r="Q42" s="162"/>
    </row>
    <row r="43" spans="1:17" ht="18" customHeight="1" x14ac:dyDescent="0.25">
      <c r="A43" s="14">
        <f t="shared" si="0"/>
        <v>35</v>
      </c>
      <c r="B43" s="8"/>
      <c r="C43" s="46" t="s">
        <v>392</v>
      </c>
      <c r="D43" s="214" t="s">
        <v>19</v>
      </c>
      <c r="E43" s="32"/>
      <c r="F43" s="17"/>
      <c r="G43" s="18">
        <f t="shared" si="1"/>
        <v>32112.9</v>
      </c>
      <c r="H43" s="178"/>
      <c r="I43" s="7"/>
      <c r="J43" s="7"/>
      <c r="K43" s="7"/>
    </row>
    <row r="44" spans="1:17" ht="18" customHeight="1" x14ac:dyDescent="0.25">
      <c r="A44" s="14">
        <f t="shared" si="0"/>
        <v>36</v>
      </c>
      <c r="B44" s="8"/>
      <c r="C44" s="46" t="s">
        <v>392</v>
      </c>
      <c r="D44" s="214" t="s">
        <v>19</v>
      </c>
      <c r="E44" s="32"/>
      <c r="F44" s="17"/>
      <c r="G44" s="18">
        <f t="shared" si="1"/>
        <v>32112.9</v>
      </c>
      <c r="H44" s="178"/>
      <c r="I44" s="7"/>
      <c r="J44" s="7"/>
      <c r="K44" s="7"/>
    </row>
    <row r="45" spans="1:17" ht="18" customHeight="1" x14ac:dyDescent="0.25">
      <c r="A45" s="14">
        <f t="shared" si="0"/>
        <v>37</v>
      </c>
      <c r="B45" s="8"/>
      <c r="C45" s="46" t="s">
        <v>392</v>
      </c>
      <c r="D45" s="214" t="s">
        <v>19</v>
      </c>
      <c r="E45" s="32"/>
      <c r="F45" s="17"/>
      <c r="G45" s="18">
        <f t="shared" si="1"/>
        <v>32112.9</v>
      </c>
      <c r="H45" s="178"/>
      <c r="I45" s="7"/>
      <c r="J45" s="7"/>
      <c r="K45" s="7"/>
    </row>
    <row r="46" spans="1:17" ht="18" customHeight="1" x14ac:dyDescent="0.25">
      <c r="A46" s="14">
        <f t="shared" si="0"/>
        <v>38</v>
      </c>
      <c r="B46" s="8"/>
      <c r="C46" s="46" t="s">
        <v>392</v>
      </c>
      <c r="D46" s="214" t="s">
        <v>19</v>
      </c>
      <c r="E46" s="32"/>
      <c r="F46" s="17"/>
      <c r="G46" s="18">
        <f t="shared" si="1"/>
        <v>32112.9</v>
      </c>
      <c r="H46" s="178"/>
      <c r="I46" s="29"/>
      <c r="J46" s="29"/>
      <c r="K46" s="7"/>
    </row>
    <row r="47" spans="1:17" ht="18" customHeight="1" x14ac:dyDescent="0.25">
      <c r="A47" s="14">
        <f t="shared" si="0"/>
        <v>39</v>
      </c>
      <c r="B47" s="8"/>
      <c r="C47" s="46" t="s">
        <v>392</v>
      </c>
      <c r="D47" s="214" t="s">
        <v>19</v>
      </c>
      <c r="E47" s="32"/>
      <c r="F47" s="17"/>
      <c r="G47" s="18">
        <f t="shared" si="1"/>
        <v>32112.9</v>
      </c>
      <c r="H47" s="178"/>
      <c r="I47" s="29"/>
      <c r="J47" s="29"/>
      <c r="K47" s="7"/>
    </row>
    <row r="48" spans="1:17" ht="18" customHeight="1" x14ac:dyDescent="0.25">
      <c r="A48" s="14">
        <f t="shared" si="0"/>
        <v>40</v>
      </c>
      <c r="B48" s="8"/>
      <c r="C48" s="46" t="s">
        <v>392</v>
      </c>
      <c r="D48" s="214" t="s">
        <v>19</v>
      </c>
      <c r="E48" s="32"/>
      <c r="F48" s="17"/>
      <c r="G48" s="18">
        <f t="shared" si="1"/>
        <v>32112.9</v>
      </c>
      <c r="H48" s="178"/>
      <c r="I48" s="29"/>
      <c r="J48" s="29"/>
      <c r="K48" s="7"/>
    </row>
    <row r="49" spans="1:17" ht="18" customHeight="1" x14ac:dyDescent="0.25">
      <c r="A49" s="14">
        <f t="shared" si="0"/>
        <v>41</v>
      </c>
      <c r="B49" s="8"/>
      <c r="C49" s="46" t="s">
        <v>392</v>
      </c>
      <c r="D49" s="214" t="s">
        <v>19</v>
      </c>
      <c r="E49" s="32"/>
      <c r="F49" s="17"/>
      <c r="G49" s="18">
        <f t="shared" si="1"/>
        <v>32112.9</v>
      </c>
      <c r="H49" s="178"/>
      <c r="I49" s="29"/>
      <c r="J49" s="29"/>
      <c r="K49" s="7"/>
    </row>
    <row r="50" spans="1:17" ht="18" customHeight="1" x14ac:dyDescent="0.25">
      <c r="A50" s="14">
        <f t="shared" si="0"/>
        <v>42</v>
      </c>
      <c r="B50" s="8"/>
      <c r="C50" s="46" t="s">
        <v>392</v>
      </c>
      <c r="D50" s="214" t="s">
        <v>19</v>
      </c>
      <c r="E50" s="32"/>
      <c r="F50" s="17"/>
      <c r="G50" s="18">
        <f t="shared" si="1"/>
        <v>32112.9</v>
      </c>
      <c r="H50" s="178"/>
      <c r="I50" s="7"/>
      <c r="J50" s="7"/>
      <c r="K50" s="7"/>
    </row>
    <row r="51" spans="1:17" s="162" customFormat="1" ht="18" customHeight="1" x14ac:dyDescent="0.25">
      <c r="A51" s="14">
        <f t="shared" si="0"/>
        <v>43</v>
      </c>
      <c r="B51" s="174"/>
      <c r="C51" s="46" t="s">
        <v>392</v>
      </c>
      <c r="D51" s="237" t="s">
        <v>19</v>
      </c>
      <c r="E51" s="175"/>
      <c r="F51" s="172"/>
      <c r="G51" s="18">
        <f t="shared" si="1"/>
        <v>32112.9</v>
      </c>
      <c r="H51" s="178"/>
      <c r="I51" s="7"/>
      <c r="J51" s="7"/>
      <c r="K51" s="271"/>
      <c r="Q51"/>
    </row>
    <row r="52" spans="1:17" ht="18" customHeight="1" x14ac:dyDescent="0.25">
      <c r="A52" s="14">
        <f t="shared" si="0"/>
        <v>44</v>
      </c>
      <c r="B52" s="8"/>
      <c r="C52" s="46" t="s">
        <v>392</v>
      </c>
      <c r="D52" s="214" t="s">
        <v>19</v>
      </c>
      <c r="E52" s="32"/>
      <c r="F52" s="17"/>
      <c r="G52" s="18">
        <f t="shared" si="1"/>
        <v>32112.9</v>
      </c>
      <c r="H52" s="239"/>
      <c r="I52" s="7"/>
      <c r="J52" s="7"/>
      <c r="K52" s="7"/>
    </row>
    <row r="53" spans="1:17" ht="18" customHeight="1" x14ac:dyDescent="0.25">
      <c r="A53" s="14">
        <f t="shared" si="0"/>
        <v>45</v>
      </c>
      <c r="B53" s="8"/>
      <c r="C53" s="46" t="s">
        <v>392</v>
      </c>
      <c r="D53" s="214" t="s">
        <v>19</v>
      </c>
      <c r="E53" s="32"/>
      <c r="F53" s="17"/>
      <c r="G53" s="18">
        <f t="shared" si="1"/>
        <v>32112.9</v>
      </c>
      <c r="H53" s="239"/>
      <c r="I53" s="7"/>
      <c r="J53" s="7"/>
      <c r="K53" s="7"/>
    </row>
    <row r="54" spans="1:17" ht="18" customHeight="1" x14ac:dyDescent="0.25">
      <c r="A54" s="14">
        <f t="shared" si="0"/>
        <v>46</v>
      </c>
      <c r="B54" s="8"/>
      <c r="C54" s="46" t="s">
        <v>392</v>
      </c>
      <c r="D54" s="214" t="s">
        <v>19</v>
      </c>
      <c r="E54" s="32"/>
      <c r="F54" s="17"/>
      <c r="G54" s="18">
        <f t="shared" si="1"/>
        <v>32112.9</v>
      </c>
      <c r="H54" s="239"/>
      <c r="I54" s="7"/>
      <c r="J54" s="7"/>
      <c r="K54" s="7"/>
    </row>
    <row r="55" spans="1:17" ht="18" customHeight="1" x14ac:dyDescent="0.25">
      <c r="A55" s="14">
        <f t="shared" si="0"/>
        <v>47</v>
      </c>
      <c r="B55" s="8"/>
      <c r="C55" s="46" t="s">
        <v>392</v>
      </c>
      <c r="D55" s="214" t="s">
        <v>19</v>
      </c>
      <c r="E55" s="32"/>
      <c r="F55" s="17"/>
      <c r="G55" s="18">
        <f t="shared" si="1"/>
        <v>32112.9</v>
      </c>
      <c r="H55" s="28"/>
      <c r="I55" s="7"/>
      <c r="J55" s="7"/>
      <c r="K55" s="7"/>
    </row>
    <row r="56" spans="1:17" ht="18" customHeight="1" x14ac:dyDescent="0.25">
      <c r="A56" s="14">
        <f t="shared" si="0"/>
        <v>48</v>
      </c>
      <c r="B56" s="8"/>
      <c r="C56" s="46" t="s">
        <v>392</v>
      </c>
      <c r="D56" s="214" t="s">
        <v>19</v>
      </c>
      <c r="E56" s="32"/>
      <c r="F56" s="17"/>
      <c r="G56" s="18">
        <f t="shared" si="1"/>
        <v>32112.9</v>
      </c>
      <c r="H56" s="240"/>
      <c r="I56" s="7"/>
      <c r="J56" s="7"/>
      <c r="K56" s="7"/>
    </row>
    <row r="57" spans="1:17" ht="18" customHeight="1" x14ac:dyDescent="0.25">
      <c r="A57" s="14">
        <f t="shared" si="0"/>
        <v>49</v>
      </c>
      <c r="B57" s="8"/>
      <c r="C57" s="46" t="s">
        <v>392</v>
      </c>
      <c r="D57" s="214" t="s">
        <v>19</v>
      </c>
      <c r="E57" s="32"/>
      <c r="F57" s="17"/>
      <c r="G57" s="18">
        <f t="shared" si="1"/>
        <v>32112.9</v>
      </c>
      <c r="H57" s="240"/>
      <c r="I57" s="7"/>
      <c r="J57" s="7"/>
      <c r="K57" s="7"/>
    </row>
    <row r="58" spans="1:17" ht="18" customHeight="1" x14ac:dyDescent="0.25">
      <c r="A58" s="14">
        <f t="shared" si="0"/>
        <v>50</v>
      </c>
      <c r="B58" s="8"/>
      <c r="C58" s="46" t="s">
        <v>392</v>
      </c>
      <c r="D58" s="214" t="s">
        <v>19</v>
      </c>
      <c r="E58" s="32"/>
      <c r="F58" s="17"/>
      <c r="G58" s="18">
        <f t="shared" si="1"/>
        <v>32112.9</v>
      </c>
      <c r="H58" s="240"/>
      <c r="I58" s="7"/>
      <c r="J58" s="7"/>
      <c r="K58" s="7"/>
    </row>
    <row r="59" spans="1:17" ht="18" customHeight="1" x14ac:dyDescent="0.25">
      <c r="A59" s="14">
        <f t="shared" si="0"/>
        <v>51</v>
      </c>
      <c r="B59" s="8"/>
      <c r="C59" s="46" t="s">
        <v>392</v>
      </c>
      <c r="D59" s="214" t="s">
        <v>19</v>
      </c>
      <c r="E59" s="32"/>
      <c r="F59" s="17"/>
      <c r="G59" s="18">
        <f t="shared" si="1"/>
        <v>32112.9</v>
      </c>
      <c r="H59" s="240"/>
      <c r="I59" s="7"/>
      <c r="J59" s="7"/>
      <c r="K59" s="7"/>
    </row>
    <row r="60" spans="1:17" ht="18" customHeight="1" x14ac:dyDescent="0.25">
      <c r="A60" s="14">
        <f t="shared" si="0"/>
        <v>52</v>
      </c>
      <c r="B60" s="8"/>
      <c r="C60" s="46" t="s">
        <v>392</v>
      </c>
      <c r="D60" s="214" t="s">
        <v>19</v>
      </c>
      <c r="E60" s="32"/>
      <c r="F60" s="17"/>
      <c r="G60" s="18">
        <f t="shared" si="1"/>
        <v>32112.9</v>
      </c>
      <c r="H60" s="240"/>
      <c r="I60" s="7"/>
      <c r="J60" s="7"/>
      <c r="K60" s="7"/>
    </row>
    <row r="61" spans="1:17" ht="18" customHeight="1" x14ac:dyDescent="0.25">
      <c r="A61" s="14">
        <f t="shared" si="0"/>
        <v>53</v>
      </c>
      <c r="B61" s="8"/>
      <c r="C61" s="46" t="s">
        <v>392</v>
      </c>
      <c r="D61" s="214" t="s">
        <v>19</v>
      </c>
      <c r="E61" s="32"/>
      <c r="F61" s="17"/>
      <c r="G61" s="18">
        <f t="shared" si="1"/>
        <v>32112.9</v>
      </c>
      <c r="H61" s="240"/>
      <c r="I61" s="7"/>
      <c r="J61" s="7"/>
      <c r="K61" s="7"/>
    </row>
    <row r="62" spans="1:17" ht="18" customHeight="1" x14ac:dyDescent="0.25">
      <c r="A62" s="14">
        <f t="shared" si="0"/>
        <v>54</v>
      </c>
      <c r="B62" s="8"/>
      <c r="C62" s="46" t="s">
        <v>392</v>
      </c>
      <c r="D62" s="214" t="s">
        <v>19</v>
      </c>
      <c r="E62" s="32"/>
      <c r="F62" s="17"/>
      <c r="G62" s="18">
        <f t="shared" si="1"/>
        <v>32112.9</v>
      </c>
      <c r="H62" s="240"/>
      <c r="I62" s="7"/>
      <c r="J62" s="7"/>
      <c r="K62" s="7"/>
    </row>
    <row r="63" spans="1:17" ht="18" customHeight="1" x14ac:dyDescent="0.25">
      <c r="A63" s="14">
        <f t="shared" si="0"/>
        <v>55</v>
      </c>
      <c r="B63" s="8"/>
      <c r="C63" s="46" t="s">
        <v>392</v>
      </c>
      <c r="D63" s="214" t="s">
        <v>19</v>
      </c>
      <c r="E63" s="32"/>
      <c r="F63" s="17"/>
      <c r="G63" s="18">
        <f t="shared" si="1"/>
        <v>32112.9</v>
      </c>
      <c r="H63" s="240"/>
      <c r="I63" s="7"/>
      <c r="J63" s="7"/>
      <c r="K63" s="7"/>
    </row>
    <row r="64" spans="1:17" ht="18" customHeight="1" x14ac:dyDescent="0.25">
      <c r="A64" s="14">
        <f t="shared" si="0"/>
        <v>56</v>
      </c>
      <c r="B64" s="8"/>
      <c r="C64" s="46" t="s">
        <v>392</v>
      </c>
      <c r="D64" s="214" t="s">
        <v>19</v>
      </c>
      <c r="E64" s="32"/>
      <c r="F64" s="17"/>
      <c r="G64" s="18">
        <f t="shared" si="1"/>
        <v>32112.9</v>
      </c>
      <c r="H64" s="240"/>
      <c r="I64" s="7"/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392</v>
      </c>
      <c r="D65" s="214" t="s">
        <v>19</v>
      </c>
      <c r="E65" s="32"/>
      <c r="F65" s="17"/>
      <c r="G65" s="18">
        <f t="shared" si="1"/>
        <v>32112.9</v>
      </c>
      <c r="H65" s="240"/>
      <c r="I65" s="7"/>
      <c r="J65" s="7"/>
      <c r="K65" s="7"/>
    </row>
    <row r="66" spans="1:11" ht="18" customHeight="1" x14ac:dyDescent="0.25">
      <c r="A66" s="14">
        <f t="shared" si="0"/>
        <v>58</v>
      </c>
      <c r="B66" s="8"/>
      <c r="C66" s="46" t="s">
        <v>392</v>
      </c>
      <c r="D66" s="214" t="s">
        <v>19</v>
      </c>
      <c r="E66" s="32"/>
      <c r="F66" s="17"/>
      <c r="G66" s="18">
        <f t="shared" si="1"/>
        <v>32112.9</v>
      </c>
      <c r="H66" s="240"/>
      <c r="I66" s="7"/>
      <c r="J66" s="7"/>
      <c r="K66" s="140"/>
    </row>
    <row r="67" spans="1:11" ht="18" customHeight="1" x14ac:dyDescent="0.25">
      <c r="A67" s="14">
        <f t="shared" si="0"/>
        <v>59</v>
      </c>
      <c r="B67" s="8"/>
      <c r="C67" s="46" t="s">
        <v>392</v>
      </c>
      <c r="D67" s="214" t="s">
        <v>19</v>
      </c>
      <c r="E67" s="32"/>
      <c r="F67" s="17"/>
      <c r="G67" s="18">
        <f t="shared" si="1"/>
        <v>32112.9</v>
      </c>
      <c r="H67" s="240"/>
      <c r="I67" s="7"/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392</v>
      </c>
      <c r="D68" s="214" t="s">
        <v>19</v>
      </c>
      <c r="E68" s="32"/>
      <c r="F68" s="17"/>
      <c r="G68" s="18">
        <f t="shared" si="1"/>
        <v>32112.9</v>
      </c>
      <c r="H68" s="240"/>
      <c r="I68" s="7"/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392</v>
      </c>
      <c r="D69" s="214" t="s">
        <v>19</v>
      </c>
      <c r="E69" s="32"/>
      <c r="F69" s="17"/>
      <c r="G69" s="18">
        <f t="shared" si="1"/>
        <v>32112.9</v>
      </c>
      <c r="H69" s="240"/>
      <c r="I69" s="7"/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392</v>
      </c>
      <c r="D70" s="214" t="s">
        <v>19</v>
      </c>
      <c r="E70" s="32"/>
      <c r="F70" s="17"/>
      <c r="G70" s="18">
        <f t="shared" si="1"/>
        <v>32112.9</v>
      </c>
      <c r="H70" s="240"/>
      <c r="I70" s="7"/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392</v>
      </c>
      <c r="D71" s="214" t="s">
        <v>19</v>
      </c>
      <c r="E71" s="32"/>
      <c r="F71" s="17"/>
      <c r="G71" s="18">
        <f t="shared" si="1"/>
        <v>32112.9</v>
      </c>
      <c r="H71" s="240"/>
      <c r="I71" s="7"/>
      <c r="J71" s="7"/>
      <c r="K71" s="7"/>
    </row>
    <row r="72" spans="1:11" ht="18" customHeight="1" x14ac:dyDescent="0.25">
      <c r="A72" s="14">
        <f t="shared" si="0"/>
        <v>64</v>
      </c>
      <c r="B72" s="8"/>
      <c r="C72" s="46" t="s">
        <v>392</v>
      </c>
      <c r="D72" s="214" t="s">
        <v>19</v>
      </c>
      <c r="E72" s="32"/>
      <c r="F72" s="17"/>
      <c r="G72" s="18">
        <f t="shared" si="1"/>
        <v>32112.9</v>
      </c>
      <c r="H72" s="240"/>
      <c r="I72" s="7"/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392</v>
      </c>
      <c r="D73" s="214" t="s">
        <v>19</v>
      </c>
      <c r="E73" s="32"/>
      <c r="F73" s="17"/>
      <c r="G73" s="18">
        <f t="shared" si="1"/>
        <v>32112.9</v>
      </c>
      <c r="H73" s="240"/>
      <c r="I73" s="7"/>
      <c r="J73" s="7"/>
      <c r="K73" s="7"/>
    </row>
    <row r="74" spans="1:11" ht="18" customHeight="1" x14ac:dyDescent="0.25">
      <c r="A74" s="14">
        <f t="shared" si="0"/>
        <v>66</v>
      </c>
      <c r="B74" s="8"/>
      <c r="C74" s="46" t="s">
        <v>392</v>
      </c>
      <c r="D74" s="214" t="s">
        <v>19</v>
      </c>
      <c r="E74" s="32"/>
      <c r="F74" s="17"/>
      <c r="G74" s="18">
        <f t="shared" si="1"/>
        <v>32112.9</v>
      </c>
      <c r="H74" s="240"/>
      <c r="I74" s="7"/>
      <c r="J74" s="7"/>
      <c r="K74" s="7"/>
    </row>
    <row r="75" spans="1:11" ht="18" customHeight="1" x14ac:dyDescent="0.25">
      <c r="A75" s="14">
        <f t="shared" ref="A75:A108" si="2">+A74+1</f>
        <v>67</v>
      </c>
      <c r="B75" s="8"/>
      <c r="C75" s="46" t="s">
        <v>392</v>
      </c>
      <c r="D75" s="214" t="s">
        <v>19</v>
      </c>
      <c r="E75" s="32"/>
      <c r="F75" s="17"/>
      <c r="G75" s="18">
        <f t="shared" ref="G75:G108" si="3">+G74+E75-F75</f>
        <v>32112.9</v>
      </c>
      <c r="H75" s="240"/>
      <c r="I75" s="7"/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392</v>
      </c>
      <c r="D76" s="214" t="s">
        <v>19</v>
      </c>
      <c r="E76" s="32"/>
      <c r="F76" s="17"/>
      <c r="G76" s="18">
        <f t="shared" si="3"/>
        <v>32112.9</v>
      </c>
      <c r="H76" s="240"/>
      <c r="I76" s="7"/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392</v>
      </c>
      <c r="D77" s="214" t="s">
        <v>19</v>
      </c>
      <c r="E77" s="32"/>
      <c r="F77" s="17"/>
      <c r="G77" s="18">
        <f t="shared" si="3"/>
        <v>32112.9</v>
      </c>
      <c r="H77" s="240"/>
      <c r="I77" s="7"/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392</v>
      </c>
      <c r="D78" s="214" t="s">
        <v>19</v>
      </c>
      <c r="E78" s="32"/>
      <c r="F78" s="17"/>
      <c r="G78" s="18">
        <f t="shared" si="3"/>
        <v>32112.9</v>
      </c>
      <c r="H78" s="240"/>
      <c r="I78" s="7"/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392</v>
      </c>
      <c r="D79" s="214" t="s">
        <v>19</v>
      </c>
      <c r="E79" s="32"/>
      <c r="F79" s="17"/>
      <c r="G79" s="18">
        <f t="shared" si="3"/>
        <v>32112.9</v>
      </c>
      <c r="H79" s="240"/>
      <c r="I79" s="7"/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392</v>
      </c>
      <c r="D80" s="214" t="s">
        <v>19</v>
      </c>
      <c r="E80" s="32"/>
      <c r="F80" s="17"/>
      <c r="G80" s="18">
        <f t="shared" si="3"/>
        <v>32112.9</v>
      </c>
      <c r="H80" s="240"/>
      <c r="I80" s="7"/>
      <c r="J80" s="7"/>
      <c r="K80" s="7"/>
    </row>
    <row r="81" spans="1:18" ht="18" customHeight="1" x14ac:dyDescent="0.25">
      <c r="A81" s="14">
        <f t="shared" si="2"/>
        <v>73</v>
      </c>
      <c r="B81" s="8"/>
      <c r="C81" s="46" t="s">
        <v>392</v>
      </c>
      <c r="D81" s="214" t="s">
        <v>19</v>
      </c>
      <c r="E81" s="32"/>
      <c r="F81" s="17"/>
      <c r="G81" s="18">
        <f t="shared" si="3"/>
        <v>32112.9</v>
      </c>
      <c r="H81" s="240"/>
      <c r="I81" s="7"/>
      <c r="J81" s="7"/>
      <c r="K81" s="7"/>
    </row>
    <row r="82" spans="1:18" ht="18" customHeight="1" x14ac:dyDescent="0.25">
      <c r="A82" s="14">
        <f t="shared" si="2"/>
        <v>74</v>
      </c>
      <c r="B82" s="8"/>
      <c r="C82" s="46" t="s">
        <v>392</v>
      </c>
      <c r="D82" s="214" t="s">
        <v>19</v>
      </c>
      <c r="E82" s="32"/>
      <c r="F82" s="17"/>
      <c r="G82" s="18">
        <f t="shared" si="3"/>
        <v>32112.9</v>
      </c>
      <c r="H82" s="240"/>
      <c r="I82" s="7"/>
      <c r="J82" s="7"/>
      <c r="K82" s="7"/>
    </row>
    <row r="83" spans="1:18" ht="18" customHeight="1" x14ac:dyDescent="0.25">
      <c r="A83" s="14">
        <f t="shared" si="2"/>
        <v>75</v>
      </c>
      <c r="B83" s="8"/>
      <c r="C83" s="46" t="s">
        <v>392</v>
      </c>
      <c r="D83" s="214" t="s">
        <v>19</v>
      </c>
      <c r="E83" s="32"/>
      <c r="F83" s="17"/>
      <c r="G83" s="18">
        <f t="shared" si="3"/>
        <v>32112.9</v>
      </c>
      <c r="H83" s="240"/>
      <c r="I83" s="7"/>
      <c r="J83" s="7"/>
      <c r="K83" s="7"/>
    </row>
    <row r="84" spans="1:18" ht="18" customHeight="1" x14ac:dyDescent="0.25">
      <c r="A84" s="14">
        <f t="shared" si="2"/>
        <v>76</v>
      </c>
      <c r="B84" s="8"/>
      <c r="C84" s="46" t="s">
        <v>392</v>
      </c>
      <c r="D84" s="214" t="s">
        <v>19</v>
      </c>
      <c r="E84" s="32"/>
      <c r="F84" s="27"/>
      <c r="G84" s="18">
        <f t="shared" si="3"/>
        <v>32112.9</v>
      </c>
      <c r="H84" s="240"/>
      <c r="I84" s="7"/>
      <c r="J84" s="7"/>
      <c r="K84" s="7"/>
    </row>
    <row r="85" spans="1:18" ht="18" customHeight="1" x14ac:dyDescent="0.25">
      <c r="A85" s="14">
        <f t="shared" si="2"/>
        <v>77</v>
      </c>
      <c r="B85" s="8"/>
      <c r="C85" s="46" t="s">
        <v>392</v>
      </c>
      <c r="D85" s="214" t="s">
        <v>19</v>
      </c>
      <c r="E85" s="32"/>
      <c r="F85" s="17"/>
      <c r="G85" s="18">
        <f t="shared" si="3"/>
        <v>32112.9</v>
      </c>
      <c r="H85" s="240"/>
      <c r="I85" s="7"/>
      <c r="J85" s="7"/>
      <c r="K85" s="7"/>
    </row>
    <row r="86" spans="1:18" ht="18" customHeight="1" x14ac:dyDescent="0.25">
      <c r="A86" s="14">
        <f t="shared" si="2"/>
        <v>78</v>
      </c>
      <c r="B86" s="8"/>
      <c r="C86" s="46" t="s">
        <v>392</v>
      </c>
      <c r="D86" s="214" t="s">
        <v>19</v>
      </c>
      <c r="E86" s="32"/>
      <c r="F86" s="17"/>
      <c r="G86" s="18">
        <f t="shared" si="3"/>
        <v>32112.9</v>
      </c>
      <c r="H86" s="240"/>
      <c r="I86" s="7"/>
      <c r="J86" s="7"/>
      <c r="K86" s="7"/>
    </row>
    <row r="87" spans="1:18" ht="18" customHeight="1" x14ac:dyDescent="0.25">
      <c r="A87" s="14">
        <f t="shared" si="2"/>
        <v>79</v>
      </c>
      <c r="B87" s="8"/>
      <c r="C87" s="46" t="s">
        <v>392</v>
      </c>
      <c r="D87" s="214" t="s">
        <v>19</v>
      </c>
      <c r="E87" s="32"/>
      <c r="F87" s="17"/>
      <c r="G87" s="18">
        <f t="shared" si="3"/>
        <v>32112.9</v>
      </c>
      <c r="H87" s="240"/>
      <c r="I87" s="7"/>
      <c r="J87" s="7"/>
      <c r="K87" s="7"/>
    </row>
    <row r="88" spans="1:18" ht="18" customHeight="1" x14ac:dyDescent="0.25">
      <c r="A88" s="14">
        <f t="shared" si="2"/>
        <v>80</v>
      </c>
      <c r="B88" s="8"/>
      <c r="C88" s="46" t="s">
        <v>392</v>
      </c>
      <c r="D88" s="214" t="s">
        <v>19</v>
      </c>
      <c r="E88" s="32"/>
      <c r="F88" s="17"/>
      <c r="G88" s="18">
        <f t="shared" si="3"/>
        <v>32112.9</v>
      </c>
      <c r="H88" s="240"/>
      <c r="I88" s="7"/>
      <c r="J88" s="7"/>
      <c r="K88" s="7"/>
    </row>
    <row r="89" spans="1:18" ht="18" customHeight="1" x14ac:dyDescent="0.25">
      <c r="A89" s="14">
        <f t="shared" si="2"/>
        <v>81</v>
      </c>
      <c r="B89" s="8"/>
      <c r="C89" s="46" t="s">
        <v>392</v>
      </c>
      <c r="D89" s="214" t="s">
        <v>19</v>
      </c>
      <c r="E89" s="32"/>
      <c r="F89" s="17"/>
      <c r="G89" s="18">
        <f t="shared" si="3"/>
        <v>32112.9</v>
      </c>
      <c r="H89" s="240"/>
      <c r="I89" s="7"/>
      <c r="J89" s="7"/>
      <c r="K89" s="7"/>
    </row>
    <row r="90" spans="1:18" ht="18" customHeight="1" x14ac:dyDescent="0.25">
      <c r="A90" s="14">
        <f t="shared" si="2"/>
        <v>82</v>
      </c>
      <c r="B90" s="8"/>
      <c r="C90" s="46" t="s">
        <v>392</v>
      </c>
      <c r="D90" s="214" t="s">
        <v>19</v>
      </c>
      <c r="E90" s="32"/>
      <c r="F90" s="17"/>
      <c r="G90" s="18">
        <f t="shared" si="3"/>
        <v>32112.9</v>
      </c>
      <c r="H90" s="240"/>
      <c r="I90" s="7"/>
      <c r="J90" s="7"/>
      <c r="K90" s="7"/>
    </row>
    <row r="91" spans="1:18" ht="18" customHeight="1" x14ac:dyDescent="0.25">
      <c r="A91" s="14">
        <f t="shared" si="2"/>
        <v>83</v>
      </c>
      <c r="B91" s="8"/>
      <c r="C91" s="46" t="s">
        <v>392</v>
      </c>
      <c r="D91" s="214" t="s">
        <v>19</v>
      </c>
      <c r="E91" s="32"/>
      <c r="F91" s="17"/>
      <c r="G91" s="18">
        <f t="shared" si="3"/>
        <v>32112.9</v>
      </c>
      <c r="H91" s="240"/>
      <c r="I91" s="7"/>
      <c r="J91" s="7"/>
      <c r="K91" s="7"/>
      <c r="M91" s="199"/>
      <c r="R91" s="199"/>
    </row>
    <row r="92" spans="1:18" ht="18" customHeight="1" x14ac:dyDescent="0.25">
      <c r="A92" s="14">
        <f t="shared" si="2"/>
        <v>84</v>
      </c>
      <c r="B92" s="8"/>
      <c r="C92" s="46" t="s">
        <v>392</v>
      </c>
      <c r="D92" s="214" t="s">
        <v>19</v>
      </c>
      <c r="E92" s="32"/>
      <c r="F92" s="27"/>
      <c r="G92" s="18">
        <f t="shared" si="3"/>
        <v>32112.9</v>
      </c>
      <c r="H92" s="240"/>
      <c r="I92" s="7"/>
      <c r="J92" s="7"/>
      <c r="K92" s="7"/>
      <c r="M92" s="199"/>
      <c r="R92" s="199"/>
    </row>
    <row r="93" spans="1:18" ht="18" customHeight="1" x14ac:dyDescent="0.25">
      <c r="A93" s="14">
        <f t="shared" si="2"/>
        <v>85</v>
      </c>
      <c r="B93" s="8"/>
      <c r="C93" s="46" t="s">
        <v>392</v>
      </c>
      <c r="D93" s="214" t="s">
        <v>19</v>
      </c>
      <c r="E93" s="32"/>
      <c r="F93" s="27"/>
      <c r="G93" s="18">
        <f t="shared" si="3"/>
        <v>32112.9</v>
      </c>
      <c r="H93" s="240"/>
      <c r="I93" s="7"/>
      <c r="J93" s="7"/>
      <c r="K93" s="7"/>
      <c r="M93" s="199"/>
      <c r="R93" s="199"/>
    </row>
    <row r="94" spans="1:18" s="179" customFormat="1" ht="18" customHeight="1" x14ac:dyDescent="0.25">
      <c r="A94" s="14">
        <f t="shared" si="2"/>
        <v>86</v>
      </c>
      <c r="B94" s="242"/>
      <c r="C94" s="46" t="s">
        <v>392</v>
      </c>
      <c r="D94" s="244" t="s">
        <v>19</v>
      </c>
      <c r="E94" s="245"/>
      <c r="F94" s="52"/>
      <c r="G94" s="18">
        <f t="shared" si="3"/>
        <v>32112.9</v>
      </c>
      <c r="H94" s="240"/>
      <c r="I94" s="247"/>
      <c r="J94" s="247"/>
      <c r="K94" s="247"/>
      <c r="M94" s="248"/>
      <c r="R94" s="248"/>
    </row>
    <row r="95" spans="1:18" s="179" customFormat="1" ht="18" customHeight="1" x14ac:dyDescent="0.25">
      <c r="A95" s="14">
        <f t="shared" si="2"/>
        <v>87</v>
      </c>
      <c r="B95" s="242"/>
      <c r="C95" s="46" t="s">
        <v>392</v>
      </c>
      <c r="D95" s="244" t="s">
        <v>19</v>
      </c>
      <c r="E95" s="245"/>
      <c r="F95" s="52"/>
      <c r="G95" s="18">
        <f t="shared" si="3"/>
        <v>32112.9</v>
      </c>
      <c r="H95" s="240"/>
      <c r="I95" s="247"/>
      <c r="J95" s="247"/>
      <c r="K95" s="247"/>
      <c r="M95" s="248"/>
      <c r="R95" s="248"/>
    </row>
    <row r="96" spans="1:18" s="179" customFormat="1" ht="18" customHeight="1" x14ac:dyDescent="0.25">
      <c r="A96" s="14">
        <f t="shared" si="2"/>
        <v>88</v>
      </c>
      <c r="B96" s="242"/>
      <c r="C96" s="46" t="s">
        <v>392</v>
      </c>
      <c r="D96" s="244" t="s">
        <v>19</v>
      </c>
      <c r="E96" s="245"/>
      <c r="F96" s="52"/>
      <c r="G96" s="18">
        <f t="shared" si="3"/>
        <v>32112.9</v>
      </c>
      <c r="H96" s="240"/>
      <c r="I96" s="247"/>
      <c r="J96" s="247"/>
      <c r="K96" s="247"/>
      <c r="M96" s="248"/>
      <c r="R96" s="248"/>
    </row>
    <row r="97" spans="1:18" s="179" customFormat="1" ht="18" customHeight="1" x14ac:dyDescent="0.25">
      <c r="A97" s="14">
        <f t="shared" si="2"/>
        <v>89</v>
      </c>
      <c r="B97" s="242"/>
      <c r="C97" s="46" t="s">
        <v>392</v>
      </c>
      <c r="D97" s="244" t="s">
        <v>19</v>
      </c>
      <c r="E97" s="245"/>
      <c r="F97" s="52"/>
      <c r="G97" s="18">
        <f t="shared" si="3"/>
        <v>32112.9</v>
      </c>
      <c r="H97" s="240"/>
      <c r="I97" s="247"/>
      <c r="J97" s="247"/>
      <c r="K97" s="247"/>
      <c r="M97" s="248"/>
      <c r="R97" s="248"/>
    </row>
    <row r="98" spans="1:18" s="179" customFormat="1" ht="18" customHeight="1" x14ac:dyDescent="0.25">
      <c r="A98" s="14">
        <f t="shared" si="2"/>
        <v>90</v>
      </c>
      <c r="B98" s="242"/>
      <c r="C98" s="46" t="s">
        <v>392</v>
      </c>
      <c r="D98" s="244" t="s">
        <v>19</v>
      </c>
      <c r="E98" s="245"/>
      <c r="F98" s="52"/>
      <c r="G98" s="18">
        <f t="shared" si="3"/>
        <v>32112.9</v>
      </c>
      <c r="H98" s="240"/>
      <c r="I98" s="247"/>
      <c r="J98" s="247"/>
      <c r="K98" s="247"/>
      <c r="M98" s="248"/>
      <c r="R98" s="248"/>
    </row>
    <row r="99" spans="1:18" s="179" customFormat="1" ht="18" customHeight="1" x14ac:dyDescent="0.25">
      <c r="A99" s="14">
        <f t="shared" si="2"/>
        <v>91</v>
      </c>
      <c r="B99" s="242"/>
      <c r="C99" s="46" t="s">
        <v>392</v>
      </c>
      <c r="D99" s="244" t="s">
        <v>19</v>
      </c>
      <c r="E99" s="245"/>
      <c r="F99" s="52"/>
      <c r="G99" s="18">
        <f t="shared" si="3"/>
        <v>32112.9</v>
      </c>
      <c r="H99" s="240"/>
      <c r="I99" s="247"/>
      <c r="J99" s="247"/>
      <c r="K99" s="247"/>
      <c r="M99" s="248"/>
      <c r="R99" s="248"/>
    </row>
    <row r="100" spans="1:18" s="179" customFormat="1" ht="18" customHeight="1" x14ac:dyDescent="0.25">
      <c r="A100" s="14">
        <f t="shared" si="2"/>
        <v>92</v>
      </c>
      <c r="B100" s="242"/>
      <c r="C100" s="46" t="s">
        <v>392</v>
      </c>
      <c r="D100" s="244" t="s">
        <v>19</v>
      </c>
      <c r="E100" s="245"/>
      <c r="F100" s="52"/>
      <c r="G100" s="18">
        <f t="shared" si="3"/>
        <v>32112.9</v>
      </c>
      <c r="H100" s="240"/>
      <c r="I100" s="247"/>
      <c r="J100" s="247"/>
      <c r="K100" s="247"/>
      <c r="M100" s="248"/>
      <c r="R100" s="248"/>
    </row>
    <row r="101" spans="1:18" s="179" customFormat="1" ht="18" customHeight="1" x14ac:dyDescent="0.25">
      <c r="A101" s="14">
        <f t="shared" si="2"/>
        <v>93</v>
      </c>
      <c r="B101" s="242"/>
      <c r="C101" s="46" t="s">
        <v>392</v>
      </c>
      <c r="D101" s="244" t="s">
        <v>19</v>
      </c>
      <c r="E101" s="245"/>
      <c r="F101" s="52"/>
      <c r="G101" s="18">
        <f t="shared" si="3"/>
        <v>32112.9</v>
      </c>
      <c r="H101" s="240"/>
      <c r="I101" s="247"/>
      <c r="J101" s="247"/>
      <c r="K101" s="247"/>
      <c r="M101" s="248"/>
      <c r="R101" s="248"/>
    </row>
    <row r="102" spans="1:18" s="179" customFormat="1" ht="18" customHeight="1" x14ac:dyDescent="0.25">
      <c r="A102" s="14">
        <f t="shared" si="2"/>
        <v>94</v>
      </c>
      <c r="B102" s="242"/>
      <c r="C102" s="243"/>
      <c r="D102" s="244"/>
      <c r="E102" s="245"/>
      <c r="F102" s="52"/>
      <c r="G102" s="18">
        <f t="shared" si="3"/>
        <v>32112.9</v>
      </c>
      <c r="H102" s="240"/>
      <c r="I102" s="247"/>
      <c r="J102" s="247"/>
      <c r="K102" s="247"/>
      <c r="M102" s="248"/>
      <c r="R102" s="248"/>
    </row>
    <row r="103" spans="1:18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32112.9</v>
      </c>
      <c r="H103" s="240"/>
      <c r="I103" s="247"/>
      <c r="J103" s="247"/>
      <c r="K103" s="247"/>
      <c r="M103" s="248"/>
      <c r="R103" s="248"/>
    </row>
    <row r="104" spans="1:18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32112.9</v>
      </c>
      <c r="H104" s="240"/>
      <c r="I104" s="247"/>
      <c r="J104" s="247"/>
      <c r="K104" s="247"/>
      <c r="M104" s="248"/>
      <c r="R104" s="248"/>
    </row>
    <row r="105" spans="1:18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32112.9</v>
      </c>
      <c r="H105" s="240"/>
      <c r="I105" s="247"/>
      <c r="J105" s="247"/>
      <c r="K105" s="247"/>
      <c r="M105" s="248"/>
      <c r="R105" s="248"/>
    </row>
    <row r="106" spans="1:18" ht="18" customHeight="1" x14ac:dyDescent="0.25">
      <c r="A106" s="14">
        <f t="shared" si="2"/>
        <v>98</v>
      </c>
      <c r="B106" s="8"/>
      <c r="C106" s="46"/>
      <c r="D106" s="214"/>
      <c r="E106" s="32"/>
      <c r="F106" s="27"/>
      <c r="G106" s="18">
        <f t="shared" si="3"/>
        <v>32112.9</v>
      </c>
      <c r="H106" s="28"/>
      <c r="I106" s="7"/>
      <c r="J106" s="7"/>
      <c r="K106" s="7"/>
      <c r="M106" s="199"/>
      <c r="R106" s="199"/>
    </row>
    <row r="107" spans="1:18" ht="18" customHeight="1" x14ac:dyDescent="0.25">
      <c r="A107" s="14">
        <f t="shared" si="2"/>
        <v>99</v>
      </c>
      <c r="B107" s="8"/>
      <c r="C107" s="46"/>
      <c r="D107" s="214"/>
      <c r="E107" s="32"/>
      <c r="F107" s="27"/>
      <c r="G107" s="18">
        <f t="shared" si="3"/>
        <v>32112.9</v>
      </c>
      <c r="H107" s="28"/>
      <c r="I107" s="7"/>
      <c r="J107" s="7"/>
      <c r="K107" s="7"/>
      <c r="M107" s="199"/>
      <c r="R107" s="199"/>
    </row>
    <row r="108" spans="1:18" ht="18" customHeight="1" x14ac:dyDescent="0.25">
      <c r="A108" s="14">
        <f t="shared" si="2"/>
        <v>100</v>
      </c>
      <c r="B108" s="37"/>
      <c r="C108" s="46"/>
      <c r="D108" s="10"/>
      <c r="E108" s="32"/>
      <c r="F108" s="27"/>
      <c r="G108" s="18">
        <f t="shared" si="3"/>
        <v>32112.9</v>
      </c>
      <c r="H108" s="28"/>
      <c r="I108" s="7"/>
      <c r="J108" s="7"/>
      <c r="K108" s="7"/>
      <c r="M108" s="199"/>
      <c r="R108" s="199"/>
    </row>
    <row r="109" spans="1:18" ht="18" customHeight="1" x14ac:dyDescent="0.25">
      <c r="A109" s="7"/>
      <c r="B109" s="7"/>
      <c r="C109" s="34" t="s">
        <v>13</v>
      </c>
      <c r="D109" s="14"/>
      <c r="E109" s="35">
        <f>SUM(E8:E108)</f>
        <v>53287.8</v>
      </c>
      <c r="F109" s="35">
        <f>SUM(F8:F108)</f>
        <v>21174.900000000009</v>
      </c>
      <c r="G109" s="35">
        <f>+E109-F109+G8</f>
        <v>32112.899999999994</v>
      </c>
      <c r="H109" s="35"/>
      <c r="I109" s="36"/>
      <c r="J109" s="36"/>
      <c r="K109" s="7">
        <f>SUM(K9:K108)</f>
        <v>23</v>
      </c>
    </row>
    <row r="110" spans="1:18" ht="18" customHeight="1" x14ac:dyDescent="0.25"/>
    <row r="113" spans="5:10" x14ac:dyDescent="0.25">
      <c r="E113" s="201"/>
      <c r="F113" s="201"/>
      <c r="G113" s="201"/>
      <c r="H113" s="201"/>
    </row>
    <row r="114" spans="5:10" x14ac:dyDescent="0.25">
      <c r="F114" s="26"/>
    </row>
    <row r="115" spans="5:10" x14ac:dyDescent="0.25">
      <c r="E115" s="26"/>
      <c r="F115" s="26"/>
      <c r="G115" s="26"/>
      <c r="H115" s="26"/>
      <c r="I115" s="26"/>
      <c r="J115" s="26"/>
    </row>
    <row r="116" spans="5:10" x14ac:dyDescent="0.25">
      <c r="I116" s="202"/>
      <c r="J116" s="202"/>
    </row>
    <row r="117" spans="5:10" x14ac:dyDescent="0.25">
      <c r="E117" s="199"/>
    </row>
    <row r="118" spans="5:10" x14ac:dyDescent="0.25">
      <c r="E118" s="26"/>
      <c r="F118" s="26"/>
    </row>
    <row r="119" spans="5:10" x14ac:dyDescent="0.25">
      <c r="E119" s="203"/>
      <c r="F119" s="204"/>
      <c r="G119" s="203"/>
      <c r="H119" s="203"/>
    </row>
    <row r="120" spans="5:10" x14ac:dyDescent="0.25">
      <c r="F120" s="26"/>
    </row>
  </sheetData>
  <mergeCells count="1">
    <mergeCell ref="A4:I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F501-D399-4BDA-8198-18334DC6EA7F}">
  <sheetPr codeName="Sheet72"/>
  <dimension ref="A1:Q123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8.42578125" customWidth="1"/>
    <col min="11" max="11" width="24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12510</v>
      </c>
      <c r="H8" s="7"/>
      <c r="I8" s="7"/>
      <c r="J8" s="7"/>
    </row>
    <row r="9" spans="1:12" ht="17.25" customHeight="1" x14ac:dyDescent="0.25">
      <c r="A9" s="14">
        <v>1</v>
      </c>
      <c r="B9" s="8">
        <v>45696</v>
      </c>
      <c r="C9" s="46" t="s">
        <v>282</v>
      </c>
      <c r="D9" s="214" t="s">
        <v>19</v>
      </c>
      <c r="E9" s="30">
        <v>834</v>
      </c>
      <c r="F9" s="27"/>
      <c r="G9" s="18">
        <f>+G8+E9-F9</f>
        <v>13344</v>
      </c>
      <c r="H9" s="28" t="s">
        <v>91</v>
      </c>
      <c r="I9" s="7"/>
      <c r="J9" s="7"/>
    </row>
    <row r="10" spans="1:12" ht="17.25" customHeight="1" x14ac:dyDescent="0.25">
      <c r="A10" s="14"/>
      <c r="B10" s="8">
        <v>45696</v>
      </c>
      <c r="C10" s="46" t="s">
        <v>282</v>
      </c>
      <c r="D10" s="214" t="s">
        <v>19</v>
      </c>
      <c r="E10" s="30">
        <v>7504.3</v>
      </c>
      <c r="F10" s="27"/>
      <c r="G10" s="18">
        <f>+G9+E10-F10</f>
        <v>20848.3</v>
      </c>
      <c r="H10" s="28"/>
      <c r="I10" s="7"/>
      <c r="J10" s="7"/>
    </row>
    <row r="11" spans="1:12" ht="17.25" customHeight="1" x14ac:dyDescent="0.25">
      <c r="A11" s="14"/>
      <c r="B11" s="8">
        <v>45783</v>
      </c>
      <c r="C11" s="46" t="s">
        <v>282</v>
      </c>
      <c r="D11" s="214" t="s">
        <v>19</v>
      </c>
      <c r="E11" s="30"/>
      <c r="F11" s="31">
        <v>2681</v>
      </c>
      <c r="G11" s="18">
        <f t="shared" ref="G11:G75" si="0">+G10+E11-F11</f>
        <v>18167.3</v>
      </c>
      <c r="H11" s="28"/>
      <c r="I11" s="7"/>
      <c r="J11" s="7"/>
    </row>
    <row r="12" spans="1:12" ht="17.25" customHeight="1" x14ac:dyDescent="0.25">
      <c r="A12" s="14"/>
      <c r="B12" s="8">
        <v>45789</v>
      </c>
      <c r="C12" s="46" t="s">
        <v>282</v>
      </c>
      <c r="D12" s="214" t="s">
        <v>19</v>
      </c>
      <c r="E12" s="30"/>
      <c r="F12" s="31">
        <v>2672.3</v>
      </c>
      <c r="G12" s="18">
        <f t="shared" si="0"/>
        <v>15495</v>
      </c>
      <c r="H12" s="28"/>
      <c r="I12" s="7"/>
      <c r="J12" s="7"/>
    </row>
    <row r="13" spans="1:12" ht="17.25" customHeight="1" x14ac:dyDescent="0.25">
      <c r="A13" s="14">
        <f>+A9+1</f>
        <v>2</v>
      </c>
      <c r="B13" s="8">
        <v>45799</v>
      </c>
      <c r="C13" s="46" t="s">
        <v>282</v>
      </c>
      <c r="D13" s="214" t="s">
        <v>19</v>
      </c>
      <c r="E13" s="11"/>
      <c r="F13" s="27">
        <v>2703</v>
      </c>
      <c r="G13" s="18">
        <f t="shared" si="0"/>
        <v>12792</v>
      </c>
      <c r="H13" s="28" t="s">
        <v>91</v>
      </c>
      <c r="I13" s="7" t="s">
        <v>279</v>
      </c>
      <c r="J13" s="7"/>
    </row>
    <row r="14" spans="1:12" ht="17.25" customHeight="1" x14ac:dyDescent="0.25">
      <c r="A14" s="14"/>
      <c r="B14" s="8">
        <v>45801</v>
      </c>
      <c r="C14" s="46" t="s">
        <v>282</v>
      </c>
      <c r="D14" s="214" t="s">
        <v>19</v>
      </c>
      <c r="E14" s="11"/>
      <c r="F14" s="27">
        <v>2711.2</v>
      </c>
      <c r="G14" s="18">
        <f t="shared" si="0"/>
        <v>10080.799999999999</v>
      </c>
      <c r="H14" s="28"/>
      <c r="I14" s="7"/>
      <c r="J14" s="7"/>
    </row>
    <row r="15" spans="1:12" ht="18" customHeight="1" x14ac:dyDescent="0.25">
      <c r="A15" s="14">
        <f>+A13+1</f>
        <v>3</v>
      </c>
      <c r="B15" s="8">
        <v>45853</v>
      </c>
      <c r="C15" s="46" t="s">
        <v>273</v>
      </c>
      <c r="D15" s="214" t="s">
        <v>19</v>
      </c>
      <c r="E15" s="16"/>
      <c r="F15" s="27">
        <f>855.8+899.8+842.1</f>
        <v>2597.6999999999998</v>
      </c>
      <c r="G15" s="18">
        <f t="shared" si="0"/>
        <v>7483.0999999999995</v>
      </c>
      <c r="H15" s="28" t="s">
        <v>91</v>
      </c>
      <c r="I15" s="7" t="s">
        <v>298</v>
      </c>
      <c r="J15" s="140" t="s">
        <v>420</v>
      </c>
      <c r="L15">
        <f>641.4+649.8+583.6+594</f>
        <v>2468.7999999999997</v>
      </c>
    </row>
    <row r="16" spans="1:12" ht="18" customHeight="1" x14ac:dyDescent="0.25">
      <c r="A16" s="14">
        <f t="shared" ref="A16:A77" si="1">+A15+1</f>
        <v>4</v>
      </c>
      <c r="B16" s="174">
        <v>45856</v>
      </c>
      <c r="C16" s="236" t="s">
        <v>273</v>
      </c>
      <c r="D16" s="237" t="s">
        <v>19</v>
      </c>
      <c r="E16" s="160"/>
      <c r="F16" s="17">
        <v>1679.7</v>
      </c>
      <c r="G16" s="18">
        <f t="shared" si="0"/>
        <v>5803.4</v>
      </c>
      <c r="H16" s="28" t="s">
        <v>91</v>
      </c>
      <c r="I16" s="7" t="s">
        <v>90</v>
      </c>
      <c r="J16" s="140"/>
    </row>
    <row r="17" spans="1:16" ht="18" customHeight="1" x14ac:dyDescent="0.25">
      <c r="A17" s="14">
        <f t="shared" si="1"/>
        <v>5</v>
      </c>
      <c r="B17" s="205">
        <v>45860</v>
      </c>
      <c r="C17" s="46" t="s">
        <v>273</v>
      </c>
      <c r="D17" s="214" t="s">
        <v>19</v>
      </c>
      <c r="E17" s="16"/>
      <c r="F17" s="17">
        <v>2483.8000000000002</v>
      </c>
      <c r="G17" s="18">
        <f t="shared" si="0"/>
        <v>3319.5999999999995</v>
      </c>
      <c r="H17" s="28" t="s">
        <v>91</v>
      </c>
      <c r="I17" s="7" t="s">
        <v>90</v>
      </c>
      <c r="J17" s="140"/>
    </row>
    <row r="18" spans="1:16" ht="18" customHeight="1" x14ac:dyDescent="0.25">
      <c r="A18" s="14">
        <f t="shared" si="1"/>
        <v>6</v>
      </c>
      <c r="B18" s="8">
        <v>45884</v>
      </c>
      <c r="C18" s="46" t="s">
        <v>273</v>
      </c>
      <c r="D18" s="214" t="s">
        <v>19</v>
      </c>
      <c r="E18" s="16"/>
      <c r="F18" s="27">
        <v>2503.6</v>
      </c>
      <c r="G18" s="18">
        <f t="shared" si="0"/>
        <v>815.99999999999955</v>
      </c>
      <c r="H18" s="28" t="s">
        <v>91</v>
      </c>
      <c r="I18" s="7"/>
      <c r="J18" s="7"/>
    </row>
    <row r="19" spans="1:16" ht="18" customHeight="1" x14ac:dyDescent="0.25">
      <c r="A19" s="14">
        <f t="shared" si="1"/>
        <v>7</v>
      </c>
      <c r="B19" s="8">
        <v>45890</v>
      </c>
      <c r="C19" s="46" t="s">
        <v>273</v>
      </c>
      <c r="D19" s="214" t="s">
        <v>19</v>
      </c>
      <c r="E19" s="16"/>
      <c r="F19" s="27">
        <v>816.3</v>
      </c>
      <c r="G19" s="18">
        <f t="shared" si="0"/>
        <v>-0.30000000000040927</v>
      </c>
      <c r="H19" s="28" t="s">
        <v>91</v>
      </c>
      <c r="I19" s="7"/>
      <c r="J19" s="140"/>
    </row>
    <row r="20" spans="1:16" ht="18" customHeight="1" x14ac:dyDescent="0.25">
      <c r="A20" s="14">
        <f t="shared" si="1"/>
        <v>8</v>
      </c>
      <c r="B20" s="8"/>
      <c r="C20" s="46" t="s">
        <v>273</v>
      </c>
      <c r="D20" s="214" t="s">
        <v>19</v>
      </c>
      <c r="E20" s="16"/>
      <c r="F20" s="27"/>
      <c r="G20" s="18">
        <f t="shared" si="0"/>
        <v>-0.30000000000040927</v>
      </c>
      <c r="H20" s="28" t="s">
        <v>91</v>
      </c>
      <c r="I20" s="7"/>
      <c r="J20" s="7"/>
    </row>
    <row r="21" spans="1:16" ht="18" customHeight="1" x14ac:dyDescent="0.25">
      <c r="A21" s="14">
        <f t="shared" si="1"/>
        <v>9</v>
      </c>
      <c r="B21" s="8"/>
      <c r="C21" s="46" t="s">
        <v>273</v>
      </c>
      <c r="D21" s="214" t="s">
        <v>19</v>
      </c>
      <c r="E21" s="30"/>
      <c r="F21" s="27"/>
      <c r="G21" s="18">
        <f t="shared" si="0"/>
        <v>-0.30000000000040927</v>
      </c>
      <c r="H21" s="28" t="s">
        <v>91</v>
      </c>
      <c r="I21" s="7"/>
      <c r="J21" s="7"/>
    </row>
    <row r="22" spans="1:16" s="230" customFormat="1" ht="18" customHeight="1" x14ac:dyDescent="0.25">
      <c r="A22" s="223">
        <f>+A21+1</f>
        <v>10</v>
      </c>
      <c r="B22" s="224"/>
      <c r="C22" s="46" t="s">
        <v>273</v>
      </c>
      <c r="D22" s="226" t="s">
        <v>19</v>
      </c>
      <c r="E22" s="227"/>
      <c r="F22" s="228"/>
      <c r="G22" s="18">
        <f t="shared" si="0"/>
        <v>-0.30000000000040927</v>
      </c>
      <c r="H22" s="28" t="s">
        <v>91</v>
      </c>
      <c r="I22" s="7"/>
      <c r="J22" s="348"/>
    </row>
    <row r="23" spans="1:16" s="230" customFormat="1" ht="18" customHeight="1" x14ac:dyDescent="0.25">
      <c r="A23" s="223">
        <f t="shared" si="1"/>
        <v>11</v>
      </c>
      <c r="B23" s="224"/>
      <c r="C23" s="46" t="s">
        <v>273</v>
      </c>
      <c r="D23" s="226" t="s">
        <v>19</v>
      </c>
      <c r="E23" s="231"/>
      <c r="F23" s="228"/>
      <c r="G23" s="18">
        <f t="shared" si="0"/>
        <v>-0.30000000000040927</v>
      </c>
      <c r="H23" s="28" t="s">
        <v>91</v>
      </c>
      <c r="I23" s="7"/>
      <c r="J23" s="348"/>
    </row>
    <row r="24" spans="1:16" ht="18" customHeight="1" x14ac:dyDescent="0.25">
      <c r="A24" s="14">
        <f t="shared" si="1"/>
        <v>12</v>
      </c>
      <c r="B24" s="8"/>
      <c r="C24" s="46" t="s">
        <v>273</v>
      </c>
      <c r="D24" s="214" t="s">
        <v>19</v>
      </c>
      <c r="E24" s="32"/>
      <c r="F24" s="17"/>
      <c r="G24" s="18">
        <f t="shared" si="0"/>
        <v>-0.30000000000040927</v>
      </c>
      <c r="H24" s="28" t="s">
        <v>91</v>
      </c>
      <c r="I24" s="7"/>
      <c r="J24" s="7"/>
      <c r="K24">
        <f>2711-2484</f>
        <v>227</v>
      </c>
      <c r="N24">
        <f>98*29</f>
        <v>2842</v>
      </c>
      <c r="P24">
        <f>655.4+618+648+651.2+620+645+649+674+641+652+617+635+623+619</f>
        <v>8947.6</v>
      </c>
    </row>
    <row r="25" spans="1:16" ht="18" customHeight="1" x14ac:dyDescent="0.25">
      <c r="A25" s="14">
        <f t="shared" si="1"/>
        <v>13</v>
      </c>
      <c r="B25" s="8"/>
      <c r="C25" s="46" t="s">
        <v>273</v>
      </c>
      <c r="D25" s="214" t="s">
        <v>19</v>
      </c>
      <c r="E25" s="32"/>
      <c r="F25" s="27"/>
      <c r="G25" s="18">
        <f t="shared" si="0"/>
        <v>-0.30000000000040927</v>
      </c>
      <c r="H25" s="28" t="s">
        <v>91</v>
      </c>
      <c r="I25" s="7"/>
      <c r="J25" s="7"/>
    </row>
    <row r="26" spans="1:16" ht="18" customHeight="1" x14ac:dyDescent="0.25">
      <c r="A26" s="14">
        <f t="shared" si="1"/>
        <v>14</v>
      </c>
      <c r="B26" s="232"/>
      <c r="C26" s="46" t="s">
        <v>273</v>
      </c>
      <c r="D26" s="234" t="s">
        <v>19</v>
      </c>
      <c r="E26" s="235"/>
      <c r="F26" s="172"/>
      <c r="G26" s="18">
        <f t="shared" si="0"/>
        <v>-0.30000000000040927</v>
      </c>
      <c r="H26" s="28" t="s">
        <v>129</v>
      </c>
      <c r="I26" s="7"/>
      <c r="J26" s="7"/>
      <c r="K26">
        <f>2672+2711</f>
        <v>5383</v>
      </c>
    </row>
    <row r="27" spans="1:16" ht="18" customHeight="1" x14ac:dyDescent="0.25">
      <c r="A27" s="14">
        <f t="shared" si="1"/>
        <v>15</v>
      </c>
      <c r="B27" s="8"/>
      <c r="C27" s="46" t="s">
        <v>273</v>
      </c>
      <c r="D27" s="214" t="s">
        <v>19</v>
      </c>
      <c r="E27" s="32"/>
      <c r="F27" s="17"/>
      <c r="G27" s="18">
        <f t="shared" si="0"/>
        <v>-0.30000000000040927</v>
      </c>
      <c r="H27" s="28" t="s">
        <v>129</v>
      </c>
      <c r="I27" s="7"/>
      <c r="J27" s="7"/>
    </row>
    <row r="28" spans="1:16" ht="18" customHeight="1" x14ac:dyDescent="0.25">
      <c r="A28" s="14">
        <f t="shared" si="1"/>
        <v>16</v>
      </c>
      <c r="B28" s="8"/>
      <c r="C28" s="46" t="s">
        <v>273</v>
      </c>
      <c r="D28" s="214" t="s">
        <v>19</v>
      </c>
      <c r="E28" s="32"/>
      <c r="F28" s="17"/>
      <c r="G28" s="18">
        <f t="shared" si="0"/>
        <v>-0.30000000000040927</v>
      </c>
      <c r="H28" s="28" t="s">
        <v>91</v>
      </c>
      <c r="I28" s="7"/>
      <c r="J28" s="7"/>
    </row>
    <row r="29" spans="1:16" ht="18" customHeight="1" x14ac:dyDescent="0.25">
      <c r="A29" s="14">
        <f t="shared" si="1"/>
        <v>17</v>
      </c>
      <c r="B29" s="8"/>
      <c r="C29" s="46" t="s">
        <v>273</v>
      </c>
      <c r="D29" s="214" t="s">
        <v>19</v>
      </c>
      <c r="E29" s="32"/>
      <c r="F29" s="17"/>
      <c r="G29" s="18">
        <f t="shared" si="0"/>
        <v>-0.30000000000040927</v>
      </c>
      <c r="H29" s="28" t="s">
        <v>91</v>
      </c>
      <c r="I29" s="7"/>
      <c r="J29" s="7"/>
    </row>
    <row r="30" spans="1:16" ht="18" customHeight="1" x14ac:dyDescent="0.25">
      <c r="A30" s="14">
        <f t="shared" si="1"/>
        <v>18</v>
      </c>
      <c r="B30" s="8"/>
      <c r="C30" s="46" t="s">
        <v>273</v>
      </c>
      <c r="D30" s="214" t="s">
        <v>19</v>
      </c>
      <c r="E30" s="32"/>
      <c r="F30" s="17"/>
      <c r="G30" s="18">
        <f t="shared" si="0"/>
        <v>-0.30000000000040927</v>
      </c>
      <c r="H30" s="28" t="s">
        <v>91</v>
      </c>
      <c r="I30" s="7"/>
      <c r="J30" s="7"/>
    </row>
    <row r="31" spans="1:16" ht="18" customHeight="1" x14ac:dyDescent="0.25">
      <c r="A31" s="14">
        <f>+A30+1</f>
        <v>19</v>
      </c>
      <c r="B31" s="8"/>
      <c r="C31" s="46" t="s">
        <v>273</v>
      </c>
      <c r="D31" s="214" t="s">
        <v>19</v>
      </c>
      <c r="E31" s="32"/>
      <c r="F31" s="125"/>
      <c r="G31" s="18">
        <f t="shared" si="0"/>
        <v>-0.30000000000040927</v>
      </c>
      <c r="H31" s="28" t="s">
        <v>91</v>
      </c>
      <c r="I31" s="7"/>
      <c r="J31" s="7"/>
    </row>
    <row r="32" spans="1:16" ht="18" customHeight="1" x14ac:dyDescent="0.25">
      <c r="A32" s="14">
        <f t="shared" si="1"/>
        <v>20</v>
      </c>
      <c r="B32" s="8"/>
      <c r="C32" s="46" t="s">
        <v>273</v>
      </c>
      <c r="D32" s="214" t="s">
        <v>19</v>
      </c>
      <c r="E32" s="129"/>
      <c r="F32" s="17"/>
      <c r="G32" s="18">
        <f t="shared" si="0"/>
        <v>-0.30000000000040927</v>
      </c>
      <c r="H32" s="28" t="s">
        <v>91</v>
      </c>
      <c r="I32" s="7"/>
      <c r="J32" s="7"/>
    </row>
    <row r="33" spans="1:16" ht="18" customHeight="1" x14ac:dyDescent="0.25">
      <c r="A33" s="14">
        <f t="shared" si="1"/>
        <v>21</v>
      </c>
      <c r="B33" s="8"/>
      <c r="C33" s="46" t="s">
        <v>273</v>
      </c>
      <c r="D33" s="214" t="s">
        <v>19</v>
      </c>
      <c r="E33" s="32"/>
      <c r="F33" s="172"/>
      <c r="G33" s="18">
        <f t="shared" si="0"/>
        <v>-0.30000000000040927</v>
      </c>
      <c r="H33" s="28" t="s">
        <v>91</v>
      </c>
      <c r="I33" s="7"/>
      <c r="J33" s="7"/>
    </row>
    <row r="34" spans="1:16" ht="18" customHeight="1" x14ac:dyDescent="0.25">
      <c r="A34" s="14">
        <f t="shared" si="1"/>
        <v>22</v>
      </c>
      <c r="B34" s="8"/>
      <c r="C34" s="46" t="s">
        <v>273</v>
      </c>
      <c r="D34" s="214" t="s">
        <v>19</v>
      </c>
      <c r="E34" s="32"/>
      <c r="F34" s="125"/>
      <c r="G34" s="18">
        <f t="shared" si="0"/>
        <v>-0.30000000000040927</v>
      </c>
      <c r="H34" s="28" t="s">
        <v>91</v>
      </c>
      <c r="I34" s="7"/>
      <c r="J34" s="7"/>
    </row>
    <row r="35" spans="1:16" ht="18" customHeight="1" x14ac:dyDescent="0.25">
      <c r="A35" s="14">
        <f t="shared" si="1"/>
        <v>23</v>
      </c>
      <c r="B35" s="8"/>
      <c r="C35" s="46" t="s">
        <v>273</v>
      </c>
      <c r="D35" s="214" t="s">
        <v>19</v>
      </c>
      <c r="E35" s="32"/>
      <c r="F35" s="152"/>
      <c r="G35" s="18">
        <f t="shared" si="0"/>
        <v>-0.30000000000040927</v>
      </c>
      <c r="H35" s="28" t="s">
        <v>91</v>
      </c>
      <c r="I35" s="7"/>
      <c r="J35" s="7"/>
    </row>
    <row r="36" spans="1:16" ht="17.25" customHeight="1" x14ac:dyDescent="0.25">
      <c r="A36" s="14">
        <f t="shared" si="1"/>
        <v>24</v>
      </c>
      <c r="B36" s="8"/>
      <c r="C36" s="46" t="s">
        <v>273</v>
      </c>
      <c r="D36" s="214" t="s">
        <v>19</v>
      </c>
      <c r="E36" s="13"/>
      <c r="F36" s="17"/>
      <c r="G36" s="18">
        <f t="shared" si="0"/>
        <v>-0.30000000000040927</v>
      </c>
      <c r="H36" s="28" t="s">
        <v>91</v>
      </c>
      <c r="I36" s="7"/>
      <c r="J36" s="7"/>
    </row>
    <row r="37" spans="1:16" ht="17.25" customHeight="1" x14ac:dyDescent="0.25">
      <c r="A37" s="14">
        <f t="shared" si="1"/>
        <v>25</v>
      </c>
      <c r="B37" s="44"/>
      <c r="C37" s="46" t="s">
        <v>273</v>
      </c>
      <c r="D37" s="214" t="s">
        <v>19</v>
      </c>
      <c r="E37" s="13"/>
      <c r="F37" s="17"/>
      <c r="G37" s="18">
        <f t="shared" si="0"/>
        <v>-0.30000000000040927</v>
      </c>
      <c r="H37" s="178"/>
      <c r="I37" s="7"/>
      <c r="J37" s="7"/>
    </row>
    <row r="38" spans="1:16" ht="18" customHeight="1" x14ac:dyDescent="0.25">
      <c r="A38" s="14">
        <f t="shared" si="1"/>
        <v>26</v>
      </c>
      <c r="B38" s="8"/>
      <c r="C38" s="46" t="s">
        <v>273</v>
      </c>
      <c r="D38" s="214" t="s">
        <v>19</v>
      </c>
      <c r="E38" s="32"/>
      <c r="F38" s="40"/>
      <c r="G38" s="18">
        <f t="shared" si="0"/>
        <v>-0.30000000000040927</v>
      </c>
      <c r="H38" s="178"/>
      <c r="I38" s="7"/>
      <c r="J38" s="7"/>
    </row>
    <row r="39" spans="1:16" ht="18" customHeight="1" x14ac:dyDescent="0.25">
      <c r="A39" s="14">
        <f t="shared" si="1"/>
        <v>27</v>
      </c>
      <c r="B39" s="45"/>
      <c r="C39" s="46" t="s">
        <v>273</v>
      </c>
      <c r="D39" s="214" t="s">
        <v>19</v>
      </c>
      <c r="E39" s="32"/>
      <c r="F39" s="40"/>
      <c r="G39" s="18">
        <f t="shared" si="0"/>
        <v>-0.30000000000040927</v>
      </c>
      <c r="H39" s="178"/>
      <c r="I39" s="7"/>
      <c r="J39" s="7"/>
    </row>
    <row r="40" spans="1:16" ht="18" customHeight="1" x14ac:dyDescent="0.25">
      <c r="A40" s="14">
        <f t="shared" si="1"/>
        <v>28</v>
      </c>
      <c r="B40" s="8"/>
      <c r="C40" s="46" t="s">
        <v>273</v>
      </c>
      <c r="D40" s="214" t="s">
        <v>19</v>
      </c>
      <c r="E40" s="32"/>
      <c r="F40" s="40"/>
      <c r="G40" s="18">
        <f t="shared" si="0"/>
        <v>-0.30000000000040927</v>
      </c>
      <c r="H40" s="178"/>
      <c r="I40" s="7"/>
      <c r="J40" s="7"/>
    </row>
    <row r="41" spans="1:16" ht="18" customHeight="1" x14ac:dyDescent="0.25">
      <c r="A41" s="14">
        <f t="shared" si="1"/>
        <v>29</v>
      </c>
      <c r="B41" s="8"/>
      <c r="C41" s="46" t="s">
        <v>273</v>
      </c>
      <c r="D41" s="214" t="s">
        <v>19</v>
      </c>
      <c r="E41" s="32"/>
      <c r="F41" s="17"/>
      <c r="G41" s="18">
        <f t="shared" si="0"/>
        <v>-0.30000000000040927</v>
      </c>
      <c r="H41" s="178"/>
      <c r="I41" s="7"/>
      <c r="J41" s="7"/>
    </row>
    <row r="42" spans="1:16" ht="18" customHeight="1" x14ac:dyDescent="0.25">
      <c r="A42" s="14">
        <f t="shared" si="1"/>
        <v>30</v>
      </c>
      <c r="B42" s="8"/>
      <c r="C42" s="46" t="s">
        <v>273</v>
      </c>
      <c r="D42" s="214" t="s">
        <v>19</v>
      </c>
      <c r="E42" s="32"/>
      <c r="F42" s="17"/>
      <c r="G42" s="18">
        <f t="shared" si="0"/>
        <v>-0.30000000000040927</v>
      </c>
      <c r="H42" s="178"/>
      <c r="I42" s="7"/>
      <c r="J42" s="7"/>
    </row>
    <row r="43" spans="1:16" ht="18" customHeight="1" x14ac:dyDescent="0.25">
      <c r="A43" s="14">
        <f t="shared" si="1"/>
        <v>31</v>
      </c>
      <c r="B43" s="8"/>
      <c r="C43" s="46" t="s">
        <v>273</v>
      </c>
      <c r="D43" s="214" t="s">
        <v>19</v>
      </c>
      <c r="E43" s="32"/>
      <c r="F43" s="17"/>
      <c r="G43" s="18">
        <f t="shared" si="0"/>
        <v>-0.30000000000040927</v>
      </c>
      <c r="H43" s="178"/>
      <c r="I43" s="7"/>
      <c r="J43" s="7"/>
    </row>
    <row r="44" spans="1:16" ht="18" customHeight="1" x14ac:dyDescent="0.25">
      <c r="A44" s="14">
        <f t="shared" si="1"/>
        <v>32</v>
      </c>
      <c r="B44" s="8"/>
      <c r="C44" s="46" t="s">
        <v>273</v>
      </c>
      <c r="D44" s="214" t="s">
        <v>19</v>
      </c>
      <c r="E44" s="32"/>
      <c r="F44" s="17"/>
      <c r="G44" s="18">
        <f t="shared" si="0"/>
        <v>-0.30000000000040927</v>
      </c>
      <c r="H44" s="178"/>
      <c r="I44" s="7"/>
      <c r="J44" s="7"/>
    </row>
    <row r="45" spans="1:16" ht="18" customHeight="1" x14ac:dyDescent="0.25">
      <c r="A45" s="14">
        <f t="shared" si="1"/>
        <v>33</v>
      </c>
      <c r="B45" s="8"/>
      <c r="C45" s="46" t="s">
        <v>273</v>
      </c>
      <c r="D45" s="214" t="s">
        <v>19</v>
      </c>
      <c r="E45" s="32"/>
      <c r="F45" s="172"/>
      <c r="G45" s="18">
        <f t="shared" si="0"/>
        <v>-0.30000000000040927</v>
      </c>
      <c r="H45" s="178"/>
      <c r="I45" s="7"/>
      <c r="J45" s="7"/>
      <c r="P45" s="162"/>
    </row>
    <row r="46" spans="1:16" ht="18" customHeight="1" x14ac:dyDescent="0.25">
      <c r="A46" s="14">
        <f t="shared" si="1"/>
        <v>34</v>
      </c>
      <c r="B46" s="8"/>
      <c r="C46" s="46" t="s">
        <v>273</v>
      </c>
      <c r="D46" s="214" t="s">
        <v>19</v>
      </c>
      <c r="E46" s="32"/>
      <c r="F46" s="17"/>
      <c r="G46" s="18">
        <f t="shared" si="0"/>
        <v>-0.30000000000040927</v>
      </c>
      <c r="H46" s="178"/>
      <c r="I46" s="7"/>
      <c r="J46" s="7"/>
    </row>
    <row r="47" spans="1:16" ht="18" customHeight="1" x14ac:dyDescent="0.25">
      <c r="A47" s="14">
        <f t="shared" si="1"/>
        <v>35</v>
      </c>
      <c r="B47" s="8"/>
      <c r="C47" s="46" t="s">
        <v>273</v>
      </c>
      <c r="D47" s="214" t="s">
        <v>19</v>
      </c>
      <c r="E47" s="32"/>
      <c r="F47" s="17"/>
      <c r="G47" s="18">
        <f t="shared" si="0"/>
        <v>-0.30000000000040927</v>
      </c>
      <c r="H47" s="178"/>
      <c r="I47" s="7"/>
      <c r="J47" s="7"/>
    </row>
    <row r="48" spans="1:16" ht="18" customHeight="1" x14ac:dyDescent="0.25">
      <c r="A48" s="14">
        <f t="shared" si="1"/>
        <v>36</v>
      </c>
      <c r="B48" s="8"/>
      <c r="C48" s="46" t="s">
        <v>273</v>
      </c>
      <c r="D48" s="214" t="s">
        <v>19</v>
      </c>
      <c r="E48" s="32"/>
      <c r="F48" s="17"/>
      <c r="G48" s="18">
        <f t="shared" si="0"/>
        <v>-0.30000000000040927</v>
      </c>
      <c r="H48" s="178"/>
      <c r="I48" s="7"/>
      <c r="J48" s="7"/>
    </row>
    <row r="49" spans="1:16" ht="18" customHeight="1" x14ac:dyDescent="0.25">
      <c r="A49" s="14">
        <f t="shared" si="1"/>
        <v>37</v>
      </c>
      <c r="B49" s="8"/>
      <c r="C49" s="46" t="s">
        <v>273</v>
      </c>
      <c r="D49" s="214" t="s">
        <v>19</v>
      </c>
      <c r="E49" s="32"/>
      <c r="F49" s="17"/>
      <c r="G49" s="18">
        <f t="shared" si="0"/>
        <v>-0.30000000000040927</v>
      </c>
      <c r="H49" s="178"/>
      <c r="I49" s="29"/>
      <c r="J49" s="7"/>
    </row>
    <row r="50" spans="1:16" ht="18" customHeight="1" x14ac:dyDescent="0.25">
      <c r="A50" s="14">
        <f t="shared" si="1"/>
        <v>38</v>
      </c>
      <c r="B50" s="8"/>
      <c r="C50" s="46" t="s">
        <v>273</v>
      </c>
      <c r="D50" s="214" t="s">
        <v>19</v>
      </c>
      <c r="E50" s="32"/>
      <c r="F50" s="17"/>
      <c r="G50" s="18">
        <f t="shared" si="0"/>
        <v>-0.30000000000040927</v>
      </c>
      <c r="H50" s="178"/>
      <c r="I50" s="29"/>
      <c r="J50" s="7"/>
    </row>
    <row r="51" spans="1:16" ht="18" customHeight="1" x14ac:dyDescent="0.25">
      <c r="A51" s="14">
        <f t="shared" si="1"/>
        <v>39</v>
      </c>
      <c r="B51" s="8"/>
      <c r="C51" s="46" t="s">
        <v>273</v>
      </c>
      <c r="D51" s="214" t="s">
        <v>19</v>
      </c>
      <c r="E51" s="32"/>
      <c r="F51" s="17"/>
      <c r="G51" s="18">
        <f t="shared" si="0"/>
        <v>-0.30000000000040927</v>
      </c>
      <c r="H51" s="178"/>
      <c r="I51" s="29"/>
      <c r="J51" s="7"/>
    </row>
    <row r="52" spans="1:16" ht="18" customHeight="1" x14ac:dyDescent="0.25">
      <c r="A52" s="14">
        <f t="shared" si="1"/>
        <v>40</v>
      </c>
      <c r="B52" s="8"/>
      <c r="C52" s="46" t="s">
        <v>273</v>
      </c>
      <c r="D52" s="214" t="s">
        <v>19</v>
      </c>
      <c r="E52" s="32"/>
      <c r="F52" s="17"/>
      <c r="G52" s="18">
        <f t="shared" si="0"/>
        <v>-0.30000000000040927</v>
      </c>
      <c r="H52" s="178"/>
      <c r="I52" s="29"/>
      <c r="J52" s="7"/>
    </row>
    <row r="53" spans="1:16" ht="18" customHeight="1" x14ac:dyDescent="0.25">
      <c r="A53" s="14">
        <f t="shared" si="1"/>
        <v>41</v>
      </c>
      <c r="B53" s="8"/>
      <c r="C53" s="46" t="s">
        <v>273</v>
      </c>
      <c r="D53" s="214" t="s">
        <v>19</v>
      </c>
      <c r="E53" s="32"/>
      <c r="F53" s="17"/>
      <c r="G53" s="18">
        <f t="shared" si="0"/>
        <v>-0.30000000000040927</v>
      </c>
      <c r="H53" s="178"/>
      <c r="I53" s="7"/>
      <c r="J53" s="7"/>
    </row>
    <row r="54" spans="1:16" s="162" customFormat="1" ht="18" customHeight="1" x14ac:dyDescent="0.25">
      <c r="A54" s="158">
        <f t="shared" si="1"/>
        <v>42</v>
      </c>
      <c r="B54" s="174"/>
      <c r="C54" s="46" t="s">
        <v>273</v>
      </c>
      <c r="D54" s="237" t="s">
        <v>19</v>
      </c>
      <c r="E54" s="175"/>
      <c r="F54" s="172"/>
      <c r="G54" s="18">
        <f t="shared" si="0"/>
        <v>-0.30000000000040927</v>
      </c>
      <c r="H54" s="178"/>
      <c r="I54" s="7"/>
      <c r="J54" s="271"/>
      <c r="P54"/>
    </row>
    <row r="55" spans="1:16" ht="18" customHeight="1" x14ac:dyDescent="0.25">
      <c r="A55" s="14">
        <f t="shared" si="1"/>
        <v>43</v>
      </c>
      <c r="B55" s="8"/>
      <c r="C55" s="46" t="s">
        <v>273</v>
      </c>
      <c r="D55" s="214" t="s">
        <v>19</v>
      </c>
      <c r="E55" s="32"/>
      <c r="F55" s="17"/>
      <c r="G55" s="18">
        <f t="shared" si="0"/>
        <v>-0.30000000000040927</v>
      </c>
      <c r="H55" s="239"/>
      <c r="I55" s="7"/>
      <c r="J55" s="7"/>
    </row>
    <row r="56" spans="1:16" ht="18" customHeight="1" x14ac:dyDescent="0.25">
      <c r="A56" s="14">
        <f t="shared" si="1"/>
        <v>44</v>
      </c>
      <c r="B56" s="8"/>
      <c r="C56" s="46" t="s">
        <v>273</v>
      </c>
      <c r="D56" s="214" t="s">
        <v>19</v>
      </c>
      <c r="E56" s="32"/>
      <c r="F56" s="17"/>
      <c r="G56" s="18">
        <f t="shared" si="0"/>
        <v>-0.30000000000040927</v>
      </c>
      <c r="H56" s="239"/>
      <c r="I56" s="7"/>
      <c r="J56" s="7"/>
    </row>
    <row r="57" spans="1:16" ht="18" customHeight="1" x14ac:dyDescent="0.25">
      <c r="A57" s="14">
        <f t="shared" si="1"/>
        <v>45</v>
      </c>
      <c r="B57" s="8"/>
      <c r="C57" s="46" t="s">
        <v>273</v>
      </c>
      <c r="D57" s="214" t="s">
        <v>19</v>
      </c>
      <c r="E57" s="32"/>
      <c r="F57" s="17"/>
      <c r="G57" s="18">
        <f t="shared" si="0"/>
        <v>-0.30000000000040927</v>
      </c>
      <c r="H57" s="239"/>
      <c r="I57" s="7"/>
      <c r="J57" s="7"/>
    </row>
    <row r="58" spans="1:16" ht="18" customHeight="1" x14ac:dyDescent="0.25">
      <c r="A58" s="14">
        <f t="shared" si="1"/>
        <v>46</v>
      </c>
      <c r="B58" s="8"/>
      <c r="C58" s="46" t="s">
        <v>273</v>
      </c>
      <c r="D58" s="214" t="s">
        <v>19</v>
      </c>
      <c r="E58" s="32"/>
      <c r="F58" s="17"/>
      <c r="G58" s="18">
        <f t="shared" si="0"/>
        <v>-0.30000000000040927</v>
      </c>
      <c r="H58" s="28"/>
      <c r="I58" s="7"/>
      <c r="J58" s="7"/>
    </row>
    <row r="59" spans="1:16" ht="18" customHeight="1" x14ac:dyDescent="0.25">
      <c r="A59" s="14">
        <f t="shared" si="1"/>
        <v>47</v>
      </c>
      <c r="B59" s="8"/>
      <c r="C59" s="46" t="s">
        <v>273</v>
      </c>
      <c r="D59" s="214" t="s">
        <v>19</v>
      </c>
      <c r="E59" s="32"/>
      <c r="F59" s="17"/>
      <c r="G59" s="18">
        <f t="shared" si="0"/>
        <v>-0.30000000000040927</v>
      </c>
      <c r="H59" s="240"/>
      <c r="I59" s="7"/>
      <c r="J59" s="7"/>
    </row>
    <row r="60" spans="1:16" ht="18" customHeight="1" x14ac:dyDescent="0.25">
      <c r="A60" s="14">
        <f t="shared" si="1"/>
        <v>48</v>
      </c>
      <c r="B60" s="8"/>
      <c r="C60" s="46" t="s">
        <v>273</v>
      </c>
      <c r="D60" s="214" t="s">
        <v>19</v>
      </c>
      <c r="E60" s="32"/>
      <c r="F60" s="17"/>
      <c r="G60" s="18">
        <f t="shared" si="0"/>
        <v>-0.30000000000040927</v>
      </c>
      <c r="H60" s="240"/>
      <c r="I60" s="7"/>
      <c r="J60" s="7"/>
    </row>
    <row r="61" spans="1:16" ht="18" customHeight="1" x14ac:dyDescent="0.25">
      <c r="A61" s="14">
        <f t="shared" si="1"/>
        <v>49</v>
      </c>
      <c r="B61" s="8"/>
      <c r="C61" s="46" t="s">
        <v>273</v>
      </c>
      <c r="D61" s="214" t="s">
        <v>19</v>
      </c>
      <c r="E61" s="32"/>
      <c r="F61" s="17"/>
      <c r="G61" s="18">
        <f t="shared" si="0"/>
        <v>-0.30000000000040927</v>
      </c>
      <c r="H61" s="240"/>
      <c r="I61" s="7"/>
      <c r="J61" s="7"/>
    </row>
    <row r="62" spans="1:16" ht="18" customHeight="1" x14ac:dyDescent="0.25">
      <c r="A62" s="14">
        <f t="shared" si="1"/>
        <v>50</v>
      </c>
      <c r="B62" s="8"/>
      <c r="C62" s="46" t="s">
        <v>273</v>
      </c>
      <c r="D62" s="214" t="s">
        <v>19</v>
      </c>
      <c r="E62" s="32"/>
      <c r="F62" s="17"/>
      <c r="G62" s="18">
        <f t="shared" si="0"/>
        <v>-0.30000000000040927</v>
      </c>
      <c r="H62" s="240"/>
      <c r="I62" s="7"/>
      <c r="J62" s="7"/>
    </row>
    <row r="63" spans="1:16" ht="18" customHeight="1" x14ac:dyDescent="0.25">
      <c r="A63" s="14">
        <f t="shared" si="1"/>
        <v>51</v>
      </c>
      <c r="B63" s="8"/>
      <c r="C63" s="46" t="s">
        <v>273</v>
      </c>
      <c r="D63" s="214" t="s">
        <v>19</v>
      </c>
      <c r="E63" s="32"/>
      <c r="F63" s="17"/>
      <c r="G63" s="18">
        <f t="shared" si="0"/>
        <v>-0.30000000000040927</v>
      </c>
      <c r="H63" s="240"/>
      <c r="I63" s="7"/>
      <c r="J63" s="7"/>
    </row>
    <row r="64" spans="1:16" ht="18" customHeight="1" x14ac:dyDescent="0.25">
      <c r="A64" s="14">
        <f t="shared" si="1"/>
        <v>52</v>
      </c>
      <c r="B64" s="8"/>
      <c r="C64" s="46" t="s">
        <v>273</v>
      </c>
      <c r="D64" s="214" t="s">
        <v>19</v>
      </c>
      <c r="E64" s="32"/>
      <c r="F64" s="17"/>
      <c r="G64" s="18">
        <f t="shared" si="0"/>
        <v>-0.30000000000040927</v>
      </c>
      <c r="H64" s="240"/>
      <c r="I64" s="7"/>
      <c r="J64" s="7"/>
    </row>
    <row r="65" spans="1:10" ht="18" customHeight="1" x14ac:dyDescent="0.25">
      <c r="A65" s="14">
        <f t="shared" si="1"/>
        <v>53</v>
      </c>
      <c r="B65" s="8"/>
      <c r="C65" s="46" t="s">
        <v>273</v>
      </c>
      <c r="D65" s="214" t="s">
        <v>19</v>
      </c>
      <c r="E65" s="32"/>
      <c r="F65" s="17"/>
      <c r="G65" s="18">
        <f t="shared" si="0"/>
        <v>-0.30000000000040927</v>
      </c>
      <c r="H65" s="240"/>
      <c r="I65" s="7"/>
      <c r="J65" s="7"/>
    </row>
    <row r="66" spans="1:10" ht="18" customHeight="1" x14ac:dyDescent="0.25">
      <c r="A66" s="14">
        <f t="shared" si="1"/>
        <v>54</v>
      </c>
      <c r="B66" s="8"/>
      <c r="C66" s="46" t="s">
        <v>273</v>
      </c>
      <c r="D66" s="214" t="s">
        <v>19</v>
      </c>
      <c r="E66" s="32"/>
      <c r="F66" s="17"/>
      <c r="G66" s="18">
        <f t="shared" si="0"/>
        <v>-0.30000000000040927</v>
      </c>
      <c r="H66" s="240"/>
      <c r="I66" s="7"/>
      <c r="J66" s="7"/>
    </row>
    <row r="67" spans="1:10" ht="18" customHeight="1" x14ac:dyDescent="0.25">
      <c r="A67" s="14">
        <f t="shared" si="1"/>
        <v>55</v>
      </c>
      <c r="B67" s="8"/>
      <c r="C67" s="46" t="s">
        <v>273</v>
      </c>
      <c r="D67" s="214" t="s">
        <v>19</v>
      </c>
      <c r="E67" s="32"/>
      <c r="F67" s="17"/>
      <c r="G67" s="18">
        <f t="shared" si="0"/>
        <v>-0.30000000000040927</v>
      </c>
      <c r="H67" s="240"/>
      <c r="I67" s="7"/>
      <c r="J67" s="7"/>
    </row>
    <row r="68" spans="1:10" ht="18" customHeight="1" x14ac:dyDescent="0.25">
      <c r="A68" s="14">
        <f t="shared" si="1"/>
        <v>56</v>
      </c>
      <c r="B68" s="8"/>
      <c r="C68" s="46" t="s">
        <v>273</v>
      </c>
      <c r="D68" s="214" t="s">
        <v>19</v>
      </c>
      <c r="E68" s="32"/>
      <c r="F68" s="17"/>
      <c r="G68" s="18">
        <f t="shared" si="0"/>
        <v>-0.30000000000040927</v>
      </c>
      <c r="H68" s="240"/>
      <c r="I68" s="7"/>
      <c r="J68" s="7"/>
    </row>
    <row r="69" spans="1:10" ht="18" customHeight="1" x14ac:dyDescent="0.25">
      <c r="A69" s="14">
        <f t="shared" si="1"/>
        <v>57</v>
      </c>
      <c r="B69" s="8"/>
      <c r="C69" s="46" t="s">
        <v>273</v>
      </c>
      <c r="D69" s="214" t="s">
        <v>19</v>
      </c>
      <c r="E69" s="32"/>
      <c r="F69" s="17"/>
      <c r="G69" s="18">
        <f t="shared" si="0"/>
        <v>-0.30000000000040927</v>
      </c>
      <c r="H69" s="240"/>
      <c r="I69" s="7"/>
      <c r="J69" s="140"/>
    </row>
    <row r="70" spans="1:10" ht="18" customHeight="1" x14ac:dyDescent="0.25">
      <c r="A70" s="14">
        <f t="shared" si="1"/>
        <v>58</v>
      </c>
      <c r="B70" s="8"/>
      <c r="C70" s="46" t="s">
        <v>273</v>
      </c>
      <c r="D70" s="214" t="s">
        <v>19</v>
      </c>
      <c r="E70" s="32"/>
      <c r="F70" s="17"/>
      <c r="G70" s="18">
        <f t="shared" si="0"/>
        <v>-0.30000000000040927</v>
      </c>
      <c r="H70" s="240"/>
      <c r="I70" s="7"/>
      <c r="J70" s="7"/>
    </row>
    <row r="71" spans="1:10" ht="18" customHeight="1" x14ac:dyDescent="0.25">
      <c r="A71" s="14">
        <f t="shared" si="1"/>
        <v>59</v>
      </c>
      <c r="B71" s="8"/>
      <c r="C71" s="46" t="s">
        <v>273</v>
      </c>
      <c r="D71" s="214" t="s">
        <v>19</v>
      </c>
      <c r="E71" s="32"/>
      <c r="F71" s="17"/>
      <c r="G71" s="18">
        <f t="shared" si="0"/>
        <v>-0.30000000000040927</v>
      </c>
      <c r="H71" s="240"/>
      <c r="I71" s="7"/>
      <c r="J71" s="7"/>
    </row>
    <row r="72" spans="1:10" ht="18" customHeight="1" x14ac:dyDescent="0.25">
      <c r="A72" s="14">
        <f t="shared" si="1"/>
        <v>60</v>
      </c>
      <c r="B72" s="8"/>
      <c r="C72" s="46" t="s">
        <v>273</v>
      </c>
      <c r="D72" s="214" t="s">
        <v>19</v>
      </c>
      <c r="E72" s="32"/>
      <c r="F72" s="17"/>
      <c r="G72" s="18">
        <f t="shared" si="0"/>
        <v>-0.30000000000040927</v>
      </c>
      <c r="H72" s="240"/>
      <c r="I72" s="7"/>
      <c r="J72" s="7"/>
    </row>
    <row r="73" spans="1:10" ht="18" customHeight="1" x14ac:dyDescent="0.25">
      <c r="A73" s="14">
        <f t="shared" si="1"/>
        <v>61</v>
      </c>
      <c r="B73" s="8"/>
      <c r="C73" s="46" t="s">
        <v>273</v>
      </c>
      <c r="D73" s="214" t="s">
        <v>19</v>
      </c>
      <c r="E73" s="32"/>
      <c r="F73" s="17"/>
      <c r="G73" s="18">
        <f t="shared" si="0"/>
        <v>-0.30000000000040927</v>
      </c>
      <c r="H73" s="240"/>
      <c r="I73" s="7"/>
      <c r="J73" s="7"/>
    </row>
    <row r="74" spans="1:10" ht="18" customHeight="1" x14ac:dyDescent="0.25">
      <c r="A74" s="14">
        <f t="shared" si="1"/>
        <v>62</v>
      </c>
      <c r="B74" s="8"/>
      <c r="C74" s="46" t="s">
        <v>273</v>
      </c>
      <c r="D74" s="214" t="s">
        <v>19</v>
      </c>
      <c r="E74" s="32"/>
      <c r="F74" s="17"/>
      <c r="G74" s="18">
        <f t="shared" si="0"/>
        <v>-0.30000000000040927</v>
      </c>
      <c r="H74" s="240"/>
      <c r="I74" s="7"/>
      <c r="J74" s="7"/>
    </row>
    <row r="75" spans="1:10" ht="18" customHeight="1" x14ac:dyDescent="0.25">
      <c r="A75" s="14">
        <f t="shared" si="1"/>
        <v>63</v>
      </c>
      <c r="B75" s="8"/>
      <c r="C75" s="46" t="s">
        <v>273</v>
      </c>
      <c r="D75" s="214" t="s">
        <v>19</v>
      </c>
      <c r="E75" s="32"/>
      <c r="F75" s="17"/>
      <c r="G75" s="18">
        <f t="shared" si="0"/>
        <v>-0.30000000000040927</v>
      </c>
      <c r="H75" s="240"/>
      <c r="I75" s="7"/>
      <c r="J75" s="7"/>
    </row>
    <row r="76" spans="1:10" ht="18" customHeight="1" x14ac:dyDescent="0.25">
      <c r="A76" s="14">
        <f>+A75+1</f>
        <v>64</v>
      </c>
      <c r="B76" s="8"/>
      <c r="C76" s="46" t="s">
        <v>273</v>
      </c>
      <c r="D76" s="214" t="s">
        <v>19</v>
      </c>
      <c r="E76" s="32"/>
      <c r="F76" s="17"/>
      <c r="G76" s="18">
        <f t="shared" ref="G76:G111" si="2">+G75+E76-F76</f>
        <v>-0.30000000000040927</v>
      </c>
      <c r="H76" s="240"/>
      <c r="I76" s="7"/>
      <c r="J76" s="7"/>
    </row>
    <row r="77" spans="1:10" ht="18" customHeight="1" x14ac:dyDescent="0.25">
      <c r="A77" s="14">
        <f t="shared" si="1"/>
        <v>65</v>
      </c>
      <c r="B77" s="8"/>
      <c r="C77" s="46" t="s">
        <v>273</v>
      </c>
      <c r="D77" s="214" t="s">
        <v>19</v>
      </c>
      <c r="E77" s="32"/>
      <c r="F77" s="17"/>
      <c r="G77" s="18">
        <f t="shared" si="2"/>
        <v>-0.30000000000040927</v>
      </c>
      <c r="H77" s="240"/>
      <c r="I77" s="7"/>
      <c r="J77" s="7"/>
    </row>
    <row r="78" spans="1:10" ht="18" customHeight="1" x14ac:dyDescent="0.25">
      <c r="A78" s="14">
        <f t="shared" ref="A78:A111" si="3">+A77+1</f>
        <v>66</v>
      </c>
      <c r="B78" s="8"/>
      <c r="C78" s="46" t="s">
        <v>273</v>
      </c>
      <c r="D78" s="214" t="s">
        <v>19</v>
      </c>
      <c r="E78" s="32"/>
      <c r="F78" s="17"/>
      <c r="G78" s="18">
        <f t="shared" si="2"/>
        <v>-0.30000000000040927</v>
      </c>
      <c r="H78" s="240"/>
      <c r="I78" s="7"/>
      <c r="J78" s="7"/>
    </row>
    <row r="79" spans="1:10" ht="18" customHeight="1" x14ac:dyDescent="0.25">
      <c r="A79" s="14">
        <f t="shared" si="3"/>
        <v>67</v>
      </c>
      <c r="B79" s="8"/>
      <c r="C79" s="46" t="s">
        <v>273</v>
      </c>
      <c r="D79" s="214" t="s">
        <v>19</v>
      </c>
      <c r="E79" s="32"/>
      <c r="F79" s="17"/>
      <c r="G79" s="18">
        <f t="shared" si="2"/>
        <v>-0.30000000000040927</v>
      </c>
      <c r="H79" s="240"/>
      <c r="I79" s="7"/>
      <c r="J79" s="7"/>
    </row>
    <row r="80" spans="1:10" ht="18" customHeight="1" x14ac:dyDescent="0.25">
      <c r="A80" s="14">
        <f t="shared" si="3"/>
        <v>68</v>
      </c>
      <c r="B80" s="8"/>
      <c r="C80" s="46" t="s">
        <v>273</v>
      </c>
      <c r="D80" s="214" t="s">
        <v>19</v>
      </c>
      <c r="E80" s="32"/>
      <c r="F80" s="17"/>
      <c r="G80" s="18">
        <f t="shared" si="2"/>
        <v>-0.30000000000040927</v>
      </c>
      <c r="H80" s="240"/>
      <c r="I80" s="7"/>
      <c r="J80" s="7"/>
    </row>
    <row r="81" spans="1:17" ht="18" customHeight="1" x14ac:dyDescent="0.25">
      <c r="A81" s="14">
        <f t="shared" si="3"/>
        <v>69</v>
      </c>
      <c r="B81" s="8"/>
      <c r="C81" s="46" t="s">
        <v>273</v>
      </c>
      <c r="D81" s="214" t="s">
        <v>19</v>
      </c>
      <c r="E81" s="32"/>
      <c r="F81" s="17"/>
      <c r="G81" s="18">
        <f t="shared" si="2"/>
        <v>-0.30000000000040927</v>
      </c>
      <c r="H81" s="240"/>
      <c r="I81" s="7"/>
      <c r="J81" s="7"/>
    </row>
    <row r="82" spans="1:17" ht="18" customHeight="1" x14ac:dyDescent="0.25">
      <c r="A82" s="14">
        <f t="shared" si="3"/>
        <v>70</v>
      </c>
      <c r="B82" s="8"/>
      <c r="C82" s="46" t="s">
        <v>273</v>
      </c>
      <c r="D82" s="214" t="s">
        <v>19</v>
      </c>
      <c r="E82" s="32"/>
      <c r="F82" s="17"/>
      <c r="G82" s="18">
        <f t="shared" si="2"/>
        <v>-0.30000000000040927</v>
      </c>
      <c r="H82" s="240"/>
      <c r="I82" s="7"/>
      <c r="J82" s="7"/>
    </row>
    <row r="83" spans="1:17" ht="18" customHeight="1" x14ac:dyDescent="0.25">
      <c r="A83" s="14">
        <f t="shared" si="3"/>
        <v>71</v>
      </c>
      <c r="B83" s="8"/>
      <c r="C83" s="46" t="s">
        <v>273</v>
      </c>
      <c r="D83" s="214" t="s">
        <v>19</v>
      </c>
      <c r="E83" s="32"/>
      <c r="F83" s="17"/>
      <c r="G83" s="18">
        <f t="shared" si="2"/>
        <v>-0.30000000000040927</v>
      </c>
      <c r="H83" s="240"/>
      <c r="I83" s="7"/>
      <c r="J83" s="7"/>
    </row>
    <row r="84" spans="1:17" ht="18" customHeight="1" x14ac:dyDescent="0.25">
      <c r="A84" s="14">
        <f t="shared" si="3"/>
        <v>72</v>
      </c>
      <c r="B84" s="8"/>
      <c r="C84" s="46" t="s">
        <v>273</v>
      </c>
      <c r="D84" s="214" t="s">
        <v>19</v>
      </c>
      <c r="E84" s="32"/>
      <c r="F84" s="17"/>
      <c r="G84" s="18">
        <f t="shared" si="2"/>
        <v>-0.30000000000040927</v>
      </c>
      <c r="H84" s="240"/>
      <c r="I84" s="7"/>
      <c r="J84" s="7"/>
    </row>
    <row r="85" spans="1:17" ht="18" customHeight="1" x14ac:dyDescent="0.25">
      <c r="A85" s="14">
        <f t="shared" si="3"/>
        <v>73</v>
      </c>
      <c r="B85" s="8"/>
      <c r="C85" s="46" t="s">
        <v>273</v>
      </c>
      <c r="D85" s="214" t="s">
        <v>19</v>
      </c>
      <c r="E85" s="32"/>
      <c r="F85" s="17"/>
      <c r="G85" s="18">
        <f t="shared" si="2"/>
        <v>-0.30000000000040927</v>
      </c>
      <c r="H85" s="240"/>
      <c r="I85" s="7"/>
      <c r="J85" s="7"/>
    </row>
    <row r="86" spans="1:17" ht="18" customHeight="1" x14ac:dyDescent="0.25">
      <c r="A86" s="14">
        <f t="shared" si="3"/>
        <v>74</v>
      </c>
      <c r="B86" s="8"/>
      <c r="C86" s="46" t="s">
        <v>273</v>
      </c>
      <c r="D86" s="214" t="s">
        <v>19</v>
      </c>
      <c r="E86" s="32"/>
      <c r="F86" s="17"/>
      <c r="G86" s="18">
        <f t="shared" si="2"/>
        <v>-0.30000000000040927</v>
      </c>
      <c r="H86" s="240"/>
      <c r="I86" s="7"/>
      <c r="J86" s="7"/>
    </row>
    <row r="87" spans="1:17" ht="18" customHeight="1" x14ac:dyDescent="0.25">
      <c r="A87" s="14">
        <f t="shared" si="3"/>
        <v>75</v>
      </c>
      <c r="B87" s="8"/>
      <c r="C87" s="46" t="s">
        <v>273</v>
      </c>
      <c r="D87" s="214" t="s">
        <v>19</v>
      </c>
      <c r="E87" s="32"/>
      <c r="F87" s="27"/>
      <c r="G87" s="18">
        <f t="shared" si="2"/>
        <v>-0.30000000000040927</v>
      </c>
      <c r="H87" s="240"/>
      <c r="I87" s="7"/>
      <c r="J87" s="7"/>
    </row>
    <row r="88" spans="1:17" ht="18" customHeight="1" x14ac:dyDescent="0.25">
      <c r="A88" s="14">
        <f t="shared" si="3"/>
        <v>76</v>
      </c>
      <c r="B88" s="8"/>
      <c r="C88" s="46" t="s">
        <v>273</v>
      </c>
      <c r="D88" s="214" t="s">
        <v>19</v>
      </c>
      <c r="E88" s="32"/>
      <c r="F88" s="17"/>
      <c r="G88" s="18">
        <f t="shared" si="2"/>
        <v>-0.30000000000040927</v>
      </c>
      <c r="H88" s="240"/>
      <c r="I88" s="7"/>
      <c r="J88" s="7"/>
    </row>
    <row r="89" spans="1:17" ht="18" customHeight="1" x14ac:dyDescent="0.25">
      <c r="A89" s="14">
        <f t="shared" si="3"/>
        <v>77</v>
      </c>
      <c r="B89" s="8"/>
      <c r="C89" s="46" t="s">
        <v>273</v>
      </c>
      <c r="D89" s="214" t="s">
        <v>19</v>
      </c>
      <c r="E89" s="32"/>
      <c r="F89" s="17"/>
      <c r="G89" s="18">
        <f t="shared" si="2"/>
        <v>-0.30000000000040927</v>
      </c>
      <c r="H89" s="240"/>
      <c r="I89" s="7"/>
      <c r="J89" s="7"/>
    </row>
    <row r="90" spans="1:17" ht="18" customHeight="1" x14ac:dyDescent="0.25">
      <c r="A90" s="14">
        <f t="shared" si="3"/>
        <v>78</v>
      </c>
      <c r="B90" s="8"/>
      <c r="C90" s="46" t="s">
        <v>273</v>
      </c>
      <c r="D90" s="214" t="s">
        <v>19</v>
      </c>
      <c r="E90" s="32"/>
      <c r="F90" s="17"/>
      <c r="G90" s="18">
        <f t="shared" si="2"/>
        <v>-0.30000000000040927</v>
      </c>
      <c r="H90" s="240"/>
      <c r="I90" s="7"/>
      <c r="J90" s="7"/>
    </row>
    <row r="91" spans="1:17" ht="18" customHeight="1" x14ac:dyDescent="0.25">
      <c r="A91" s="14">
        <f t="shared" si="3"/>
        <v>79</v>
      </c>
      <c r="B91" s="8"/>
      <c r="C91" s="46" t="s">
        <v>273</v>
      </c>
      <c r="D91" s="214" t="s">
        <v>19</v>
      </c>
      <c r="E91" s="32"/>
      <c r="F91" s="17"/>
      <c r="G91" s="18">
        <f t="shared" si="2"/>
        <v>-0.30000000000040927</v>
      </c>
      <c r="H91" s="240"/>
      <c r="I91" s="7"/>
      <c r="J91" s="7"/>
    </row>
    <row r="92" spans="1:17" ht="18" customHeight="1" x14ac:dyDescent="0.25">
      <c r="A92" s="14">
        <f t="shared" si="3"/>
        <v>80</v>
      </c>
      <c r="B92" s="8"/>
      <c r="C92" s="46" t="s">
        <v>273</v>
      </c>
      <c r="D92" s="214" t="s">
        <v>19</v>
      </c>
      <c r="E92" s="32"/>
      <c r="F92" s="17"/>
      <c r="G92" s="18">
        <f t="shared" si="2"/>
        <v>-0.30000000000040927</v>
      </c>
      <c r="H92" s="240"/>
      <c r="I92" s="7"/>
      <c r="J92" s="7"/>
    </row>
    <row r="93" spans="1:17" ht="18" customHeight="1" x14ac:dyDescent="0.25">
      <c r="A93" s="14">
        <f t="shared" si="3"/>
        <v>81</v>
      </c>
      <c r="B93" s="8"/>
      <c r="C93" s="46" t="s">
        <v>273</v>
      </c>
      <c r="D93" s="214" t="s">
        <v>19</v>
      </c>
      <c r="E93" s="32"/>
      <c r="F93" s="17"/>
      <c r="G93" s="18">
        <f t="shared" si="2"/>
        <v>-0.30000000000040927</v>
      </c>
      <c r="H93" s="240"/>
      <c r="I93" s="7"/>
      <c r="J93" s="7"/>
    </row>
    <row r="94" spans="1:17" ht="18" customHeight="1" x14ac:dyDescent="0.25">
      <c r="A94" s="14">
        <f t="shared" si="3"/>
        <v>82</v>
      </c>
      <c r="B94" s="8"/>
      <c r="C94" s="46" t="s">
        <v>273</v>
      </c>
      <c r="D94" s="214" t="s">
        <v>19</v>
      </c>
      <c r="E94" s="32"/>
      <c r="F94" s="17"/>
      <c r="G94" s="18">
        <f t="shared" si="2"/>
        <v>-0.30000000000040927</v>
      </c>
      <c r="H94" s="240"/>
      <c r="I94" s="7"/>
      <c r="J94" s="7"/>
      <c r="L94" s="199"/>
      <c r="Q94" s="199"/>
    </row>
    <row r="95" spans="1:17" ht="18" customHeight="1" x14ac:dyDescent="0.25">
      <c r="A95" s="14">
        <f t="shared" si="3"/>
        <v>83</v>
      </c>
      <c r="B95" s="8"/>
      <c r="C95" s="46" t="s">
        <v>273</v>
      </c>
      <c r="D95" s="214" t="s">
        <v>19</v>
      </c>
      <c r="E95" s="32"/>
      <c r="F95" s="27"/>
      <c r="G95" s="18">
        <f t="shared" si="2"/>
        <v>-0.30000000000040927</v>
      </c>
      <c r="H95" s="240"/>
      <c r="I95" s="7"/>
      <c r="J95" s="7"/>
      <c r="L95" s="199"/>
      <c r="Q95" s="199"/>
    </row>
    <row r="96" spans="1:17" ht="18" customHeight="1" x14ac:dyDescent="0.25">
      <c r="A96" s="14">
        <f t="shared" si="3"/>
        <v>84</v>
      </c>
      <c r="B96" s="8"/>
      <c r="C96" s="46" t="s">
        <v>273</v>
      </c>
      <c r="D96" s="214" t="s">
        <v>19</v>
      </c>
      <c r="E96" s="32"/>
      <c r="F96" s="27"/>
      <c r="G96" s="18">
        <f t="shared" si="2"/>
        <v>-0.30000000000040927</v>
      </c>
      <c r="H96" s="240"/>
      <c r="I96" s="7"/>
      <c r="J96" s="7"/>
      <c r="L96" s="199"/>
      <c r="Q96" s="199"/>
    </row>
    <row r="97" spans="1:17" s="179" customFormat="1" ht="18" customHeight="1" x14ac:dyDescent="0.25">
      <c r="A97" s="241">
        <f t="shared" si="3"/>
        <v>85</v>
      </c>
      <c r="B97" s="242"/>
      <c r="C97" s="46" t="s">
        <v>273</v>
      </c>
      <c r="D97" s="244" t="s">
        <v>19</v>
      </c>
      <c r="E97" s="245"/>
      <c r="F97" s="52"/>
      <c r="G97" s="18">
        <f t="shared" si="2"/>
        <v>-0.30000000000040927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273</v>
      </c>
      <c r="D98" s="244" t="s">
        <v>19</v>
      </c>
      <c r="E98" s="245"/>
      <c r="F98" s="52"/>
      <c r="G98" s="18">
        <f t="shared" si="2"/>
        <v>-0.30000000000040927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273</v>
      </c>
      <c r="D99" s="244" t="s">
        <v>19</v>
      </c>
      <c r="E99" s="245"/>
      <c r="F99" s="52"/>
      <c r="G99" s="18">
        <f t="shared" si="2"/>
        <v>-0.30000000000040927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273</v>
      </c>
      <c r="D100" s="244" t="s">
        <v>19</v>
      </c>
      <c r="E100" s="245"/>
      <c r="F100" s="52"/>
      <c r="G100" s="18">
        <f t="shared" si="2"/>
        <v>-0.30000000000040927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273</v>
      </c>
      <c r="D101" s="244" t="s">
        <v>19</v>
      </c>
      <c r="E101" s="245"/>
      <c r="F101" s="52"/>
      <c r="G101" s="18">
        <f t="shared" si="2"/>
        <v>-0.30000000000040927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46" t="s">
        <v>273</v>
      </c>
      <c r="D102" s="244" t="s">
        <v>19</v>
      </c>
      <c r="E102" s="245"/>
      <c r="F102" s="52"/>
      <c r="G102" s="18">
        <f t="shared" si="2"/>
        <v>-0.30000000000040927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46" t="s">
        <v>273</v>
      </c>
      <c r="D103" s="244" t="s">
        <v>19</v>
      </c>
      <c r="E103" s="245"/>
      <c r="F103" s="52"/>
      <c r="G103" s="18">
        <f t="shared" si="2"/>
        <v>-0.30000000000040927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46" t="s">
        <v>273</v>
      </c>
      <c r="D104" s="244" t="s">
        <v>19</v>
      </c>
      <c r="E104" s="245"/>
      <c r="F104" s="52"/>
      <c r="G104" s="18">
        <f t="shared" si="2"/>
        <v>-0.30000000000040927</v>
      </c>
      <c r="H104" s="240"/>
      <c r="I104" s="247"/>
      <c r="J104" s="247"/>
      <c r="L104" s="248"/>
      <c r="Q104" s="248"/>
    </row>
    <row r="105" spans="1:17" s="179" customFormat="1" ht="18" customHeight="1" x14ac:dyDescent="0.25">
      <c r="A105" s="241"/>
      <c r="B105" s="242"/>
      <c r="C105" s="243"/>
      <c r="D105" s="244"/>
      <c r="E105" s="245"/>
      <c r="F105" s="52"/>
      <c r="G105" s="18">
        <f t="shared" si="2"/>
        <v>-0.30000000000040927</v>
      </c>
      <c r="H105" s="240"/>
      <c r="I105" s="247"/>
      <c r="J105" s="247"/>
      <c r="L105" s="248"/>
      <c r="Q105" s="248"/>
    </row>
    <row r="106" spans="1:17" s="179" customFormat="1" ht="18" customHeight="1" x14ac:dyDescent="0.25">
      <c r="A106" s="241"/>
      <c r="B106" s="242"/>
      <c r="C106" s="243"/>
      <c r="D106" s="244"/>
      <c r="E106" s="245"/>
      <c r="F106" s="52"/>
      <c r="G106" s="18">
        <f t="shared" si="2"/>
        <v>-0.30000000000040927</v>
      </c>
      <c r="H106" s="240"/>
      <c r="I106" s="247"/>
      <c r="J106" s="247"/>
      <c r="L106" s="248"/>
      <c r="Q106" s="248"/>
    </row>
    <row r="107" spans="1:17" s="179" customFormat="1" ht="18" customHeight="1" x14ac:dyDescent="0.25">
      <c r="A107" s="241"/>
      <c r="B107" s="242"/>
      <c r="C107" s="243"/>
      <c r="D107" s="244"/>
      <c r="E107" s="245"/>
      <c r="F107" s="52"/>
      <c r="G107" s="18">
        <f t="shared" si="2"/>
        <v>-0.30000000000040927</v>
      </c>
      <c r="H107" s="240"/>
      <c r="I107" s="247"/>
      <c r="J107" s="247"/>
      <c r="L107" s="248"/>
      <c r="Q107" s="248"/>
    </row>
    <row r="108" spans="1:17" s="179" customFormat="1" ht="18" customHeight="1" x14ac:dyDescent="0.25">
      <c r="A108" s="241"/>
      <c r="B108" s="242"/>
      <c r="C108" s="243"/>
      <c r="D108" s="244"/>
      <c r="E108" s="245"/>
      <c r="F108" s="52"/>
      <c r="G108" s="18">
        <f t="shared" si="2"/>
        <v>-0.30000000000040927</v>
      </c>
      <c r="H108" s="240"/>
      <c r="I108" s="247"/>
      <c r="J108" s="247"/>
      <c r="L108" s="248"/>
      <c r="Q108" s="248"/>
    </row>
    <row r="109" spans="1:17" ht="18" customHeight="1" x14ac:dyDescent="0.25">
      <c r="A109" s="14">
        <f>+A97+1</f>
        <v>86</v>
      </c>
      <c r="B109" s="8"/>
      <c r="C109" s="46"/>
      <c r="D109" s="214"/>
      <c r="E109" s="32"/>
      <c r="F109" s="27"/>
      <c r="G109" s="18">
        <f t="shared" si="2"/>
        <v>-0.30000000000040927</v>
      </c>
      <c r="H109" s="28"/>
      <c r="I109" s="7"/>
      <c r="J109" s="7"/>
      <c r="L109" s="199"/>
      <c r="Q109" s="199"/>
    </row>
    <row r="110" spans="1:17" ht="18" customHeight="1" x14ac:dyDescent="0.25">
      <c r="A110" s="14">
        <f t="shared" si="3"/>
        <v>87</v>
      </c>
      <c r="B110" s="8"/>
      <c r="C110" s="46"/>
      <c r="D110" s="214"/>
      <c r="E110" s="32"/>
      <c r="F110" s="27"/>
      <c r="G110" s="18">
        <f t="shared" si="2"/>
        <v>-0.30000000000040927</v>
      </c>
      <c r="H110" s="28"/>
      <c r="I110" s="7"/>
      <c r="J110" s="7"/>
      <c r="L110" s="199"/>
      <c r="Q110" s="199"/>
    </row>
    <row r="111" spans="1:17" ht="18" customHeight="1" x14ac:dyDescent="0.25">
      <c r="A111" s="14">
        <f t="shared" si="3"/>
        <v>88</v>
      </c>
      <c r="B111" s="37"/>
      <c r="C111" s="46"/>
      <c r="D111" s="10"/>
      <c r="E111" s="32"/>
      <c r="F111" s="27"/>
      <c r="G111" s="18">
        <f t="shared" si="2"/>
        <v>-0.30000000000040927</v>
      </c>
      <c r="H111" s="28"/>
      <c r="I111" s="7"/>
      <c r="J111" s="7"/>
      <c r="L111" s="199"/>
      <c r="Q111" s="199"/>
    </row>
    <row r="112" spans="1:17" ht="18" customHeight="1" x14ac:dyDescent="0.25">
      <c r="A112" s="7"/>
      <c r="B112" s="7"/>
      <c r="C112" s="34" t="s">
        <v>13</v>
      </c>
      <c r="D112" s="14"/>
      <c r="E112" s="35">
        <f>SUM(E8:E111)</f>
        <v>8338.2999999999993</v>
      </c>
      <c r="F112" s="35">
        <f>SUM(F8:F111)</f>
        <v>20848.599999999999</v>
      </c>
      <c r="G112" s="35">
        <f>+E112-F112+G8</f>
        <v>-0.2999999999992724</v>
      </c>
      <c r="H112" s="35"/>
      <c r="I112" s="36"/>
      <c r="J112" s="7">
        <f>SUM(J9:J111)</f>
        <v>0</v>
      </c>
    </row>
    <row r="113" spans="5:9" ht="18" customHeight="1" x14ac:dyDescent="0.25"/>
    <row r="116" spans="5:9" x14ac:dyDescent="0.25">
      <c r="E116" s="201"/>
      <c r="F116" s="201"/>
      <c r="G116" s="201"/>
      <c r="H116" s="201"/>
    </row>
    <row r="117" spans="5:9" x14ac:dyDescent="0.25">
      <c r="F117" s="26"/>
    </row>
    <row r="118" spans="5:9" x14ac:dyDescent="0.25">
      <c r="E118" s="26"/>
      <c r="F118" s="26"/>
      <c r="G118" s="26"/>
      <c r="H118" s="26"/>
      <c r="I118" s="26"/>
    </row>
    <row r="119" spans="5:9" x14ac:dyDescent="0.25">
      <c r="I119" s="202"/>
    </row>
    <row r="120" spans="5:9" x14ac:dyDescent="0.25">
      <c r="E120" s="199"/>
    </row>
    <row r="121" spans="5:9" x14ac:dyDescent="0.25">
      <c r="E121" s="26"/>
      <c r="F121" s="26"/>
    </row>
    <row r="122" spans="5:9" x14ac:dyDescent="0.25">
      <c r="E122" s="203"/>
      <c r="F122" s="204"/>
      <c r="G122" s="203"/>
      <c r="H122" s="203"/>
    </row>
    <row r="123" spans="5:9" x14ac:dyDescent="0.25">
      <c r="F123" s="26"/>
    </row>
  </sheetData>
  <mergeCells count="1">
    <mergeCell ref="A4:I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EE4D-81C9-4754-A5D0-CA2917A6B2D6}">
  <sheetPr codeName="Sheet73"/>
  <dimension ref="A1:Q119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8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4650</v>
      </c>
      <c r="H8" s="7"/>
      <c r="I8" s="7"/>
      <c r="J8" s="7"/>
    </row>
    <row r="9" spans="1:12" ht="17.25" customHeight="1" x14ac:dyDescent="0.25">
      <c r="A9" s="14">
        <v>1</v>
      </c>
      <c r="B9" s="8">
        <v>45693</v>
      </c>
      <c r="C9" s="46" t="s">
        <v>319</v>
      </c>
      <c r="D9" s="214" t="s">
        <v>19</v>
      </c>
      <c r="E9" s="30"/>
      <c r="F9" s="27">
        <v>907.6</v>
      </c>
      <c r="G9" s="18">
        <f>+G8+E9-F9</f>
        <v>3742.4</v>
      </c>
      <c r="H9" s="28" t="s">
        <v>91</v>
      </c>
      <c r="I9" s="7"/>
      <c r="J9" s="7">
        <v>6</v>
      </c>
    </row>
    <row r="10" spans="1:12" ht="17.25" customHeight="1" x14ac:dyDescent="0.25">
      <c r="A10" s="14">
        <f t="shared" ref="A10:A73" si="0">+A9+1</f>
        <v>2</v>
      </c>
      <c r="B10" s="8">
        <v>45786</v>
      </c>
      <c r="C10" s="46" t="s">
        <v>319</v>
      </c>
      <c r="D10" s="214" t="s">
        <v>19</v>
      </c>
      <c r="E10" s="11"/>
      <c r="F10" s="27">
        <v>937.9</v>
      </c>
      <c r="G10" s="391">
        <f t="shared" ref="G10:G73" si="1">+G9+E10-F10</f>
        <v>2804.5</v>
      </c>
      <c r="H10" s="28" t="s">
        <v>91</v>
      </c>
      <c r="I10" s="7"/>
      <c r="J10" s="7">
        <v>4</v>
      </c>
    </row>
    <row r="11" spans="1:12" ht="18" customHeight="1" x14ac:dyDescent="0.25">
      <c r="A11" s="14">
        <f t="shared" si="0"/>
        <v>3</v>
      </c>
      <c r="B11" s="8">
        <v>45926</v>
      </c>
      <c r="C11" s="46" t="s">
        <v>319</v>
      </c>
      <c r="D11" s="214" t="s">
        <v>19</v>
      </c>
      <c r="E11" s="16"/>
      <c r="F11" s="27">
        <v>916.1</v>
      </c>
      <c r="G11" s="18">
        <f t="shared" si="1"/>
        <v>1888.4</v>
      </c>
      <c r="H11" s="28" t="s">
        <v>91</v>
      </c>
      <c r="I11" s="7"/>
      <c r="J11" s="140"/>
      <c r="L11">
        <f>641.4+649.8+583.6+594</f>
        <v>2468.7999999999997</v>
      </c>
    </row>
    <row r="12" spans="1:12" ht="18" customHeight="1" x14ac:dyDescent="0.25">
      <c r="A12" s="14">
        <f t="shared" si="0"/>
        <v>4</v>
      </c>
      <c r="B12" s="8"/>
      <c r="C12" s="46" t="s">
        <v>319</v>
      </c>
      <c r="D12" s="214" t="s">
        <v>19</v>
      </c>
      <c r="E12" s="16"/>
      <c r="F12" s="17"/>
      <c r="G12" s="18">
        <f t="shared" si="1"/>
        <v>1888.4</v>
      </c>
      <c r="H12" s="28" t="s">
        <v>91</v>
      </c>
      <c r="I12" s="7"/>
      <c r="J12" s="140">
        <v>1</v>
      </c>
      <c r="K12" t="s">
        <v>188</v>
      </c>
    </row>
    <row r="13" spans="1:12" ht="18" customHeight="1" x14ac:dyDescent="0.25">
      <c r="A13" s="14">
        <f t="shared" si="0"/>
        <v>5</v>
      </c>
      <c r="B13" s="205"/>
      <c r="C13" s="46" t="s">
        <v>319</v>
      </c>
      <c r="D13" s="214" t="s">
        <v>19</v>
      </c>
      <c r="E13" s="16"/>
      <c r="F13" s="17"/>
      <c r="G13" s="18">
        <f t="shared" si="1"/>
        <v>1888.4</v>
      </c>
      <c r="H13" s="28" t="s">
        <v>91</v>
      </c>
      <c r="I13" s="7"/>
      <c r="J13" s="140"/>
    </row>
    <row r="14" spans="1:12" ht="18" customHeight="1" x14ac:dyDescent="0.25">
      <c r="A14" s="14">
        <f t="shared" si="0"/>
        <v>6</v>
      </c>
      <c r="B14" s="8"/>
      <c r="C14" s="46" t="s">
        <v>319</v>
      </c>
      <c r="D14" s="214" t="s">
        <v>19</v>
      </c>
      <c r="E14" s="16"/>
      <c r="F14" s="27"/>
      <c r="G14" s="18">
        <f t="shared" si="1"/>
        <v>1888.4</v>
      </c>
      <c r="H14" s="28" t="s">
        <v>91</v>
      </c>
      <c r="I14" s="7"/>
      <c r="J14" s="7"/>
    </row>
    <row r="15" spans="1:12" ht="18" customHeight="1" x14ac:dyDescent="0.25">
      <c r="A15" s="14">
        <f t="shared" si="0"/>
        <v>7</v>
      </c>
      <c r="B15" s="8"/>
      <c r="C15" s="46" t="s">
        <v>319</v>
      </c>
      <c r="D15" s="214" t="s">
        <v>19</v>
      </c>
      <c r="E15" s="16"/>
      <c r="F15" s="27"/>
      <c r="G15" s="18">
        <f t="shared" si="1"/>
        <v>1888.4</v>
      </c>
      <c r="H15" s="28" t="s">
        <v>91</v>
      </c>
      <c r="I15" s="7"/>
      <c r="J15" s="140"/>
    </row>
    <row r="16" spans="1:12" ht="18" customHeight="1" x14ac:dyDescent="0.25">
      <c r="A16" s="14">
        <f t="shared" si="0"/>
        <v>8</v>
      </c>
      <c r="B16" s="8"/>
      <c r="C16" s="46" t="s">
        <v>319</v>
      </c>
      <c r="D16" s="214" t="s">
        <v>19</v>
      </c>
      <c r="E16" s="16"/>
      <c r="F16" s="27"/>
      <c r="G16" s="18">
        <f t="shared" si="1"/>
        <v>1888.4</v>
      </c>
      <c r="H16" s="28" t="s">
        <v>91</v>
      </c>
      <c r="I16" s="7"/>
      <c r="J16" s="7"/>
    </row>
    <row r="17" spans="1:16" ht="18" customHeight="1" x14ac:dyDescent="0.25">
      <c r="A17" s="14">
        <f t="shared" si="0"/>
        <v>9</v>
      </c>
      <c r="B17" s="8"/>
      <c r="C17" s="46" t="s">
        <v>319</v>
      </c>
      <c r="D17" s="214" t="s">
        <v>19</v>
      </c>
      <c r="E17" s="30"/>
      <c r="F17" s="27"/>
      <c r="G17" s="18">
        <f t="shared" si="1"/>
        <v>1888.4</v>
      </c>
      <c r="H17" s="28" t="s">
        <v>91</v>
      </c>
      <c r="I17" s="7"/>
      <c r="J17" s="7"/>
    </row>
    <row r="18" spans="1:16" s="230" customFormat="1" ht="18" customHeight="1" x14ac:dyDescent="0.25">
      <c r="A18" s="223">
        <f>+A17+1</f>
        <v>10</v>
      </c>
      <c r="B18" s="224"/>
      <c r="C18" s="46" t="s">
        <v>319</v>
      </c>
      <c r="D18" s="226" t="s">
        <v>19</v>
      </c>
      <c r="E18" s="227"/>
      <c r="F18" s="228"/>
      <c r="G18" s="229">
        <f t="shared" si="1"/>
        <v>1888.4</v>
      </c>
      <c r="H18" s="28" t="s">
        <v>91</v>
      </c>
      <c r="I18" s="7"/>
      <c r="J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319</v>
      </c>
      <c r="D19" s="226" t="s">
        <v>19</v>
      </c>
      <c r="E19" s="231"/>
      <c r="F19" s="228"/>
      <c r="G19" s="229">
        <f t="shared" si="1"/>
        <v>1888.4</v>
      </c>
      <c r="H19" s="28" t="s">
        <v>91</v>
      </c>
      <c r="I19" s="7"/>
      <c r="J19" s="348"/>
      <c r="L19" s="230">
        <f>944.9+943.4+945.2</f>
        <v>2833.5</v>
      </c>
    </row>
    <row r="20" spans="1:16" ht="18" customHeight="1" x14ac:dyDescent="0.25">
      <c r="A20" s="14">
        <f t="shared" si="0"/>
        <v>12</v>
      </c>
      <c r="B20" s="8"/>
      <c r="C20" s="46" t="s">
        <v>319</v>
      </c>
      <c r="D20" s="214" t="s">
        <v>19</v>
      </c>
      <c r="E20" s="32"/>
      <c r="F20" s="17"/>
      <c r="G20" s="18">
        <f t="shared" si="1"/>
        <v>1888.4</v>
      </c>
      <c r="H20" s="28" t="s">
        <v>91</v>
      </c>
      <c r="I20" s="7"/>
      <c r="J20" s="7"/>
      <c r="P20">
        <f>655.4+618+648+651.2+620+645+649+674+641+652+617+635+623+619</f>
        <v>8947.6</v>
      </c>
    </row>
    <row r="21" spans="1:16" ht="18" customHeight="1" x14ac:dyDescent="0.25">
      <c r="A21" s="14">
        <f t="shared" si="0"/>
        <v>13</v>
      </c>
      <c r="B21" s="8"/>
      <c r="C21" s="46" t="s">
        <v>319</v>
      </c>
      <c r="D21" s="214" t="s">
        <v>19</v>
      </c>
      <c r="E21" s="32"/>
      <c r="F21" s="27"/>
      <c r="G21" s="18">
        <f t="shared" si="1"/>
        <v>1888.4</v>
      </c>
      <c r="H21" s="28" t="s">
        <v>91</v>
      </c>
      <c r="I21" s="7"/>
      <c r="J21" s="7"/>
    </row>
    <row r="22" spans="1:16" ht="18" customHeight="1" x14ac:dyDescent="0.25">
      <c r="A22" s="14">
        <f t="shared" si="0"/>
        <v>14</v>
      </c>
      <c r="B22" s="232"/>
      <c r="C22" s="46" t="s">
        <v>319</v>
      </c>
      <c r="D22" s="234" t="s">
        <v>19</v>
      </c>
      <c r="E22" s="235"/>
      <c r="F22" s="172"/>
      <c r="G22" s="18">
        <f t="shared" si="1"/>
        <v>1888.4</v>
      </c>
      <c r="H22" s="28" t="s">
        <v>129</v>
      </c>
      <c r="I22" s="7"/>
      <c r="J22" s="7"/>
    </row>
    <row r="23" spans="1:16" ht="18" customHeight="1" x14ac:dyDescent="0.25">
      <c r="A23" s="14">
        <f t="shared" si="0"/>
        <v>15</v>
      </c>
      <c r="B23" s="8"/>
      <c r="C23" s="46" t="s">
        <v>319</v>
      </c>
      <c r="D23" s="214" t="s">
        <v>19</v>
      </c>
      <c r="E23" s="32"/>
      <c r="F23" s="17"/>
      <c r="G23" s="18">
        <f t="shared" si="1"/>
        <v>1888.4</v>
      </c>
      <c r="H23" s="28" t="s">
        <v>129</v>
      </c>
      <c r="I23" s="7"/>
      <c r="J23" s="7"/>
    </row>
    <row r="24" spans="1:16" ht="18" customHeight="1" x14ac:dyDescent="0.25">
      <c r="A24" s="14">
        <f t="shared" si="0"/>
        <v>16</v>
      </c>
      <c r="B24" s="8"/>
      <c r="C24" s="46" t="s">
        <v>319</v>
      </c>
      <c r="D24" s="214" t="s">
        <v>19</v>
      </c>
      <c r="E24" s="32"/>
      <c r="F24" s="17"/>
      <c r="G24" s="18">
        <f t="shared" si="1"/>
        <v>1888.4</v>
      </c>
      <c r="H24" s="28" t="s">
        <v>91</v>
      </c>
      <c r="I24" s="7"/>
      <c r="J24" s="7"/>
      <c r="L24">
        <f>916.1+945.2+943.4</f>
        <v>2804.7000000000003</v>
      </c>
    </row>
    <row r="25" spans="1:16" ht="18" customHeight="1" x14ac:dyDescent="0.25">
      <c r="A25" s="14">
        <f t="shared" si="0"/>
        <v>17</v>
      </c>
      <c r="B25" s="8"/>
      <c r="C25" s="46" t="s">
        <v>319</v>
      </c>
      <c r="D25" s="214" t="s">
        <v>19</v>
      </c>
      <c r="E25" s="32"/>
      <c r="F25" s="17"/>
      <c r="G25" s="18">
        <f t="shared" si="1"/>
        <v>1888.4</v>
      </c>
      <c r="H25" s="28" t="s">
        <v>91</v>
      </c>
      <c r="I25" s="7"/>
      <c r="J25" s="7"/>
    </row>
    <row r="26" spans="1:16" ht="18" customHeight="1" x14ac:dyDescent="0.25">
      <c r="A26" s="14">
        <f t="shared" si="0"/>
        <v>18</v>
      </c>
      <c r="B26" s="8"/>
      <c r="C26" s="46" t="s">
        <v>319</v>
      </c>
      <c r="D26" s="214" t="s">
        <v>19</v>
      </c>
      <c r="E26" s="32"/>
      <c r="F26" s="17"/>
      <c r="G26" s="18">
        <f t="shared" si="1"/>
        <v>1888.4</v>
      </c>
      <c r="H26" s="28" t="s">
        <v>91</v>
      </c>
      <c r="I26" s="7"/>
      <c r="J26" s="7"/>
    </row>
    <row r="27" spans="1:16" ht="18" customHeight="1" x14ac:dyDescent="0.25">
      <c r="A27" s="14">
        <f>+A26+1</f>
        <v>19</v>
      </c>
      <c r="B27" s="8"/>
      <c r="C27" s="46" t="s">
        <v>319</v>
      </c>
      <c r="D27" s="214" t="s">
        <v>19</v>
      </c>
      <c r="E27" s="32"/>
      <c r="F27" s="125"/>
      <c r="G27" s="18">
        <f t="shared" si="1"/>
        <v>1888.4</v>
      </c>
      <c r="H27" s="28" t="s">
        <v>91</v>
      </c>
      <c r="I27" s="7"/>
      <c r="J27" s="7"/>
    </row>
    <row r="28" spans="1:16" ht="18" customHeight="1" x14ac:dyDescent="0.25">
      <c r="A28" s="14">
        <f t="shared" si="0"/>
        <v>20</v>
      </c>
      <c r="B28" s="8"/>
      <c r="C28" s="46" t="s">
        <v>319</v>
      </c>
      <c r="D28" s="214" t="s">
        <v>19</v>
      </c>
      <c r="E28" s="129"/>
      <c r="F28" s="17"/>
      <c r="G28" s="18">
        <f t="shared" si="1"/>
        <v>1888.4</v>
      </c>
      <c r="H28" s="28" t="s">
        <v>91</v>
      </c>
      <c r="I28" s="7"/>
      <c r="J28" s="7"/>
    </row>
    <row r="29" spans="1:16" ht="18" customHeight="1" x14ac:dyDescent="0.25">
      <c r="A29" s="14">
        <f t="shared" si="0"/>
        <v>21</v>
      </c>
      <c r="B29" s="8"/>
      <c r="C29" s="46" t="s">
        <v>319</v>
      </c>
      <c r="D29" s="214" t="s">
        <v>19</v>
      </c>
      <c r="E29" s="32"/>
      <c r="F29" s="172"/>
      <c r="G29" s="18">
        <f t="shared" si="1"/>
        <v>1888.4</v>
      </c>
      <c r="H29" s="28" t="s">
        <v>91</v>
      </c>
      <c r="I29" s="7"/>
      <c r="J29" s="7"/>
    </row>
    <row r="30" spans="1:16" ht="18" customHeight="1" x14ac:dyDescent="0.25">
      <c r="A30" s="14">
        <f t="shared" si="0"/>
        <v>22</v>
      </c>
      <c r="B30" s="8"/>
      <c r="C30" s="46" t="s">
        <v>319</v>
      </c>
      <c r="D30" s="214" t="s">
        <v>19</v>
      </c>
      <c r="E30" s="32"/>
      <c r="F30" s="125"/>
      <c r="G30" s="18">
        <f t="shared" si="1"/>
        <v>1888.4</v>
      </c>
      <c r="H30" s="28" t="s">
        <v>91</v>
      </c>
      <c r="I30" s="7"/>
      <c r="J30" s="7"/>
    </row>
    <row r="31" spans="1:16" ht="18" customHeight="1" x14ac:dyDescent="0.25">
      <c r="A31" s="14">
        <f t="shared" si="0"/>
        <v>23</v>
      </c>
      <c r="B31" s="8"/>
      <c r="C31" s="46" t="s">
        <v>319</v>
      </c>
      <c r="D31" s="214" t="s">
        <v>19</v>
      </c>
      <c r="E31" s="32"/>
      <c r="F31" s="152"/>
      <c r="G31" s="18">
        <f t="shared" si="1"/>
        <v>1888.4</v>
      </c>
      <c r="H31" s="28" t="s">
        <v>91</v>
      </c>
      <c r="I31" s="7"/>
      <c r="J31" s="7"/>
    </row>
    <row r="32" spans="1:16" ht="17.25" customHeight="1" x14ac:dyDescent="0.25">
      <c r="A32" s="14">
        <f t="shared" si="0"/>
        <v>24</v>
      </c>
      <c r="B32" s="8"/>
      <c r="C32" s="46" t="s">
        <v>319</v>
      </c>
      <c r="D32" s="214" t="s">
        <v>19</v>
      </c>
      <c r="E32" s="13"/>
      <c r="F32" s="17"/>
      <c r="G32" s="18">
        <f t="shared" si="1"/>
        <v>1888.4</v>
      </c>
      <c r="H32" s="28" t="s">
        <v>91</v>
      </c>
      <c r="I32" s="7"/>
      <c r="J32" s="7"/>
    </row>
    <row r="33" spans="1:16" ht="17.25" customHeight="1" x14ac:dyDescent="0.25">
      <c r="A33" s="14">
        <f t="shared" si="0"/>
        <v>25</v>
      </c>
      <c r="B33" s="44"/>
      <c r="C33" s="46" t="s">
        <v>319</v>
      </c>
      <c r="D33" s="214" t="s">
        <v>19</v>
      </c>
      <c r="E33" s="13"/>
      <c r="F33" s="17"/>
      <c r="G33" s="18">
        <f t="shared" si="1"/>
        <v>1888.4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319</v>
      </c>
      <c r="D34" s="214" t="s">
        <v>19</v>
      </c>
      <c r="E34" s="32"/>
      <c r="F34" s="40"/>
      <c r="G34" s="18">
        <f t="shared" si="1"/>
        <v>1888.4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319</v>
      </c>
      <c r="D35" s="214" t="s">
        <v>19</v>
      </c>
      <c r="E35" s="32"/>
      <c r="F35" s="40"/>
      <c r="G35" s="18">
        <f t="shared" si="1"/>
        <v>1888.4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319</v>
      </c>
      <c r="D36" s="214" t="s">
        <v>19</v>
      </c>
      <c r="E36" s="32"/>
      <c r="F36" s="40"/>
      <c r="G36" s="18">
        <f t="shared" si="1"/>
        <v>1888.4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319</v>
      </c>
      <c r="D37" s="214" t="s">
        <v>19</v>
      </c>
      <c r="E37" s="32"/>
      <c r="F37" s="17"/>
      <c r="G37" s="18">
        <f t="shared" si="1"/>
        <v>1888.4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319</v>
      </c>
      <c r="D38" s="214" t="s">
        <v>19</v>
      </c>
      <c r="E38" s="32"/>
      <c r="F38" s="17"/>
      <c r="G38" s="18">
        <f t="shared" si="1"/>
        <v>1888.4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319</v>
      </c>
      <c r="D39" s="214" t="s">
        <v>19</v>
      </c>
      <c r="E39" s="32"/>
      <c r="F39" s="17"/>
      <c r="G39" s="18">
        <f t="shared" si="1"/>
        <v>1888.4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319</v>
      </c>
      <c r="D40" s="214" t="s">
        <v>19</v>
      </c>
      <c r="E40" s="32"/>
      <c r="F40" s="17"/>
      <c r="G40" s="18">
        <f t="shared" si="1"/>
        <v>1888.4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319</v>
      </c>
      <c r="D41" s="214" t="s">
        <v>19</v>
      </c>
      <c r="E41" s="32"/>
      <c r="F41" s="172"/>
      <c r="G41" s="18">
        <f t="shared" si="1"/>
        <v>1888.4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319</v>
      </c>
      <c r="D42" s="214" t="s">
        <v>19</v>
      </c>
      <c r="E42" s="32"/>
      <c r="F42" s="17"/>
      <c r="G42" s="18">
        <f t="shared" si="1"/>
        <v>1888.4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319</v>
      </c>
      <c r="D43" s="214" t="s">
        <v>19</v>
      </c>
      <c r="E43" s="32"/>
      <c r="F43" s="17"/>
      <c r="G43" s="18">
        <f t="shared" si="1"/>
        <v>1888.4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319</v>
      </c>
      <c r="D44" s="214" t="s">
        <v>19</v>
      </c>
      <c r="E44" s="32"/>
      <c r="F44" s="17"/>
      <c r="G44" s="18">
        <f t="shared" si="1"/>
        <v>1888.4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319</v>
      </c>
      <c r="D45" s="214" t="s">
        <v>19</v>
      </c>
      <c r="E45" s="32"/>
      <c r="F45" s="17"/>
      <c r="G45" s="18">
        <f t="shared" si="1"/>
        <v>1888.4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319</v>
      </c>
      <c r="D46" s="214" t="s">
        <v>19</v>
      </c>
      <c r="E46" s="32"/>
      <c r="F46" s="17"/>
      <c r="G46" s="18">
        <f t="shared" si="1"/>
        <v>1888.4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319</v>
      </c>
      <c r="D47" s="214" t="s">
        <v>19</v>
      </c>
      <c r="E47" s="32"/>
      <c r="F47" s="17"/>
      <c r="G47" s="18">
        <f t="shared" si="1"/>
        <v>1888.4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319</v>
      </c>
      <c r="D48" s="214" t="s">
        <v>19</v>
      </c>
      <c r="E48" s="32"/>
      <c r="F48" s="17"/>
      <c r="G48" s="18">
        <f t="shared" si="1"/>
        <v>1888.4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319</v>
      </c>
      <c r="D49" s="214" t="s">
        <v>19</v>
      </c>
      <c r="E49" s="32"/>
      <c r="F49" s="17"/>
      <c r="G49" s="18">
        <f t="shared" si="1"/>
        <v>1888.4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319</v>
      </c>
      <c r="D50" s="237" t="s">
        <v>19</v>
      </c>
      <c r="E50" s="175"/>
      <c r="F50" s="172"/>
      <c r="G50" s="238">
        <f t="shared" si="1"/>
        <v>1888.4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319</v>
      </c>
      <c r="D51" s="214" t="s">
        <v>19</v>
      </c>
      <c r="E51" s="32"/>
      <c r="F51" s="17"/>
      <c r="G51" s="18">
        <f t="shared" si="1"/>
        <v>1888.4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319</v>
      </c>
      <c r="D52" s="214" t="s">
        <v>19</v>
      </c>
      <c r="E52" s="32"/>
      <c r="F52" s="17"/>
      <c r="G52" s="18">
        <f t="shared" si="1"/>
        <v>1888.4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319</v>
      </c>
      <c r="D53" s="214" t="s">
        <v>19</v>
      </c>
      <c r="E53" s="32"/>
      <c r="F53" s="17"/>
      <c r="G53" s="18">
        <f t="shared" si="1"/>
        <v>1888.4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319</v>
      </c>
      <c r="D54" s="214" t="s">
        <v>19</v>
      </c>
      <c r="E54" s="32"/>
      <c r="F54" s="17"/>
      <c r="G54" s="18">
        <f t="shared" si="1"/>
        <v>1888.4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319</v>
      </c>
      <c r="D55" s="214" t="s">
        <v>19</v>
      </c>
      <c r="E55" s="32"/>
      <c r="F55" s="17"/>
      <c r="G55" s="18">
        <f t="shared" si="1"/>
        <v>1888.4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319</v>
      </c>
      <c r="D56" s="214" t="s">
        <v>19</v>
      </c>
      <c r="E56" s="32"/>
      <c r="F56" s="17"/>
      <c r="G56" s="18">
        <f t="shared" si="1"/>
        <v>1888.4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319</v>
      </c>
      <c r="D57" s="214" t="s">
        <v>19</v>
      </c>
      <c r="E57" s="32"/>
      <c r="F57" s="17"/>
      <c r="G57" s="18">
        <f t="shared" si="1"/>
        <v>1888.4</v>
      </c>
      <c r="H57" s="240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319</v>
      </c>
      <c r="D58" s="214" t="s">
        <v>19</v>
      </c>
      <c r="E58" s="32"/>
      <c r="F58" s="17"/>
      <c r="G58" s="18">
        <f t="shared" si="1"/>
        <v>1888.4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319</v>
      </c>
      <c r="D59" s="214" t="s">
        <v>19</v>
      </c>
      <c r="E59" s="32"/>
      <c r="F59" s="17"/>
      <c r="G59" s="18">
        <f t="shared" si="1"/>
        <v>1888.4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319</v>
      </c>
      <c r="D60" s="214" t="s">
        <v>19</v>
      </c>
      <c r="E60" s="32"/>
      <c r="F60" s="17"/>
      <c r="G60" s="18">
        <f t="shared" si="1"/>
        <v>1888.4</v>
      </c>
      <c r="H60" s="240"/>
      <c r="I60" s="7"/>
      <c r="J60" s="7"/>
    </row>
    <row r="61" spans="1:16" ht="18" customHeight="1" x14ac:dyDescent="0.25">
      <c r="A61" s="14">
        <f t="shared" si="0"/>
        <v>53</v>
      </c>
      <c r="B61" s="8"/>
      <c r="C61" s="46" t="s">
        <v>319</v>
      </c>
      <c r="D61" s="214" t="s">
        <v>19</v>
      </c>
      <c r="E61" s="32"/>
      <c r="F61" s="17"/>
      <c r="G61" s="18">
        <f t="shared" si="1"/>
        <v>1888.4</v>
      </c>
      <c r="H61" s="240"/>
      <c r="I61" s="7"/>
      <c r="J61" s="7"/>
    </row>
    <row r="62" spans="1:16" ht="18" customHeight="1" x14ac:dyDescent="0.25">
      <c r="A62" s="14">
        <f t="shared" si="0"/>
        <v>54</v>
      </c>
      <c r="B62" s="8"/>
      <c r="C62" s="46" t="s">
        <v>319</v>
      </c>
      <c r="D62" s="214" t="s">
        <v>19</v>
      </c>
      <c r="E62" s="32"/>
      <c r="F62" s="17"/>
      <c r="G62" s="18">
        <f t="shared" si="1"/>
        <v>1888.4</v>
      </c>
      <c r="H62" s="240"/>
      <c r="I62" s="7"/>
      <c r="J62" s="7"/>
    </row>
    <row r="63" spans="1:16" ht="18" customHeight="1" x14ac:dyDescent="0.25">
      <c r="A63" s="14">
        <f t="shared" si="0"/>
        <v>55</v>
      </c>
      <c r="B63" s="8"/>
      <c r="C63" s="46" t="s">
        <v>319</v>
      </c>
      <c r="D63" s="214" t="s">
        <v>19</v>
      </c>
      <c r="E63" s="32"/>
      <c r="F63" s="17"/>
      <c r="G63" s="18">
        <f t="shared" si="1"/>
        <v>1888.4</v>
      </c>
      <c r="H63" s="240"/>
      <c r="I63" s="7"/>
      <c r="J63" s="7"/>
    </row>
    <row r="64" spans="1:16" ht="18" customHeight="1" x14ac:dyDescent="0.25">
      <c r="A64" s="14">
        <f t="shared" si="0"/>
        <v>56</v>
      </c>
      <c r="B64" s="8"/>
      <c r="C64" s="46" t="s">
        <v>319</v>
      </c>
      <c r="D64" s="214" t="s">
        <v>19</v>
      </c>
      <c r="E64" s="32"/>
      <c r="F64" s="17"/>
      <c r="G64" s="18">
        <f t="shared" si="1"/>
        <v>1888.4</v>
      </c>
      <c r="H64" s="240"/>
      <c r="I64" s="7"/>
      <c r="J64" s="7"/>
    </row>
    <row r="65" spans="1:10" ht="18" customHeight="1" x14ac:dyDescent="0.25">
      <c r="A65" s="14">
        <f t="shared" si="0"/>
        <v>57</v>
      </c>
      <c r="B65" s="8"/>
      <c r="C65" s="46" t="s">
        <v>319</v>
      </c>
      <c r="D65" s="214" t="s">
        <v>19</v>
      </c>
      <c r="E65" s="32"/>
      <c r="F65" s="17"/>
      <c r="G65" s="18">
        <f t="shared" si="1"/>
        <v>1888.4</v>
      </c>
      <c r="H65" s="240"/>
      <c r="I65" s="7"/>
      <c r="J65" s="140"/>
    </row>
    <row r="66" spans="1:10" ht="18" customHeight="1" x14ac:dyDescent="0.25">
      <c r="A66" s="14">
        <f t="shared" si="0"/>
        <v>58</v>
      </c>
      <c r="B66" s="8"/>
      <c r="C66" s="46" t="s">
        <v>319</v>
      </c>
      <c r="D66" s="214" t="s">
        <v>19</v>
      </c>
      <c r="E66" s="32"/>
      <c r="F66" s="17"/>
      <c r="G66" s="18">
        <f t="shared" si="1"/>
        <v>1888.4</v>
      </c>
      <c r="H66" s="240"/>
      <c r="I66" s="7"/>
      <c r="J66" s="7"/>
    </row>
    <row r="67" spans="1:10" ht="18" customHeight="1" x14ac:dyDescent="0.25">
      <c r="A67" s="14">
        <f t="shared" si="0"/>
        <v>59</v>
      </c>
      <c r="B67" s="8"/>
      <c r="C67" s="46" t="s">
        <v>319</v>
      </c>
      <c r="D67" s="214" t="s">
        <v>19</v>
      </c>
      <c r="E67" s="32"/>
      <c r="F67" s="17"/>
      <c r="G67" s="18">
        <f>+G66+E67-F67</f>
        <v>1888.4</v>
      </c>
      <c r="H67" s="240"/>
      <c r="I67" s="7"/>
      <c r="J67" s="7"/>
    </row>
    <row r="68" spans="1:10" ht="18" customHeight="1" x14ac:dyDescent="0.25">
      <c r="A68" s="14">
        <f t="shared" si="0"/>
        <v>60</v>
      </c>
      <c r="B68" s="8"/>
      <c r="C68" s="46" t="s">
        <v>319</v>
      </c>
      <c r="D68" s="214" t="s">
        <v>19</v>
      </c>
      <c r="E68" s="32"/>
      <c r="F68" s="17"/>
      <c r="G68" s="18">
        <f>+G67+E68-F68</f>
        <v>1888.4</v>
      </c>
      <c r="H68" s="240"/>
      <c r="I68" s="7"/>
      <c r="J68" s="7"/>
    </row>
    <row r="69" spans="1:10" ht="18" customHeight="1" x14ac:dyDescent="0.25">
      <c r="A69" s="14">
        <f t="shared" si="0"/>
        <v>61</v>
      </c>
      <c r="B69" s="8"/>
      <c r="C69" s="46" t="s">
        <v>319</v>
      </c>
      <c r="D69" s="214" t="s">
        <v>19</v>
      </c>
      <c r="E69" s="32"/>
      <c r="F69" s="17"/>
      <c r="G69" s="18">
        <f>+G68+E69-F69</f>
        <v>1888.4</v>
      </c>
      <c r="H69" s="240"/>
      <c r="I69" s="7"/>
      <c r="J69" s="7"/>
    </row>
    <row r="70" spans="1:10" ht="18" customHeight="1" x14ac:dyDescent="0.25">
      <c r="A70" s="14">
        <f t="shared" si="0"/>
        <v>62</v>
      </c>
      <c r="B70" s="8"/>
      <c r="C70" s="46" t="s">
        <v>319</v>
      </c>
      <c r="D70" s="214" t="s">
        <v>19</v>
      </c>
      <c r="E70" s="32"/>
      <c r="F70" s="17"/>
      <c r="G70" s="18">
        <f t="shared" si="1"/>
        <v>1888.4</v>
      </c>
      <c r="H70" s="240"/>
      <c r="I70" s="7"/>
      <c r="J70" s="7"/>
    </row>
    <row r="71" spans="1:10" ht="18" customHeight="1" x14ac:dyDescent="0.25">
      <c r="A71" s="14">
        <f t="shared" si="0"/>
        <v>63</v>
      </c>
      <c r="B71" s="8"/>
      <c r="C71" s="46" t="s">
        <v>319</v>
      </c>
      <c r="D71" s="214" t="s">
        <v>19</v>
      </c>
      <c r="E71" s="32"/>
      <c r="F71" s="17"/>
      <c r="G71" s="18">
        <f t="shared" si="1"/>
        <v>1888.4</v>
      </c>
      <c r="H71" s="240"/>
      <c r="I71" s="7"/>
      <c r="J71" s="7"/>
    </row>
    <row r="72" spans="1:10" ht="18" customHeight="1" x14ac:dyDescent="0.25">
      <c r="A72" s="14">
        <f>+A71+1</f>
        <v>64</v>
      </c>
      <c r="B72" s="8"/>
      <c r="C72" s="46" t="s">
        <v>319</v>
      </c>
      <c r="D72" s="214" t="s">
        <v>19</v>
      </c>
      <c r="E72" s="32"/>
      <c r="F72" s="17"/>
      <c r="G72" s="18">
        <f t="shared" si="1"/>
        <v>1888.4</v>
      </c>
      <c r="H72" s="240"/>
      <c r="I72" s="7"/>
      <c r="J72" s="7"/>
    </row>
    <row r="73" spans="1:10" ht="18" customHeight="1" x14ac:dyDescent="0.25">
      <c r="A73" s="14">
        <f t="shared" si="0"/>
        <v>65</v>
      </c>
      <c r="B73" s="8"/>
      <c r="C73" s="46" t="s">
        <v>319</v>
      </c>
      <c r="D73" s="214" t="s">
        <v>19</v>
      </c>
      <c r="E73" s="32"/>
      <c r="F73" s="17"/>
      <c r="G73" s="18">
        <f t="shared" si="1"/>
        <v>1888.4</v>
      </c>
      <c r="H73" s="240"/>
      <c r="I73" s="7"/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319</v>
      </c>
      <c r="D74" s="214" t="s">
        <v>19</v>
      </c>
      <c r="E74" s="32"/>
      <c r="F74" s="17"/>
      <c r="G74" s="18">
        <f t="shared" ref="G74:G91" si="3">+G73+E74-F74</f>
        <v>1888.4</v>
      </c>
      <c r="H74" s="240"/>
      <c r="I74" s="7"/>
      <c r="J74" s="7"/>
    </row>
    <row r="75" spans="1:10" ht="18" customHeight="1" x14ac:dyDescent="0.25">
      <c r="A75" s="14">
        <f t="shared" si="2"/>
        <v>67</v>
      </c>
      <c r="B75" s="8"/>
      <c r="C75" s="46" t="s">
        <v>319</v>
      </c>
      <c r="D75" s="214" t="s">
        <v>19</v>
      </c>
      <c r="E75" s="32"/>
      <c r="F75" s="17"/>
      <c r="G75" s="18">
        <f t="shared" si="3"/>
        <v>1888.4</v>
      </c>
      <c r="H75" s="240"/>
      <c r="I75" s="7"/>
      <c r="J75" s="7"/>
    </row>
    <row r="76" spans="1:10" ht="18" customHeight="1" x14ac:dyDescent="0.25">
      <c r="A76" s="14">
        <f t="shared" si="2"/>
        <v>68</v>
      </c>
      <c r="B76" s="8"/>
      <c r="C76" s="46" t="s">
        <v>319</v>
      </c>
      <c r="D76" s="214" t="s">
        <v>19</v>
      </c>
      <c r="E76" s="32"/>
      <c r="F76" s="17"/>
      <c r="G76" s="18">
        <f t="shared" si="3"/>
        <v>1888.4</v>
      </c>
      <c r="H76" s="240"/>
      <c r="I76" s="7"/>
      <c r="J76" s="7"/>
    </row>
    <row r="77" spans="1:10" ht="18" customHeight="1" x14ac:dyDescent="0.25">
      <c r="A77" s="14">
        <f t="shared" si="2"/>
        <v>69</v>
      </c>
      <c r="B77" s="8"/>
      <c r="C77" s="46" t="s">
        <v>319</v>
      </c>
      <c r="D77" s="214" t="s">
        <v>19</v>
      </c>
      <c r="E77" s="32"/>
      <c r="F77" s="17"/>
      <c r="G77" s="18">
        <f t="shared" si="3"/>
        <v>1888.4</v>
      </c>
      <c r="H77" s="240"/>
      <c r="I77" s="7"/>
      <c r="J77" s="7"/>
    </row>
    <row r="78" spans="1:10" ht="18" customHeight="1" x14ac:dyDescent="0.25">
      <c r="A78" s="14">
        <f t="shared" si="2"/>
        <v>70</v>
      </c>
      <c r="B78" s="8"/>
      <c r="C78" s="46" t="s">
        <v>319</v>
      </c>
      <c r="D78" s="214" t="s">
        <v>19</v>
      </c>
      <c r="E78" s="32"/>
      <c r="F78" s="17"/>
      <c r="G78" s="18">
        <f t="shared" si="3"/>
        <v>1888.4</v>
      </c>
      <c r="H78" s="240"/>
      <c r="I78" s="7"/>
      <c r="J78" s="7"/>
    </row>
    <row r="79" spans="1:10" ht="18" customHeight="1" x14ac:dyDescent="0.25">
      <c r="A79" s="14">
        <f t="shared" si="2"/>
        <v>71</v>
      </c>
      <c r="B79" s="8"/>
      <c r="C79" s="46" t="s">
        <v>319</v>
      </c>
      <c r="D79" s="214" t="s">
        <v>19</v>
      </c>
      <c r="E79" s="32"/>
      <c r="F79" s="17"/>
      <c r="G79" s="18">
        <f t="shared" si="3"/>
        <v>1888.4</v>
      </c>
      <c r="H79" s="240"/>
      <c r="I79" s="7"/>
      <c r="J79" s="7"/>
    </row>
    <row r="80" spans="1:10" ht="18" customHeight="1" x14ac:dyDescent="0.25">
      <c r="A80" s="14">
        <f t="shared" si="2"/>
        <v>72</v>
      </c>
      <c r="B80" s="8"/>
      <c r="C80" s="46" t="s">
        <v>319</v>
      </c>
      <c r="D80" s="214" t="s">
        <v>19</v>
      </c>
      <c r="E80" s="32"/>
      <c r="F80" s="17"/>
      <c r="G80" s="18">
        <f t="shared" si="3"/>
        <v>1888.4</v>
      </c>
      <c r="H80" s="240"/>
      <c r="I80" s="7"/>
      <c r="J80" s="7"/>
    </row>
    <row r="81" spans="1:17" ht="18" customHeight="1" x14ac:dyDescent="0.25">
      <c r="A81" s="14">
        <f t="shared" si="2"/>
        <v>73</v>
      </c>
      <c r="B81" s="8"/>
      <c r="C81" s="46" t="s">
        <v>319</v>
      </c>
      <c r="D81" s="214" t="s">
        <v>19</v>
      </c>
      <c r="E81" s="32"/>
      <c r="F81" s="17"/>
      <c r="G81" s="18">
        <f t="shared" si="3"/>
        <v>1888.4</v>
      </c>
      <c r="H81" s="240"/>
      <c r="I81" s="7"/>
      <c r="J81" s="7"/>
    </row>
    <row r="82" spans="1:17" ht="18" customHeight="1" x14ac:dyDescent="0.25">
      <c r="A82" s="14">
        <f t="shared" si="2"/>
        <v>74</v>
      </c>
      <c r="B82" s="8"/>
      <c r="C82" s="46" t="s">
        <v>319</v>
      </c>
      <c r="D82" s="214" t="s">
        <v>19</v>
      </c>
      <c r="E82" s="32"/>
      <c r="F82" s="17"/>
      <c r="G82" s="18">
        <f t="shared" si="3"/>
        <v>1888.4</v>
      </c>
      <c r="H82" s="240"/>
      <c r="I82" s="7"/>
      <c r="J82" s="7"/>
    </row>
    <row r="83" spans="1:17" ht="18" customHeight="1" x14ac:dyDescent="0.25">
      <c r="A83" s="14">
        <f t="shared" si="2"/>
        <v>75</v>
      </c>
      <c r="B83" s="8"/>
      <c r="C83" s="46" t="s">
        <v>319</v>
      </c>
      <c r="D83" s="214" t="s">
        <v>19</v>
      </c>
      <c r="E83" s="32"/>
      <c r="F83" s="27"/>
      <c r="G83" s="18">
        <f t="shared" si="3"/>
        <v>1888.4</v>
      </c>
      <c r="H83" s="240"/>
      <c r="I83" s="7"/>
      <c r="J83" s="7"/>
    </row>
    <row r="84" spans="1:17" ht="18" customHeight="1" x14ac:dyDescent="0.25">
      <c r="A84" s="14">
        <f t="shared" si="2"/>
        <v>76</v>
      </c>
      <c r="B84" s="8"/>
      <c r="C84" s="46" t="s">
        <v>319</v>
      </c>
      <c r="D84" s="214" t="s">
        <v>19</v>
      </c>
      <c r="E84" s="32"/>
      <c r="F84" s="17"/>
      <c r="G84" s="18">
        <f t="shared" si="3"/>
        <v>1888.4</v>
      </c>
      <c r="H84" s="240"/>
      <c r="I84" s="7"/>
      <c r="J84" s="7"/>
    </row>
    <row r="85" spans="1:17" ht="18" customHeight="1" x14ac:dyDescent="0.25">
      <c r="A85" s="14">
        <f t="shared" si="2"/>
        <v>77</v>
      </c>
      <c r="B85" s="8"/>
      <c r="C85" s="46" t="s">
        <v>319</v>
      </c>
      <c r="D85" s="214" t="s">
        <v>19</v>
      </c>
      <c r="E85" s="32"/>
      <c r="F85" s="17"/>
      <c r="G85" s="18">
        <f t="shared" si="3"/>
        <v>1888.4</v>
      </c>
      <c r="H85" s="240"/>
      <c r="I85" s="7"/>
      <c r="J85" s="7"/>
    </row>
    <row r="86" spans="1:17" ht="18" customHeight="1" x14ac:dyDescent="0.25">
      <c r="A86" s="14">
        <f t="shared" si="2"/>
        <v>78</v>
      </c>
      <c r="B86" s="8"/>
      <c r="C86" s="46" t="s">
        <v>319</v>
      </c>
      <c r="D86" s="214" t="s">
        <v>19</v>
      </c>
      <c r="E86" s="32"/>
      <c r="F86" s="17"/>
      <c r="G86" s="18">
        <f t="shared" si="3"/>
        <v>1888.4</v>
      </c>
      <c r="H86" s="240"/>
      <c r="I86" s="7"/>
      <c r="J86" s="7"/>
    </row>
    <row r="87" spans="1:17" ht="18" customHeight="1" x14ac:dyDescent="0.25">
      <c r="A87" s="14">
        <f t="shared" si="2"/>
        <v>79</v>
      </c>
      <c r="B87" s="8"/>
      <c r="C87" s="46" t="s">
        <v>319</v>
      </c>
      <c r="D87" s="214" t="s">
        <v>19</v>
      </c>
      <c r="E87" s="32"/>
      <c r="F87" s="17"/>
      <c r="G87" s="18">
        <f t="shared" si="3"/>
        <v>1888.4</v>
      </c>
      <c r="H87" s="240"/>
      <c r="I87" s="7"/>
      <c r="J87" s="7"/>
    </row>
    <row r="88" spans="1:17" ht="18" customHeight="1" x14ac:dyDescent="0.25">
      <c r="A88" s="14">
        <f t="shared" si="2"/>
        <v>80</v>
      </c>
      <c r="B88" s="8"/>
      <c r="C88" s="46" t="s">
        <v>319</v>
      </c>
      <c r="D88" s="214" t="s">
        <v>19</v>
      </c>
      <c r="E88" s="32"/>
      <c r="F88" s="17"/>
      <c r="G88" s="18">
        <f t="shared" si="3"/>
        <v>1888.4</v>
      </c>
      <c r="H88" s="240"/>
      <c r="I88" s="7"/>
      <c r="J88" s="7"/>
    </row>
    <row r="89" spans="1:17" ht="18" customHeight="1" x14ac:dyDescent="0.25">
      <c r="A89" s="14">
        <f t="shared" si="2"/>
        <v>81</v>
      </c>
      <c r="B89" s="8"/>
      <c r="C89" s="46" t="s">
        <v>319</v>
      </c>
      <c r="D89" s="214" t="s">
        <v>19</v>
      </c>
      <c r="E89" s="32"/>
      <c r="F89" s="17"/>
      <c r="G89" s="18">
        <f t="shared" si="3"/>
        <v>1888.4</v>
      </c>
      <c r="H89" s="240"/>
      <c r="I89" s="7"/>
      <c r="J89" s="7"/>
    </row>
    <row r="90" spans="1:17" ht="18" customHeight="1" x14ac:dyDescent="0.25">
      <c r="A90" s="14">
        <f t="shared" si="2"/>
        <v>82</v>
      </c>
      <c r="B90" s="8"/>
      <c r="C90" s="46" t="s">
        <v>319</v>
      </c>
      <c r="D90" s="214" t="s">
        <v>19</v>
      </c>
      <c r="E90" s="32"/>
      <c r="F90" s="17"/>
      <c r="G90" s="18">
        <f t="shared" si="3"/>
        <v>1888.4</v>
      </c>
      <c r="H90" s="240"/>
      <c r="I90" s="7"/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319</v>
      </c>
      <c r="D91" s="214" t="s">
        <v>19</v>
      </c>
      <c r="E91" s="32"/>
      <c r="F91" s="27"/>
      <c r="G91" s="18">
        <f t="shared" si="3"/>
        <v>1888.4</v>
      </c>
      <c r="H91" s="240"/>
      <c r="I91" s="7"/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319</v>
      </c>
      <c r="D92" s="214" t="s">
        <v>19</v>
      </c>
      <c r="E92" s="32"/>
      <c r="F92" s="27"/>
      <c r="G92" s="18">
        <f>+G91+E92-F92</f>
        <v>1888.4</v>
      </c>
      <c r="H92" s="240"/>
      <c r="I92" s="7"/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319</v>
      </c>
      <c r="D93" s="244" t="s">
        <v>19</v>
      </c>
      <c r="E93" s="245"/>
      <c r="F93" s="52"/>
      <c r="G93" s="246">
        <f>+G92+E93-F93</f>
        <v>1888.4</v>
      </c>
      <c r="H93" s="240"/>
      <c r="I93" s="247"/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319</v>
      </c>
      <c r="D94" s="244" t="s">
        <v>19</v>
      </c>
      <c r="E94" s="245"/>
      <c r="F94" s="52"/>
      <c r="G94" s="246">
        <f t="shared" ref="G94:G106" si="4">+G93+E94-F94</f>
        <v>1888.4</v>
      </c>
      <c r="H94" s="240"/>
      <c r="I94" s="247"/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319</v>
      </c>
      <c r="D95" s="244" t="s">
        <v>19</v>
      </c>
      <c r="E95" s="245"/>
      <c r="F95" s="52"/>
      <c r="G95" s="246">
        <f t="shared" si="4"/>
        <v>1888.4</v>
      </c>
      <c r="H95" s="240"/>
      <c r="I95" s="247"/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319</v>
      </c>
      <c r="D96" s="244" t="s">
        <v>19</v>
      </c>
      <c r="E96" s="245"/>
      <c r="F96" s="52"/>
      <c r="G96" s="246">
        <f t="shared" si="4"/>
        <v>1888.4</v>
      </c>
      <c r="H96" s="240"/>
      <c r="I96" s="247"/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319</v>
      </c>
      <c r="D97" s="244" t="s">
        <v>19</v>
      </c>
      <c r="E97" s="245"/>
      <c r="F97" s="52"/>
      <c r="G97" s="246">
        <f t="shared" si="4"/>
        <v>1888.4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319</v>
      </c>
      <c r="D98" s="244" t="s">
        <v>19</v>
      </c>
      <c r="E98" s="245"/>
      <c r="F98" s="52"/>
      <c r="G98" s="246">
        <f t="shared" si="4"/>
        <v>1888.4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319</v>
      </c>
      <c r="D99" s="244" t="s">
        <v>19</v>
      </c>
      <c r="E99" s="245"/>
      <c r="F99" s="52"/>
      <c r="G99" s="246">
        <f t="shared" si="4"/>
        <v>1888.4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319</v>
      </c>
      <c r="D100" s="244" t="s">
        <v>19</v>
      </c>
      <c r="E100" s="245"/>
      <c r="F100" s="52"/>
      <c r="G100" s="246">
        <f t="shared" si="4"/>
        <v>1888.4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319</v>
      </c>
      <c r="D101" s="244"/>
      <c r="E101" s="245"/>
      <c r="F101" s="52"/>
      <c r="G101" s="246">
        <f t="shared" si="4"/>
        <v>1888.4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46" t="s">
        <v>319</v>
      </c>
      <c r="D102" s="244"/>
      <c r="E102" s="245"/>
      <c r="F102" s="52"/>
      <c r="G102" s="246">
        <f t="shared" si="4"/>
        <v>1888.4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1888.4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1888.4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1888.4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1888.4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1888.4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2761.6</v>
      </c>
      <c r="G108" s="35">
        <f>+E108-F108+G8</f>
        <v>1888.4</v>
      </c>
      <c r="H108" s="35"/>
      <c r="I108" s="36"/>
      <c r="J108" s="7">
        <f>SUM(J9:J107)</f>
        <v>11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6782-9499-4FC1-9608-56F5AF792D87}">
  <sheetPr codeName="Sheet74"/>
  <dimension ref="A1:Q119"/>
  <sheetViews>
    <sheetView workbookViewId="0">
      <selection activeCell="F13" sqref="F13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8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</row>
    <row r="9" spans="1:12" ht="17.25" customHeight="1" x14ac:dyDescent="0.25">
      <c r="A9" s="14">
        <v>1</v>
      </c>
      <c r="B9" s="8">
        <v>45696</v>
      </c>
      <c r="C9" s="46" t="s">
        <v>351</v>
      </c>
      <c r="D9" s="214" t="s">
        <v>19</v>
      </c>
      <c r="E9" s="30">
        <v>8898.9</v>
      </c>
      <c r="F9" s="27"/>
      <c r="G9" s="18">
        <f>+G8+E9-F9</f>
        <v>8898.9</v>
      </c>
      <c r="H9" s="28" t="s">
        <v>91</v>
      </c>
      <c r="I9" s="7"/>
      <c r="J9" s="7">
        <v>10</v>
      </c>
    </row>
    <row r="10" spans="1:12" ht="17.25" customHeight="1" x14ac:dyDescent="0.25">
      <c r="A10" s="14">
        <f t="shared" ref="A10:A73" si="0">+A9+1</f>
        <v>2</v>
      </c>
      <c r="B10" s="8">
        <v>45775</v>
      </c>
      <c r="C10" s="46" t="s">
        <v>351</v>
      </c>
      <c r="D10" s="214" t="s">
        <v>19</v>
      </c>
      <c r="E10" s="11"/>
      <c r="F10" s="27">
        <v>1800</v>
      </c>
      <c r="G10" s="391">
        <f t="shared" ref="G10:G73" si="1">+G9+E10-F10</f>
        <v>7098.9</v>
      </c>
      <c r="H10" s="28" t="s">
        <v>91</v>
      </c>
      <c r="I10" s="7"/>
      <c r="J10" s="7"/>
    </row>
    <row r="11" spans="1:12" ht="18" customHeight="1" x14ac:dyDescent="0.25">
      <c r="A11" s="14">
        <f t="shared" si="0"/>
        <v>3</v>
      </c>
      <c r="B11" s="8">
        <v>45857</v>
      </c>
      <c r="C11" s="46" t="s">
        <v>351</v>
      </c>
      <c r="D11" s="214" t="s">
        <v>19</v>
      </c>
      <c r="E11" s="16"/>
      <c r="F11" s="27">
        <v>1758.3</v>
      </c>
      <c r="G11" s="18">
        <f t="shared" si="1"/>
        <v>5340.5999999999995</v>
      </c>
      <c r="H11" s="28" t="s">
        <v>91</v>
      </c>
      <c r="I11" s="7"/>
      <c r="J11" s="140"/>
      <c r="L11">
        <f>641.4+649.8+583.6+594</f>
        <v>2468.7999999999997</v>
      </c>
    </row>
    <row r="12" spans="1:12" ht="18" customHeight="1" x14ac:dyDescent="0.25">
      <c r="A12" s="14">
        <f t="shared" si="0"/>
        <v>4</v>
      </c>
      <c r="B12" s="8">
        <v>45890</v>
      </c>
      <c r="C12" s="46" t="s">
        <v>351</v>
      </c>
      <c r="D12" s="214" t="s">
        <v>19</v>
      </c>
      <c r="E12" s="16"/>
      <c r="F12" s="17">
        <v>896</v>
      </c>
      <c r="G12" s="18">
        <f t="shared" si="1"/>
        <v>4444.5999999999995</v>
      </c>
      <c r="H12" s="28" t="s">
        <v>91</v>
      </c>
      <c r="I12" s="7"/>
      <c r="J12" s="140"/>
      <c r="K12" t="s">
        <v>188</v>
      </c>
    </row>
    <row r="13" spans="1:12" ht="18" customHeight="1" x14ac:dyDescent="0.25">
      <c r="A13" s="14">
        <f t="shared" si="0"/>
        <v>5</v>
      </c>
      <c r="B13" s="205">
        <v>45891</v>
      </c>
      <c r="C13" s="46" t="s">
        <v>351</v>
      </c>
      <c r="D13" s="214" t="s">
        <v>19</v>
      </c>
      <c r="E13" s="16"/>
      <c r="F13" s="17">
        <v>894.8</v>
      </c>
      <c r="G13" s="18">
        <f t="shared" si="1"/>
        <v>3549.7999999999993</v>
      </c>
      <c r="H13" s="28" t="s">
        <v>91</v>
      </c>
      <c r="I13" s="7"/>
      <c r="J13" s="140"/>
    </row>
    <row r="14" spans="1:12" ht="18" customHeight="1" x14ac:dyDescent="0.25">
      <c r="A14" s="14">
        <f t="shared" si="0"/>
        <v>6</v>
      </c>
      <c r="B14" s="8"/>
      <c r="C14" s="46" t="s">
        <v>351</v>
      </c>
      <c r="D14" s="214" t="s">
        <v>19</v>
      </c>
      <c r="E14" s="16"/>
      <c r="F14" s="27"/>
      <c r="G14" s="18">
        <f t="shared" si="1"/>
        <v>3549.7999999999993</v>
      </c>
      <c r="H14" s="28" t="s">
        <v>91</v>
      </c>
      <c r="I14" s="7"/>
      <c r="J14" s="7"/>
    </row>
    <row r="15" spans="1:12" ht="18" customHeight="1" x14ac:dyDescent="0.25">
      <c r="A15" s="14">
        <f t="shared" si="0"/>
        <v>7</v>
      </c>
      <c r="B15" s="8"/>
      <c r="C15" s="46" t="s">
        <v>351</v>
      </c>
      <c r="D15" s="214" t="s">
        <v>19</v>
      </c>
      <c r="E15" s="16"/>
      <c r="F15" s="27"/>
      <c r="G15" s="18">
        <f t="shared" si="1"/>
        <v>3549.7999999999993</v>
      </c>
      <c r="H15" s="28" t="s">
        <v>91</v>
      </c>
      <c r="I15" s="7"/>
      <c r="J15" s="140"/>
    </row>
    <row r="16" spans="1:12" ht="18" customHeight="1" x14ac:dyDescent="0.25">
      <c r="A16" s="14">
        <f t="shared" si="0"/>
        <v>8</v>
      </c>
      <c r="B16" s="8"/>
      <c r="C16" s="46" t="s">
        <v>351</v>
      </c>
      <c r="D16" s="214" t="s">
        <v>19</v>
      </c>
      <c r="E16" s="16"/>
      <c r="F16" s="27"/>
      <c r="G16" s="18">
        <f t="shared" si="1"/>
        <v>3549.7999999999993</v>
      </c>
      <c r="H16" s="28" t="s">
        <v>91</v>
      </c>
      <c r="I16" s="7"/>
      <c r="J16" s="7"/>
    </row>
    <row r="17" spans="1:16" ht="18" customHeight="1" x14ac:dyDescent="0.25">
      <c r="A17" s="14">
        <f t="shared" si="0"/>
        <v>9</v>
      </c>
      <c r="B17" s="8"/>
      <c r="C17" s="46" t="s">
        <v>351</v>
      </c>
      <c r="D17" s="214" t="s">
        <v>19</v>
      </c>
      <c r="E17" s="30"/>
      <c r="F17" s="27"/>
      <c r="G17" s="18">
        <f t="shared" si="1"/>
        <v>3549.7999999999993</v>
      </c>
      <c r="H17" s="28" t="s">
        <v>91</v>
      </c>
      <c r="I17" s="7"/>
      <c r="J17" s="7"/>
    </row>
    <row r="18" spans="1:16" s="230" customFormat="1" ht="18" customHeight="1" x14ac:dyDescent="0.25">
      <c r="A18" s="223">
        <f>+A17+1</f>
        <v>10</v>
      </c>
      <c r="B18" s="224"/>
      <c r="C18" s="46" t="s">
        <v>351</v>
      </c>
      <c r="D18" s="226" t="s">
        <v>19</v>
      </c>
      <c r="E18" s="227"/>
      <c r="F18" s="228"/>
      <c r="G18" s="229">
        <f t="shared" si="1"/>
        <v>3549.7999999999993</v>
      </c>
      <c r="H18" s="28" t="s">
        <v>91</v>
      </c>
      <c r="I18" s="7"/>
      <c r="J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351</v>
      </c>
      <c r="D19" s="226" t="s">
        <v>19</v>
      </c>
      <c r="E19" s="231"/>
      <c r="F19" s="228"/>
      <c r="G19" s="229">
        <f t="shared" si="1"/>
        <v>3549.7999999999993</v>
      </c>
      <c r="H19" s="28" t="s">
        <v>91</v>
      </c>
      <c r="I19" s="7"/>
      <c r="J19" s="348"/>
    </row>
    <row r="20" spans="1:16" ht="18" customHeight="1" x14ac:dyDescent="0.25">
      <c r="A20" s="14">
        <f t="shared" si="0"/>
        <v>12</v>
      </c>
      <c r="B20" s="8"/>
      <c r="C20" s="46" t="s">
        <v>351</v>
      </c>
      <c r="D20" s="214" t="s">
        <v>19</v>
      </c>
      <c r="E20" s="32"/>
      <c r="F20" s="17"/>
      <c r="G20" s="18">
        <f t="shared" si="1"/>
        <v>3549.7999999999993</v>
      </c>
      <c r="H20" s="28" t="s">
        <v>91</v>
      </c>
      <c r="I20" s="7"/>
      <c r="J20" s="7"/>
      <c r="P20">
        <f>655.4+618+648+651.2+620+645+649+674+641+652+617+635+623+619</f>
        <v>8947.6</v>
      </c>
    </row>
    <row r="21" spans="1:16" ht="18" customHeight="1" x14ac:dyDescent="0.25">
      <c r="A21" s="14">
        <f t="shared" si="0"/>
        <v>13</v>
      </c>
      <c r="B21" s="8"/>
      <c r="C21" s="46" t="s">
        <v>351</v>
      </c>
      <c r="D21" s="214" t="s">
        <v>19</v>
      </c>
      <c r="E21" s="32"/>
      <c r="F21" s="27"/>
      <c r="G21" s="18">
        <f t="shared" si="1"/>
        <v>3549.7999999999993</v>
      </c>
      <c r="H21" s="28" t="s">
        <v>91</v>
      </c>
      <c r="I21" s="7"/>
      <c r="J21" s="7"/>
    </row>
    <row r="22" spans="1:16" ht="18" customHeight="1" x14ac:dyDescent="0.25">
      <c r="A22" s="14">
        <f t="shared" si="0"/>
        <v>14</v>
      </c>
      <c r="B22" s="232"/>
      <c r="C22" s="46" t="s">
        <v>351</v>
      </c>
      <c r="D22" s="234" t="s">
        <v>19</v>
      </c>
      <c r="E22" s="235"/>
      <c r="F22" s="172"/>
      <c r="G22" s="18">
        <f t="shared" si="1"/>
        <v>3549.7999999999993</v>
      </c>
      <c r="H22" s="28" t="s">
        <v>129</v>
      </c>
      <c r="I22" s="7"/>
      <c r="J22" s="7"/>
    </row>
    <row r="23" spans="1:16" ht="18" customHeight="1" x14ac:dyDescent="0.25">
      <c r="A23" s="14">
        <f t="shared" si="0"/>
        <v>15</v>
      </c>
      <c r="B23" s="8"/>
      <c r="C23" s="46" t="s">
        <v>351</v>
      </c>
      <c r="D23" s="214" t="s">
        <v>19</v>
      </c>
      <c r="E23" s="32"/>
      <c r="F23" s="17"/>
      <c r="G23" s="18">
        <f t="shared" si="1"/>
        <v>3549.7999999999993</v>
      </c>
      <c r="H23" s="28" t="s">
        <v>129</v>
      </c>
      <c r="I23" s="7"/>
      <c r="J23" s="7"/>
    </row>
    <row r="24" spans="1:16" ht="18" customHeight="1" x14ac:dyDescent="0.25">
      <c r="A24" s="14">
        <f t="shared" si="0"/>
        <v>16</v>
      </c>
      <c r="B24" s="8"/>
      <c r="C24" s="46" t="s">
        <v>351</v>
      </c>
      <c r="D24" s="214" t="s">
        <v>19</v>
      </c>
      <c r="E24" s="32"/>
      <c r="F24" s="17"/>
      <c r="G24" s="18">
        <f t="shared" si="1"/>
        <v>3549.7999999999993</v>
      </c>
      <c r="H24" s="28" t="s">
        <v>91</v>
      </c>
      <c r="I24" s="7"/>
      <c r="J24" s="7"/>
    </row>
    <row r="25" spans="1:16" ht="18" customHeight="1" x14ac:dyDescent="0.25">
      <c r="A25" s="14">
        <f t="shared" si="0"/>
        <v>17</v>
      </c>
      <c r="B25" s="8"/>
      <c r="C25" s="46" t="s">
        <v>351</v>
      </c>
      <c r="D25" s="214" t="s">
        <v>19</v>
      </c>
      <c r="E25" s="32"/>
      <c r="F25" s="17"/>
      <c r="G25" s="18">
        <f t="shared" si="1"/>
        <v>3549.7999999999993</v>
      </c>
      <c r="H25" s="28" t="s">
        <v>91</v>
      </c>
      <c r="I25" s="7"/>
      <c r="J25" s="7"/>
    </row>
    <row r="26" spans="1:16" ht="18" customHeight="1" x14ac:dyDescent="0.25">
      <c r="A26" s="14">
        <f t="shared" si="0"/>
        <v>18</v>
      </c>
      <c r="B26" s="8"/>
      <c r="C26" s="46" t="s">
        <v>351</v>
      </c>
      <c r="D26" s="214" t="s">
        <v>19</v>
      </c>
      <c r="E26" s="32"/>
      <c r="F26" s="17"/>
      <c r="G26" s="18">
        <f t="shared" si="1"/>
        <v>3549.7999999999993</v>
      </c>
      <c r="H26" s="28" t="s">
        <v>91</v>
      </c>
      <c r="I26" s="7"/>
      <c r="J26" s="7"/>
    </row>
    <row r="27" spans="1:16" ht="18" customHeight="1" x14ac:dyDescent="0.25">
      <c r="A27" s="14">
        <f>+A26+1</f>
        <v>19</v>
      </c>
      <c r="B27" s="8"/>
      <c r="C27" s="46" t="s">
        <v>351</v>
      </c>
      <c r="D27" s="214" t="s">
        <v>19</v>
      </c>
      <c r="E27" s="32"/>
      <c r="F27" s="125"/>
      <c r="G27" s="18">
        <f t="shared" si="1"/>
        <v>3549.7999999999993</v>
      </c>
      <c r="H27" s="28" t="s">
        <v>91</v>
      </c>
      <c r="I27" s="7"/>
      <c r="J27" s="7"/>
    </row>
    <row r="28" spans="1:16" ht="18" customHeight="1" x14ac:dyDescent="0.25">
      <c r="A28" s="14">
        <f t="shared" si="0"/>
        <v>20</v>
      </c>
      <c r="B28" s="8"/>
      <c r="C28" s="46" t="s">
        <v>351</v>
      </c>
      <c r="D28" s="214" t="s">
        <v>19</v>
      </c>
      <c r="E28" s="129"/>
      <c r="F28" s="17"/>
      <c r="G28" s="18">
        <f t="shared" si="1"/>
        <v>3549.7999999999993</v>
      </c>
      <c r="H28" s="28" t="s">
        <v>91</v>
      </c>
      <c r="I28" s="7"/>
      <c r="J28" s="7"/>
    </row>
    <row r="29" spans="1:16" ht="18" customHeight="1" x14ac:dyDescent="0.25">
      <c r="A29" s="14">
        <f t="shared" si="0"/>
        <v>21</v>
      </c>
      <c r="B29" s="8"/>
      <c r="C29" s="46" t="s">
        <v>351</v>
      </c>
      <c r="D29" s="214" t="s">
        <v>19</v>
      </c>
      <c r="E29" s="32"/>
      <c r="F29" s="172"/>
      <c r="G29" s="18">
        <f t="shared" si="1"/>
        <v>3549.7999999999993</v>
      </c>
      <c r="H29" s="28" t="s">
        <v>91</v>
      </c>
      <c r="I29" s="7"/>
      <c r="J29" s="7"/>
    </row>
    <row r="30" spans="1:16" ht="18" customHeight="1" x14ac:dyDescent="0.25">
      <c r="A30" s="14">
        <f t="shared" si="0"/>
        <v>22</v>
      </c>
      <c r="B30" s="8"/>
      <c r="C30" s="46" t="s">
        <v>351</v>
      </c>
      <c r="D30" s="214" t="s">
        <v>19</v>
      </c>
      <c r="E30" s="32"/>
      <c r="F30" s="125"/>
      <c r="G30" s="18">
        <f t="shared" si="1"/>
        <v>3549.7999999999993</v>
      </c>
      <c r="H30" s="28" t="s">
        <v>91</v>
      </c>
      <c r="I30" s="7"/>
      <c r="J30" s="7"/>
    </row>
    <row r="31" spans="1:16" ht="18" customHeight="1" x14ac:dyDescent="0.25">
      <c r="A31" s="14">
        <f t="shared" si="0"/>
        <v>23</v>
      </c>
      <c r="B31" s="8"/>
      <c r="C31" s="46" t="s">
        <v>351</v>
      </c>
      <c r="D31" s="214" t="s">
        <v>19</v>
      </c>
      <c r="E31" s="32"/>
      <c r="F31" s="152"/>
      <c r="G31" s="18">
        <f t="shared" si="1"/>
        <v>3549.7999999999993</v>
      </c>
      <c r="H31" s="28" t="s">
        <v>91</v>
      </c>
      <c r="I31" s="7"/>
      <c r="J31" s="7"/>
    </row>
    <row r="32" spans="1:16" ht="17.25" customHeight="1" x14ac:dyDescent="0.25">
      <c r="A32" s="14">
        <f t="shared" si="0"/>
        <v>24</v>
      </c>
      <c r="B32" s="8"/>
      <c r="C32" s="46" t="s">
        <v>351</v>
      </c>
      <c r="D32" s="214" t="s">
        <v>19</v>
      </c>
      <c r="E32" s="13"/>
      <c r="F32" s="17"/>
      <c r="G32" s="18">
        <f t="shared" si="1"/>
        <v>3549.7999999999993</v>
      </c>
      <c r="H32" s="28" t="s">
        <v>91</v>
      </c>
      <c r="I32" s="7"/>
      <c r="J32" s="7"/>
    </row>
    <row r="33" spans="1:16" ht="17.25" customHeight="1" x14ac:dyDescent="0.25">
      <c r="A33" s="14">
        <f t="shared" si="0"/>
        <v>25</v>
      </c>
      <c r="B33" s="44"/>
      <c r="C33" s="46" t="s">
        <v>351</v>
      </c>
      <c r="D33" s="214" t="s">
        <v>19</v>
      </c>
      <c r="E33" s="13"/>
      <c r="F33" s="17"/>
      <c r="G33" s="18">
        <f t="shared" si="1"/>
        <v>3549.7999999999993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351</v>
      </c>
      <c r="D34" s="214" t="s">
        <v>19</v>
      </c>
      <c r="E34" s="32"/>
      <c r="F34" s="40"/>
      <c r="G34" s="18">
        <f t="shared" si="1"/>
        <v>3549.7999999999993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351</v>
      </c>
      <c r="D35" s="214" t="s">
        <v>19</v>
      </c>
      <c r="E35" s="32"/>
      <c r="F35" s="40"/>
      <c r="G35" s="18">
        <f t="shared" si="1"/>
        <v>3549.7999999999993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351</v>
      </c>
      <c r="D36" s="214" t="s">
        <v>19</v>
      </c>
      <c r="E36" s="32"/>
      <c r="F36" s="40"/>
      <c r="G36" s="18">
        <f t="shared" si="1"/>
        <v>3549.7999999999993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351</v>
      </c>
      <c r="D37" s="214" t="s">
        <v>19</v>
      </c>
      <c r="E37" s="32"/>
      <c r="F37" s="17"/>
      <c r="G37" s="18">
        <f t="shared" si="1"/>
        <v>3549.7999999999993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351</v>
      </c>
      <c r="D38" s="214" t="s">
        <v>19</v>
      </c>
      <c r="E38" s="32"/>
      <c r="F38" s="17"/>
      <c r="G38" s="18">
        <f t="shared" si="1"/>
        <v>3549.7999999999993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351</v>
      </c>
      <c r="D39" s="214" t="s">
        <v>19</v>
      </c>
      <c r="E39" s="32"/>
      <c r="F39" s="17"/>
      <c r="G39" s="18">
        <f t="shared" si="1"/>
        <v>3549.7999999999993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351</v>
      </c>
      <c r="D40" s="214" t="s">
        <v>19</v>
      </c>
      <c r="E40" s="32"/>
      <c r="F40" s="17"/>
      <c r="G40" s="18">
        <f t="shared" si="1"/>
        <v>3549.7999999999993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351</v>
      </c>
      <c r="D41" s="214" t="s">
        <v>19</v>
      </c>
      <c r="E41" s="32"/>
      <c r="F41" s="172"/>
      <c r="G41" s="18">
        <f t="shared" si="1"/>
        <v>3549.7999999999993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351</v>
      </c>
      <c r="D42" s="214" t="s">
        <v>19</v>
      </c>
      <c r="E42" s="32"/>
      <c r="F42" s="17"/>
      <c r="G42" s="18">
        <f t="shared" si="1"/>
        <v>3549.7999999999993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351</v>
      </c>
      <c r="D43" s="214" t="s">
        <v>19</v>
      </c>
      <c r="E43" s="32"/>
      <c r="F43" s="17"/>
      <c r="G43" s="18">
        <f t="shared" si="1"/>
        <v>3549.7999999999993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351</v>
      </c>
      <c r="D44" s="214" t="s">
        <v>19</v>
      </c>
      <c r="E44" s="32"/>
      <c r="F44" s="17"/>
      <c r="G44" s="18">
        <f t="shared" si="1"/>
        <v>3549.7999999999993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351</v>
      </c>
      <c r="D45" s="214" t="s">
        <v>19</v>
      </c>
      <c r="E45" s="32"/>
      <c r="F45" s="17"/>
      <c r="G45" s="18">
        <f t="shared" si="1"/>
        <v>3549.7999999999993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351</v>
      </c>
      <c r="D46" s="214" t="s">
        <v>19</v>
      </c>
      <c r="E46" s="32"/>
      <c r="F46" s="17"/>
      <c r="G46" s="18">
        <f t="shared" si="1"/>
        <v>3549.7999999999993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351</v>
      </c>
      <c r="D47" s="214" t="s">
        <v>19</v>
      </c>
      <c r="E47" s="32"/>
      <c r="F47" s="17"/>
      <c r="G47" s="18">
        <f t="shared" si="1"/>
        <v>3549.7999999999993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351</v>
      </c>
      <c r="D48" s="214" t="s">
        <v>19</v>
      </c>
      <c r="E48" s="32"/>
      <c r="F48" s="17"/>
      <c r="G48" s="18">
        <f t="shared" si="1"/>
        <v>3549.7999999999993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351</v>
      </c>
      <c r="D49" s="214" t="s">
        <v>19</v>
      </c>
      <c r="E49" s="32"/>
      <c r="F49" s="17"/>
      <c r="G49" s="18">
        <f t="shared" si="1"/>
        <v>3549.7999999999993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351</v>
      </c>
      <c r="D50" s="237" t="s">
        <v>19</v>
      </c>
      <c r="E50" s="175"/>
      <c r="F50" s="172"/>
      <c r="G50" s="238">
        <f t="shared" si="1"/>
        <v>3549.7999999999993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351</v>
      </c>
      <c r="D51" s="214" t="s">
        <v>19</v>
      </c>
      <c r="E51" s="32"/>
      <c r="F51" s="17"/>
      <c r="G51" s="18">
        <f t="shared" si="1"/>
        <v>3549.7999999999993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351</v>
      </c>
      <c r="D52" s="214" t="s">
        <v>19</v>
      </c>
      <c r="E52" s="32"/>
      <c r="F52" s="17"/>
      <c r="G52" s="18">
        <f t="shared" si="1"/>
        <v>3549.7999999999993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351</v>
      </c>
      <c r="D53" s="214" t="s">
        <v>19</v>
      </c>
      <c r="E53" s="32"/>
      <c r="F53" s="17"/>
      <c r="G53" s="18">
        <f t="shared" si="1"/>
        <v>3549.7999999999993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351</v>
      </c>
      <c r="D54" s="214" t="s">
        <v>19</v>
      </c>
      <c r="E54" s="32"/>
      <c r="F54" s="17"/>
      <c r="G54" s="18">
        <f t="shared" si="1"/>
        <v>3549.7999999999993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351</v>
      </c>
      <c r="D55" s="214" t="s">
        <v>19</v>
      </c>
      <c r="E55" s="32"/>
      <c r="F55" s="17"/>
      <c r="G55" s="18">
        <f t="shared" si="1"/>
        <v>3549.7999999999993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351</v>
      </c>
      <c r="D56" s="214" t="s">
        <v>19</v>
      </c>
      <c r="E56" s="32"/>
      <c r="F56" s="17"/>
      <c r="G56" s="18">
        <f t="shared" si="1"/>
        <v>3549.7999999999993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351</v>
      </c>
      <c r="D57" s="214" t="s">
        <v>19</v>
      </c>
      <c r="E57" s="32"/>
      <c r="F57" s="17"/>
      <c r="G57" s="18">
        <f t="shared" si="1"/>
        <v>3549.7999999999993</v>
      </c>
      <c r="H57" s="240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351</v>
      </c>
      <c r="D58" s="214" t="s">
        <v>19</v>
      </c>
      <c r="E58" s="32"/>
      <c r="F58" s="17"/>
      <c r="G58" s="18">
        <f t="shared" si="1"/>
        <v>3549.7999999999993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351</v>
      </c>
      <c r="D59" s="214" t="s">
        <v>19</v>
      </c>
      <c r="E59" s="32"/>
      <c r="F59" s="17"/>
      <c r="G59" s="18">
        <f t="shared" si="1"/>
        <v>3549.7999999999993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351</v>
      </c>
      <c r="D60" s="214" t="s">
        <v>19</v>
      </c>
      <c r="E60" s="32"/>
      <c r="F60" s="17"/>
      <c r="G60" s="18">
        <f t="shared" si="1"/>
        <v>3549.7999999999993</v>
      </c>
      <c r="H60" s="240"/>
      <c r="I60" s="7"/>
      <c r="J60" s="7"/>
    </row>
    <row r="61" spans="1:16" ht="18" customHeight="1" x14ac:dyDescent="0.25">
      <c r="A61" s="14">
        <f t="shared" si="0"/>
        <v>53</v>
      </c>
      <c r="B61" s="8"/>
      <c r="C61" s="46" t="s">
        <v>351</v>
      </c>
      <c r="D61" s="214" t="s">
        <v>19</v>
      </c>
      <c r="E61" s="32"/>
      <c r="F61" s="17"/>
      <c r="G61" s="18">
        <f t="shared" si="1"/>
        <v>3549.7999999999993</v>
      </c>
      <c r="H61" s="240"/>
      <c r="I61" s="7"/>
      <c r="J61" s="7"/>
    </row>
    <row r="62" spans="1:16" ht="18" customHeight="1" x14ac:dyDescent="0.25">
      <c r="A62" s="14">
        <f t="shared" si="0"/>
        <v>54</v>
      </c>
      <c r="B62" s="8"/>
      <c r="C62" s="46" t="s">
        <v>351</v>
      </c>
      <c r="D62" s="214" t="s">
        <v>19</v>
      </c>
      <c r="E62" s="32"/>
      <c r="F62" s="17"/>
      <c r="G62" s="18">
        <f t="shared" si="1"/>
        <v>3549.7999999999993</v>
      </c>
      <c r="H62" s="240"/>
      <c r="I62" s="7"/>
      <c r="J62" s="7"/>
    </row>
    <row r="63" spans="1:16" ht="18" customHeight="1" x14ac:dyDescent="0.25">
      <c r="A63" s="14">
        <f t="shared" si="0"/>
        <v>55</v>
      </c>
      <c r="B63" s="8"/>
      <c r="C63" s="46" t="s">
        <v>351</v>
      </c>
      <c r="D63" s="214" t="s">
        <v>19</v>
      </c>
      <c r="E63" s="32"/>
      <c r="F63" s="17"/>
      <c r="G63" s="18">
        <f t="shared" si="1"/>
        <v>3549.7999999999993</v>
      </c>
      <c r="H63" s="240"/>
      <c r="I63" s="7"/>
      <c r="J63" s="7"/>
    </row>
    <row r="64" spans="1:16" ht="18" customHeight="1" x14ac:dyDescent="0.25">
      <c r="A64" s="14">
        <f t="shared" si="0"/>
        <v>56</v>
      </c>
      <c r="B64" s="8"/>
      <c r="C64" s="46" t="s">
        <v>351</v>
      </c>
      <c r="D64" s="214" t="s">
        <v>19</v>
      </c>
      <c r="E64" s="32"/>
      <c r="F64" s="17"/>
      <c r="G64" s="18">
        <f t="shared" si="1"/>
        <v>3549.7999999999993</v>
      </c>
      <c r="H64" s="240"/>
      <c r="I64" s="7"/>
      <c r="J64" s="7"/>
    </row>
    <row r="65" spans="1:10" ht="18" customHeight="1" x14ac:dyDescent="0.25">
      <c r="A65" s="14">
        <f t="shared" si="0"/>
        <v>57</v>
      </c>
      <c r="B65" s="8"/>
      <c r="C65" s="46" t="s">
        <v>351</v>
      </c>
      <c r="D65" s="214" t="s">
        <v>19</v>
      </c>
      <c r="E65" s="32"/>
      <c r="F65" s="17"/>
      <c r="G65" s="18">
        <f t="shared" si="1"/>
        <v>3549.7999999999993</v>
      </c>
      <c r="H65" s="240"/>
      <c r="I65" s="7"/>
      <c r="J65" s="140"/>
    </row>
    <row r="66" spans="1:10" ht="18" customHeight="1" x14ac:dyDescent="0.25">
      <c r="A66" s="14">
        <f t="shared" si="0"/>
        <v>58</v>
      </c>
      <c r="B66" s="8"/>
      <c r="C66" s="46" t="s">
        <v>351</v>
      </c>
      <c r="D66" s="214" t="s">
        <v>19</v>
      </c>
      <c r="E66" s="32"/>
      <c r="F66" s="17"/>
      <c r="G66" s="18">
        <f t="shared" si="1"/>
        <v>3549.7999999999993</v>
      </c>
      <c r="H66" s="240"/>
      <c r="I66" s="7"/>
      <c r="J66" s="7"/>
    </row>
    <row r="67" spans="1:10" ht="18" customHeight="1" x14ac:dyDescent="0.25">
      <c r="A67" s="14">
        <f t="shared" si="0"/>
        <v>59</v>
      </c>
      <c r="B67" s="8"/>
      <c r="C67" s="46" t="s">
        <v>351</v>
      </c>
      <c r="D67" s="214" t="s">
        <v>19</v>
      </c>
      <c r="E67" s="32"/>
      <c r="F67" s="17"/>
      <c r="G67" s="18">
        <f>+G66+E67-F67</f>
        <v>3549.7999999999993</v>
      </c>
      <c r="H67" s="240"/>
      <c r="I67" s="7"/>
      <c r="J67" s="7"/>
    </row>
    <row r="68" spans="1:10" ht="18" customHeight="1" x14ac:dyDescent="0.25">
      <c r="A68" s="14">
        <f t="shared" si="0"/>
        <v>60</v>
      </c>
      <c r="B68" s="8"/>
      <c r="C68" s="46" t="s">
        <v>351</v>
      </c>
      <c r="D68" s="214" t="s">
        <v>19</v>
      </c>
      <c r="E68" s="32"/>
      <c r="F68" s="17"/>
      <c r="G68" s="18">
        <f>+G67+E68-F68</f>
        <v>3549.7999999999993</v>
      </c>
      <c r="H68" s="240"/>
      <c r="I68" s="7"/>
      <c r="J68" s="7"/>
    </row>
    <row r="69" spans="1:10" ht="18" customHeight="1" x14ac:dyDescent="0.25">
      <c r="A69" s="14">
        <f t="shared" si="0"/>
        <v>61</v>
      </c>
      <c r="B69" s="8"/>
      <c r="C69" s="46" t="s">
        <v>351</v>
      </c>
      <c r="D69" s="214" t="s">
        <v>19</v>
      </c>
      <c r="E69" s="32"/>
      <c r="F69" s="17"/>
      <c r="G69" s="18">
        <f>+G68+E69-F69</f>
        <v>3549.7999999999993</v>
      </c>
      <c r="H69" s="240"/>
      <c r="I69" s="7"/>
      <c r="J69" s="7"/>
    </row>
    <row r="70" spans="1:10" ht="18" customHeight="1" x14ac:dyDescent="0.25">
      <c r="A70" s="14">
        <f t="shared" si="0"/>
        <v>62</v>
      </c>
      <c r="B70" s="8"/>
      <c r="C70" s="46" t="s">
        <v>351</v>
      </c>
      <c r="D70" s="214" t="s">
        <v>19</v>
      </c>
      <c r="E70" s="32"/>
      <c r="F70" s="17"/>
      <c r="G70" s="18">
        <f t="shared" si="1"/>
        <v>3549.7999999999993</v>
      </c>
      <c r="H70" s="240"/>
      <c r="I70" s="7"/>
      <c r="J70" s="7"/>
    </row>
    <row r="71" spans="1:10" ht="18" customHeight="1" x14ac:dyDescent="0.25">
      <c r="A71" s="14">
        <f t="shared" si="0"/>
        <v>63</v>
      </c>
      <c r="B71" s="8"/>
      <c r="C71" s="46" t="s">
        <v>351</v>
      </c>
      <c r="D71" s="214" t="s">
        <v>19</v>
      </c>
      <c r="E71" s="32"/>
      <c r="F71" s="17"/>
      <c r="G71" s="18">
        <f t="shared" si="1"/>
        <v>3549.7999999999993</v>
      </c>
      <c r="H71" s="240"/>
      <c r="I71" s="7"/>
      <c r="J71" s="7"/>
    </row>
    <row r="72" spans="1:10" ht="18" customHeight="1" x14ac:dyDescent="0.25">
      <c r="A72" s="14">
        <f>+A71+1</f>
        <v>64</v>
      </c>
      <c r="B72" s="8"/>
      <c r="C72" s="46" t="s">
        <v>351</v>
      </c>
      <c r="D72" s="214" t="s">
        <v>19</v>
      </c>
      <c r="E72" s="32"/>
      <c r="F72" s="17"/>
      <c r="G72" s="18">
        <f t="shared" si="1"/>
        <v>3549.7999999999993</v>
      </c>
      <c r="H72" s="240"/>
      <c r="I72" s="7"/>
      <c r="J72" s="7"/>
    </row>
    <row r="73" spans="1:10" ht="18" customHeight="1" x14ac:dyDescent="0.25">
      <c r="A73" s="14">
        <f t="shared" si="0"/>
        <v>65</v>
      </c>
      <c r="B73" s="8"/>
      <c r="C73" s="46" t="s">
        <v>351</v>
      </c>
      <c r="D73" s="214" t="s">
        <v>19</v>
      </c>
      <c r="E73" s="32"/>
      <c r="F73" s="17"/>
      <c r="G73" s="18">
        <f t="shared" si="1"/>
        <v>3549.7999999999993</v>
      </c>
      <c r="H73" s="240"/>
      <c r="I73" s="7"/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351</v>
      </c>
      <c r="D74" s="214" t="s">
        <v>19</v>
      </c>
      <c r="E74" s="32"/>
      <c r="F74" s="17"/>
      <c r="G74" s="18">
        <f t="shared" ref="G74:G91" si="3">+G73+E74-F74</f>
        <v>3549.7999999999993</v>
      </c>
      <c r="H74" s="240"/>
      <c r="I74" s="7"/>
      <c r="J74" s="7"/>
    </row>
    <row r="75" spans="1:10" ht="18" customHeight="1" x14ac:dyDescent="0.25">
      <c r="A75" s="14">
        <f t="shared" si="2"/>
        <v>67</v>
      </c>
      <c r="B75" s="8"/>
      <c r="C75" s="46" t="s">
        <v>351</v>
      </c>
      <c r="D75" s="214" t="s">
        <v>19</v>
      </c>
      <c r="E75" s="32"/>
      <c r="F75" s="17"/>
      <c r="G75" s="18">
        <f t="shared" si="3"/>
        <v>3549.7999999999993</v>
      </c>
      <c r="H75" s="240"/>
      <c r="I75" s="7"/>
      <c r="J75" s="7"/>
    </row>
    <row r="76" spans="1:10" ht="18" customHeight="1" x14ac:dyDescent="0.25">
      <c r="A76" s="14">
        <f t="shared" si="2"/>
        <v>68</v>
      </c>
      <c r="B76" s="8"/>
      <c r="C76" s="46" t="s">
        <v>351</v>
      </c>
      <c r="D76" s="214" t="s">
        <v>19</v>
      </c>
      <c r="E76" s="32"/>
      <c r="F76" s="17"/>
      <c r="G76" s="18">
        <f t="shared" si="3"/>
        <v>3549.7999999999993</v>
      </c>
      <c r="H76" s="240"/>
      <c r="I76" s="7"/>
      <c r="J76" s="7"/>
    </row>
    <row r="77" spans="1:10" ht="18" customHeight="1" x14ac:dyDescent="0.25">
      <c r="A77" s="14">
        <f t="shared" si="2"/>
        <v>69</v>
      </c>
      <c r="B77" s="8"/>
      <c r="C77" s="46" t="s">
        <v>351</v>
      </c>
      <c r="D77" s="214" t="s">
        <v>19</v>
      </c>
      <c r="E77" s="32"/>
      <c r="F77" s="17"/>
      <c r="G77" s="18">
        <f t="shared" si="3"/>
        <v>3549.7999999999993</v>
      </c>
      <c r="H77" s="240"/>
      <c r="I77" s="7"/>
      <c r="J77" s="7"/>
    </row>
    <row r="78" spans="1:10" ht="18" customHeight="1" x14ac:dyDescent="0.25">
      <c r="A78" s="14">
        <f t="shared" si="2"/>
        <v>70</v>
      </c>
      <c r="B78" s="8"/>
      <c r="C78" s="46" t="s">
        <v>351</v>
      </c>
      <c r="D78" s="214" t="s">
        <v>19</v>
      </c>
      <c r="E78" s="32"/>
      <c r="F78" s="17"/>
      <c r="G78" s="18">
        <f t="shared" si="3"/>
        <v>3549.7999999999993</v>
      </c>
      <c r="H78" s="240"/>
      <c r="I78" s="7"/>
      <c r="J78" s="7"/>
    </row>
    <row r="79" spans="1:10" ht="18" customHeight="1" x14ac:dyDescent="0.25">
      <c r="A79" s="14">
        <f t="shared" si="2"/>
        <v>71</v>
      </c>
      <c r="B79" s="8"/>
      <c r="C79" s="46" t="s">
        <v>351</v>
      </c>
      <c r="D79" s="214" t="s">
        <v>19</v>
      </c>
      <c r="E79" s="32"/>
      <c r="F79" s="17"/>
      <c r="G79" s="18">
        <f t="shared" si="3"/>
        <v>3549.7999999999993</v>
      </c>
      <c r="H79" s="240"/>
      <c r="I79" s="7"/>
      <c r="J79" s="7"/>
    </row>
    <row r="80" spans="1:10" ht="18" customHeight="1" x14ac:dyDescent="0.25">
      <c r="A80" s="14">
        <f t="shared" si="2"/>
        <v>72</v>
      </c>
      <c r="B80" s="8"/>
      <c r="C80" s="46" t="s">
        <v>351</v>
      </c>
      <c r="D80" s="214" t="s">
        <v>19</v>
      </c>
      <c r="E80" s="32"/>
      <c r="F80" s="17"/>
      <c r="G80" s="18">
        <f t="shared" si="3"/>
        <v>3549.7999999999993</v>
      </c>
      <c r="H80" s="240"/>
      <c r="I80" s="7"/>
      <c r="J80" s="7"/>
    </row>
    <row r="81" spans="1:17" ht="18" customHeight="1" x14ac:dyDescent="0.25">
      <c r="A81" s="14">
        <f t="shared" si="2"/>
        <v>73</v>
      </c>
      <c r="B81" s="8"/>
      <c r="C81" s="46" t="s">
        <v>351</v>
      </c>
      <c r="D81" s="214" t="s">
        <v>19</v>
      </c>
      <c r="E81" s="32"/>
      <c r="F81" s="17"/>
      <c r="G81" s="18">
        <f t="shared" si="3"/>
        <v>3549.7999999999993</v>
      </c>
      <c r="H81" s="240"/>
      <c r="I81" s="7"/>
      <c r="J81" s="7"/>
    </row>
    <row r="82" spans="1:17" ht="18" customHeight="1" x14ac:dyDescent="0.25">
      <c r="A82" s="14">
        <f t="shared" si="2"/>
        <v>74</v>
      </c>
      <c r="B82" s="8"/>
      <c r="C82" s="46" t="s">
        <v>351</v>
      </c>
      <c r="D82" s="214" t="s">
        <v>19</v>
      </c>
      <c r="E82" s="32"/>
      <c r="F82" s="17"/>
      <c r="G82" s="18">
        <f t="shared" si="3"/>
        <v>3549.7999999999993</v>
      </c>
      <c r="H82" s="240"/>
      <c r="I82" s="7"/>
      <c r="J82" s="7"/>
    </row>
    <row r="83" spans="1:17" ht="18" customHeight="1" x14ac:dyDescent="0.25">
      <c r="A83" s="14">
        <f t="shared" si="2"/>
        <v>75</v>
      </c>
      <c r="B83" s="8"/>
      <c r="C83" s="46" t="s">
        <v>351</v>
      </c>
      <c r="D83" s="214" t="s">
        <v>19</v>
      </c>
      <c r="E83" s="32"/>
      <c r="F83" s="27"/>
      <c r="G83" s="18">
        <f t="shared" si="3"/>
        <v>3549.7999999999993</v>
      </c>
      <c r="H83" s="240"/>
      <c r="I83" s="7"/>
      <c r="J83" s="7"/>
    </row>
    <row r="84" spans="1:17" ht="18" customHeight="1" x14ac:dyDescent="0.25">
      <c r="A84" s="14">
        <f t="shared" si="2"/>
        <v>76</v>
      </c>
      <c r="B84" s="8"/>
      <c r="C84" s="46" t="s">
        <v>351</v>
      </c>
      <c r="D84" s="214" t="s">
        <v>19</v>
      </c>
      <c r="E84" s="32"/>
      <c r="F84" s="17"/>
      <c r="G84" s="18">
        <f t="shared" si="3"/>
        <v>3549.7999999999993</v>
      </c>
      <c r="H84" s="240"/>
      <c r="I84" s="7"/>
      <c r="J84" s="7"/>
    </row>
    <row r="85" spans="1:17" ht="18" customHeight="1" x14ac:dyDescent="0.25">
      <c r="A85" s="14">
        <f t="shared" si="2"/>
        <v>77</v>
      </c>
      <c r="B85" s="8"/>
      <c r="C85" s="46" t="s">
        <v>351</v>
      </c>
      <c r="D85" s="214" t="s">
        <v>19</v>
      </c>
      <c r="E85" s="32"/>
      <c r="F85" s="17"/>
      <c r="G85" s="18">
        <f t="shared" si="3"/>
        <v>3549.7999999999993</v>
      </c>
      <c r="H85" s="240"/>
      <c r="I85" s="7"/>
      <c r="J85" s="7"/>
    </row>
    <row r="86" spans="1:17" ht="18" customHeight="1" x14ac:dyDescent="0.25">
      <c r="A86" s="14">
        <f t="shared" si="2"/>
        <v>78</v>
      </c>
      <c r="B86" s="8"/>
      <c r="C86" s="46" t="s">
        <v>351</v>
      </c>
      <c r="D86" s="214" t="s">
        <v>19</v>
      </c>
      <c r="E86" s="32"/>
      <c r="F86" s="17"/>
      <c r="G86" s="18">
        <f t="shared" si="3"/>
        <v>3549.7999999999993</v>
      </c>
      <c r="H86" s="240"/>
      <c r="I86" s="7"/>
      <c r="J86" s="7"/>
    </row>
    <row r="87" spans="1:17" ht="18" customHeight="1" x14ac:dyDescent="0.25">
      <c r="A87" s="14">
        <f t="shared" si="2"/>
        <v>79</v>
      </c>
      <c r="B87" s="8"/>
      <c r="C87" s="46" t="s">
        <v>351</v>
      </c>
      <c r="D87" s="214" t="s">
        <v>19</v>
      </c>
      <c r="E87" s="32"/>
      <c r="F87" s="17"/>
      <c r="G87" s="18">
        <f t="shared" si="3"/>
        <v>3549.7999999999993</v>
      </c>
      <c r="H87" s="240"/>
      <c r="I87" s="7"/>
      <c r="J87" s="7"/>
    </row>
    <row r="88" spans="1:17" ht="18" customHeight="1" x14ac:dyDescent="0.25">
      <c r="A88" s="14">
        <f t="shared" si="2"/>
        <v>80</v>
      </c>
      <c r="B88" s="8"/>
      <c r="C88" s="46" t="s">
        <v>351</v>
      </c>
      <c r="D88" s="214" t="s">
        <v>19</v>
      </c>
      <c r="E88" s="32"/>
      <c r="F88" s="17"/>
      <c r="G88" s="18">
        <f t="shared" si="3"/>
        <v>3549.7999999999993</v>
      </c>
      <c r="H88" s="240"/>
      <c r="I88" s="7"/>
      <c r="J88" s="7"/>
    </row>
    <row r="89" spans="1:17" ht="18" customHeight="1" x14ac:dyDescent="0.25">
      <c r="A89" s="14">
        <f t="shared" si="2"/>
        <v>81</v>
      </c>
      <c r="B89" s="8"/>
      <c r="C89" s="46" t="s">
        <v>351</v>
      </c>
      <c r="D89" s="214" t="s">
        <v>19</v>
      </c>
      <c r="E89" s="32"/>
      <c r="F89" s="17"/>
      <c r="G89" s="18">
        <f t="shared" si="3"/>
        <v>3549.7999999999993</v>
      </c>
      <c r="H89" s="240"/>
      <c r="I89" s="7"/>
      <c r="J89" s="7"/>
    </row>
    <row r="90" spans="1:17" ht="18" customHeight="1" x14ac:dyDescent="0.25">
      <c r="A90" s="14">
        <f t="shared" si="2"/>
        <v>82</v>
      </c>
      <c r="B90" s="8"/>
      <c r="C90" s="46" t="s">
        <v>351</v>
      </c>
      <c r="D90" s="214" t="s">
        <v>19</v>
      </c>
      <c r="E90" s="32"/>
      <c r="F90" s="17"/>
      <c r="G90" s="18">
        <f t="shared" si="3"/>
        <v>3549.7999999999993</v>
      </c>
      <c r="H90" s="240"/>
      <c r="I90" s="7"/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351</v>
      </c>
      <c r="D91" s="214" t="s">
        <v>19</v>
      </c>
      <c r="E91" s="32"/>
      <c r="F91" s="27"/>
      <c r="G91" s="18">
        <f t="shared" si="3"/>
        <v>3549.7999999999993</v>
      </c>
      <c r="H91" s="240"/>
      <c r="I91" s="7"/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351</v>
      </c>
      <c r="D92" s="214" t="s">
        <v>19</v>
      </c>
      <c r="E92" s="32"/>
      <c r="F92" s="27"/>
      <c r="G92" s="18">
        <f>+G91+E92-F92</f>
        <v>3549.7999999999993</v>
      </c>
      <c r="H92" s="240"/>
      <c r="I92" s="7"/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351</v>
      </c>
      <c r="D93" s="244" t="s">
        <v>19</v>
      </c>
      <c r="E93" s="245"/>
      <c r="F93" s="52"/>
      <c r="G93" s="246">
        <f>+G92+E93-F93</f>
        <v>3549.7999999999993</v>
      </c>
      <c r="H93" s="240"/>
      <c r="I93" s="247"/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351</v>
      </c>
      <c r="D94" s="244" t="s">
        <v>19</v>
      </c>
      <c r="E94" s="245"/>
      <c r="F94" s="52"/>
      <c r="G94" s="246">
        <f t="shared" ref="G94:G106" si="4">+G93+E94-F94</f>
        <v>3549.7999999999993</v>
      </c>
      <c r="H94" s="240"/>
      <c r="I94" s="247"/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351</v>
      </c>
      <c r="D95" s="244" t="s">
        <v>19</v>
      </c>
      <c r="E95" s="245"/>
      <c r="F95" s="52"/>
      <c r="G95" s="246">
        <f t="shared" si="4"/>
        <v>3549.7999999999993</v>
      </c>
      <c r="H95" s="240"/>
      <c r="I95" s="247"/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351</v>
      </c>
      <c r="D96" s="244" t="s">
        <v>19</v>
      </c>
      <c r="E96" s="245"/>
      <c r="F96" s="52"/>
      <c r="G96" s="246">
        <f t="shared" si="4"/>
        <v>3549.7999999999993</v>
      </c>
      <c r="H96" s="240"/>
      <c r="I96" s="247"/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351</v>
      </c>
      <c r="D97" s="244" t="s">
        <v>19</v>
      </c>
      <c r="E97" s="245"/>
      <c r="F97" s="52"/>
      <c r="G97" s="246">
        <f t="shared" si="4"/>
        <v>3549.7999999999993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351</v>
      </c>
      <c r="D98" s="244" t="s">
        <v>19</v>
      </c>
      <c r="E98" s="245"/>
      <c r="F98" s="52"/>
      <c r="G98" s="246">
        <f t="shared" si="4"/>
        <v>3549.7999999999993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351</v>
      </c>
      <c r="D99" s="244" t="s">
        <v>19</v>
      </c>
      <c r="E99" s="245"/>
      <c r="F99" s="52"/>
      <c r="G99" s="246">
        <f t="shared" si="4"/>
        <v>3549.7999999999993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351</v>
      </c>
      <c r="D100" s="244" t="s">
        <v>19</v>
      </c>
      <c r="E100" s="245"/>
      <c r="F100" s="52"/>
      <c r="G100" s="246">
        <f t="shared" si="4"/>
        <v>3549.7999999999993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351</v>
      </c>
      <c r="D101" s="244"/>
      <c r="E101" s="245"/>
      <c r="F101" s="52"/>
      <c r="G101" s="246">
        <f t="shared" si="4"/>
        <v>3549.7999999999993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46" t="s">
        <v>351</v>
      </c>
      <c r="D102" s="244"/>
      <c r="E102" s="245"/>
      <c r="F102" s="52"/>
      <c r="G102" s="246">
        <f t="shared" si="4"/>
        <v>3549.7999999999993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3549.7999999999993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3549.7999999999993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3549.7999999999993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3549.7999999999993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3549.7999999999993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8898.9</v>
      </c>
      <c r="F108" s="35">
        <f>SUM(F8:F107)</f>
        <v>5349.1</v>
      </c>
      <c r="G108" s="35">
        <f>+E108-F108+G8</f>
        <v>3549.7999999999993</v>
      </c>
      <c r="H108" s="35"/>
      <c r="I108" s="36"/>
      <c r="J108" s="7">
        <f>SUM(J9:J107)</f>
        <v>10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41C8-4ED7-4C5E-B0D0-CEBCFFC4C6AA}">
  <sheetPr codeName="Sheet75"/>
  <dimension ref="A1:R119"/>
  <sheetViews>
    <sheetView topLeftCell="A8" workbookViewId="0">
      <selection activeCell="K27" sqref="K27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10" width="14.85546875" customWidth="1"/>
    <col min="11" max="11" width="15.5703125" customWidth="1"/>
    <col min="13" max="13" width="11.28515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2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2"/>
    </row>
    <row r="6" spans="1:13" x14ac:dyDescent="0.25">
      <c r="A6" t="s">
        <v>163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353</v>
      </c>
      <c r="K7" s="4" t="s">
        <v>172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45696</v>
      </c>
      <c r="C9" s="46" t="s">
        <v>282</v>
      </c>
      <c r="D9" s="214" t="s">
        <v>19</v>
      </c>
      <c r="E9" s="30">
        <v>834</v>
      </c>
      <c r="F9" s="27"/>
      <c r="G9" s="18">
        <f>+G8+E9-F9</f>
        <v>834</v>
      </c>
      <c r="H9" s="28" t="s">
        <v>91</v>
      </c>
      <c r="I9" s="7"/>
      <c r="J9" s="7"/>
      <c r="K9" s="7">
        <v>1</v>
      </c>
    </row>
    <row r="10" spans="1:13" ht="17.25" customHeight="1" x14ac:dyDescent="0.25">
      <c r="A10" s="14">
        <f t="shared" ref="A10:A73" si="0">+A9+1</f>
        <v>2</v>
      </c>
      <c r="B10" s="8">
        <v>45696</v>
      </c>
      <c r="C10" s="46" t="s">
        <v>282</v>
      </c>
      <c r="D10" s="214" t="s">
        <v>19</v>
      </c>
      <c r="E10" s="11">
        <v>7504.3</v>
      </c>
      <c r="F10" s="27"/>
      <c r="G10" s="391">
        <f t="shared" ref="G10:G73" si="1">+G9+E10-F10</f>
        <v>8338.2999999999993</v>
      </c>
      <c r="H10" s="28" t="s">
        <v>91</v>
      </c>
      <c r="I10" s="7"/>
      <c r="J10" s="7"/>
      <c r="K10" s="7">
        <v>9</v>
      </c>
    </row>
    <row r="11" spans="1:13" ht="18" customHeight="1" x14ac:dyDescent="0.25">
      <c r="A11" s="14">
        <f t="shared" si="0"/>
        <v>3</v>
      </c>
      <c r="B11" s="8">
        <v>45789</v>
      </c>
      <c r="C11" s="46" t="s">
        <v>282</v>
      </c>
      <c r="D11" s="214" t="s">
        <v>19</v>
      </c>
      <c r="E11" s="16"/>
      <c r="F11" s="27">
        <v>2672.2</v>
      </c>
      <c r="G11" s="18">
        <f t="shared" si="1"/>
        <v>5666.0999999999995</v>
      </c>
      <c r="H11" s="28" t="s">
        <v>91</v>
      </c>
      <c r="I11" s="7"/>
      <c r="J11" s="7"/>
      <c r="K11" s="140"/>
      <c r="M11">
        <f>641.4+649.8+583.6+594</f>
        <v>2468.7999999999997</v>
      </c>
    </row>
    <row r="12" spans="1:13" ht="18" customHeight="1" x14ac:dyDescent="0.25">
      <c r="A12" s="158">
        <f t="shared" si="0"/>
        <v>4</v>
      </c>
      <c r="B12" s="174">
        <v>45801</v>
      </c>
      <c r="C12" s="236" t="s">
        <v>282</v>
      </c>
      <c r="D12" s="237" t="s">
        <v>19</v>
      </c>
      <c r="E12" s="160"/>
      <c r="F12" s="172">
        <v>2711.2</v>
      </c>
      <c r="G12" s="238">
        <f t="shared" si="1"/>
        <v>2954.8999999999996</v>
      </c>
      <c r="H12" s="239" t="s">
        <v>91</v>
      </c>
      <c r="I12" s="271"/>
      <c r="J12" s="271"/>
      <c r="K12" s="435"/>
      <c r="L12" s="162" t="s">
        <v>188</v>
      </c>
      <c r="M12" s="162"/>
    </row>
    <row r="13" spans="1:13" ht="18" customHeight="1" x14ac:dyDescent="0.25">
      <c r="A13" s="437">
        <f t="shared" si="0"/>
        <v>5</v>
      </c>
      <c r="B13" s="438"/>
      <c r="C13" s="439" t="s">
        <v>457</v>
      </c>
      <c r="D13" s="440" t="s">
        <v>19</v>
      </c>
      <c r="E13" s="441"/>
      <c r="F13" s="442">
        <v>2955</v>
      </c>
      <c r="G13" s="443">
        <f t="shared" si="1"/>
        <v>-0.1000000000003638</v>
      </c>
      <c r="H13" s="444" t="s">
        <v>91</v>
      </c>
      <c r="I13" s="445"/>
      <c r="J13" s="445"/>
      <c r="K13" s="446"/>
      <c r="L13" s="447" t="s">
        <v>425</v>
      </c>
      <c r="M13" s="447"/>
    </row>
    <row r="14" spans="1:13" ht="18" customHeight="1" x14ac:dyDescent="0.25">
      <c r="A14" s="14">
        <f t="shared" si="0"/>
        <v>6</v>
      </c>
      <c r="B14" s="8"/>
      <c r="C14" s="46" t="s">
        <v>282</v>
      </c>
      <c r="D14" s="214" t="s">
        <v>19</v>
      </c>
      <c r="E14" s="16"/>
      <c r="F14" s="27"/>
      <c r="G14" s="18">
        <f t="shared" si="1"/>
        <v>-0.1000000000003638</v>
      </c>
      <c r="H14" s="28" t="s">
        <v>91</v>
      </c>
      <c r="I14" s="7"/>
      <c r="J14" s="7"/>
      <c r="K14" s="7"/>
    </row>
    <row r="15" spans="1:13" ht="18" customHeight="1" x14ac:dyDescent="0.25">
      <c r="A15" s="14">
        <f t="shared" si="0"/>
        <v>7</v>
      </c>
      <c r="B15" s="8"/>
      <c r="C15" s="46" t="s">
        <v>282</v>
      </c>
      <c r="D15" s="214" t="s">
        <v>19</v>
      </c>
      <c r="E15" s="16"/>
      <c r="F15" s="27"/>
      <c r="G15" s="18">
        <f t="shared" si="1"/>
        <v>-0.1000000000003638</v>
      </c>
      <c r="H15" s="28" t="s">
        <v>91</v>
      </c>
      <c r="I15" s="7"/>
      <c r="J15" s="7"/>
      <c r="K15" s="140"/>
    </row>
    <row r="16" spans="1:13" ht="18" customHeight="1" x14ac:dyDescent="0.25">
      <c r="A16" s="14">
        <f t="shared" si="0"/>
        <v>8</v>
      </c>
      <c r="B16" s="8"/>
      <c r="C16" s="46" t="s">
        <v>282</v>
      </c>
      <c r="D16" s="214" t="s">
        <v>19</v>
      </c>
      <c r="E16" s="16"/>
      <c r="F16" s="27"/>
      <c r="G16" s="18">
        <f t="shared" si="1"/>
        <v>-0.1000000000003638</v>
      </c>
      <c r="H16" s="28" t="s">
        <v>91</v>
      </c>
      <c r="I16" s="7"/>
      <c r="J16" s="7"/>
      <c r="K16" s="7"/>
    </row>
    <row r="17" spans="1:17" ht="18" customHeight="1" x14ac:dyDescent="0.25">
      <c r="A17" s="14">
        <f t="shared" si="0"/>
        <v>9</v>
      </c>
      <c r="B17" s="8"/>
      <c r="C17" s="46" t="s">
        <v>282</v>
      </c>
      <c r="D17" s="214" t="s">
        <v>19</v>
      </c>
      <c r="E17" s="30"/>
      <c r="F17" s="27"/>
      <c r="G17" s="18">
        <f t="shared" si="1"/>
        <v>-0.1000000000003638</v>
      </c>
      <c r="H17" s="28" t="s">
        <v>91</v>
      </c>
      <c r="I17" s="7"/>
      <c r="J17" s="7"/>
      <c r="K17" s="7"/>
    </row>
    <row r="18" spans="1:17" s="230" customFormat="1" ht="18" customHeight="1" x14ac:dyDescent="0.25">
      <c r="A18" s="223">
        <f>+A17+1</f>
        <v>10</v>
      </c>
      <c r="B18" s="224"/>
      <c r="C18" s="46" t="s">
        <v>282</v>
      </c>
      <c r="D18" s="226" t="s">
        <v>19</v>
      </c>
      <c r="E18" s="227"/>
      <c r="F18" s="228"/>
      <c r="G18" s="229">
        <f t="shared" si="1"/>
        <v>-0.1000000000003638</v>
      </c>
      <c r="H18" s="28" t="s">
        <v>91</v>
      </c>
      <c r="I18" s="7"/>
      <c r="J18" s="7"/>
      <c r="K18" s="348"/>
    </row>
    <row r="19" spans="1:17" s="230" customFormat="1" ht="18" customHeight="1" x14ac:dyDescent="0.25">
      <c r="A19" s="223">
        <f t="shared" si="0"/>
        <v>11</v>
      </c>
      <c r="B19" s="224"/>
      <c r="C19" s="46" t="s">
        <v>282</v>
      </c>
      <c r="D19" s="226" t="s">
        <v>19</v>
      </c>
      <c r="E19" s="231"/>
      <c r="F19" s="228"/>
      <c r="G19" s="229">
        <f t="shared" si="1"/>
        <v>-0.1000000000003638</v>
      </c>
      <c r="H19" s="28" t="s">
        <v>91</v>
      </c>
      <c r="I19" s="7"/>
      <c r="J19" s="7"/>
      <c r="K19" s="348"/>
    </row>
    <row r="20" spans="1:17" ht="18" customHeight="1" x14ac:dyDescent="0.25">
      <c r="A20" s="14">
        <f t="shared" si="0"/>
        <v>12</v>
      </c>
      <c r="B20" s="8"/>
      <c r="C20" s="46" t="s">
        <v>282</v>
      </c>
      <c r="D20" s="214" t="s">
        <v>19</v>
      </c>
      <c r="E20" s="32"/>
      <c r="F20" s="17"/>
      <c r="G20" s="18">
        <f t="shared" si="1"/>
        <v>-0.1000000000003638</v>
      </c>
      <c r="H20" s="28" t="s">
        <v>91</v>
      </c>
      <c r="I20" s="7"/>
      <c r="J20" s="7"/>
      <c r="K20" s="7"/>
      <c r="Q20">
        <f>655.4+618+648+651.2+620+645+649+674+641+652+617+635+623+619</f>
        <v>8947.6</v>
      </c>
    </row>
    <row r="21" spans="1:17" ht="18" customHeight="1" x14ac:dyDescent="0.25">
      <c r="A21" s="14">
        <f t="shared" si="0"/>
        <v>13</v>
      </c>
      <c r="B21" s="8"/>
      <c r="C21" s="46" t="s">
        <v>282</v>
      </c>
      <c r="D21" s="214" t="s">
        <v>19</v>
      </c>
      <c r="E21" s="32"/>
      <c r="F21" s="27"/>
      <c r="G21" s="18">
        <f t="shared" si="1"/>
        <v>-0.1000000000003638</v>
      </c>
      <c r="H21" s="28" t="s">
        <v>91</v>
      </c>
      <c r="I21" s="7"/>
      <c r="J21" s="7"/>
      <c r="K21" s="7"/>
    </row>
    <row r="22" spans="1:17" ht="18" customHeight="1" x14ac:dyDescent="0.25">
      <c r="A22" s="14">
        <f t="shared" si="0"/>
        <v>14</v>
      </c>
      <c r="B22" s="232"/>
      <c r="C22" s="46" t="s">
        <v>282</v>
      </c>
      <c r="D22" s="234" t="s">
        <v>19</v>
      </c>
      <c r="E22" s="235"/>
      <c r="F22" s="172"/>
      <c r="G22" s="18">
        <f t="shared" si="1"/>
        <v>-0.1000000000003638</v>
      </c>
      <c r="H22" s="28" t="s">
        <v>129</v>
      </c>
      <c r="I22" s="7"/>
      <c r="J22" s="7"/>
      <c r="K22" s="7"/>
    </row>
    <row r="23" spans="1:17" ht="18" customHeight="1" x14ac:dyDescent="0.25">
      <c r="A23" s="14">
        <f t="shared" si="0"/>
        <v>15</v>
      </c>
      <c r="B23" s="8"/>
      <c r="C23" s="46" t="s">
        <v>282</v>
      </c>
      <c r="D23" s="214" t="s">
        <v>19</v>
      </c>
      <c r="E23" s="32"/>
      <c r="F23" s="17"/>
      <c r="G23" s="18">
        <f t="shared" si="1"/>
        <v>-0.1000000000003638</v>
      </c>
      <c r="H23" s="28" t="s">
        <v>129</v>
      </c>
      <c r="I23" s="7"/>
      <c r="J23" s="7"/>
      <c r="K23" s="7"/>
    </row>
    <row r="24" spans="1:17" ht="18" customHeight="1" x14ac:dyDescent="0.25">
      <c r="A24" s="14">
        <f t="shared" si="0"/>
        <v>16</v>
      </c>
      <c r="B24" s="8"/>
      <c r="C24" s="46" t="s">
        <v>282</v>
      </c>
      <c r="D24" s="214" t="s">
        <v>19</v>
      </c>
      <c r="E24" s="32"/>
      <c r="F24" s="17"/>
      <c r="G24" s="18">
        <f t="shared" si="1"/>
        <v>-0.1000000000003638</v>
      </c>
      <c r="H24" s="28" t="s">
        <v>91</v>
      </c>
      <c r="I24" s="7"/>
      <c r="J24" s="7"/>
      <c r="K24" s="7"/>
    </row>
    <row r="25" spans="1:17" ht="18" customHeight="1" x14ac:dyDescent="0.25">
      <c r="A25" s="14">
        <f t="shared" si="0"/>
        <v>17</v>
      </c>
      <c r="B25" s="8"/>
      <c r="C25" s="46" t="s">
        <v>282</v>
      </c>
      <c r="D25" s="214" t="s">
        <v>19</v>
      </c>
      <c r="E25" s="32"/>
      <c r="F25" s="17"/>
      <c r="G25" s="18">
        <f t="shared" si="1"/>
        <v>-0.1000000000003638</v>
      </c>
      <c r="H25" s="28" t="s">
        <v>91</v>
      </c>
      <c r="I25" s="7"/>
      <c r="J25" s="7"/>
      <c r="K25" s="7"/>
    </row>
    <row r="26" spans="1:17" ht="18" customHeight="1" x14ac:dyDescent="0.25">
      <c r="A26" s="14">
        <f t="shared" si="0"/>
        <v>18</v>
      </c>
      <c r="B26" s="8"/>
      <c r="C26" s="46" t="s">
        <v>282</v>
      </c>
      <c r="D26" s="214" t="s">
        <v>19</v>
      </c>
      <c r="E26" s="32"/>
      <c r="F26" s="17"/>
      <c r="G26" s="18">
        <f t="shared" si="1"/>
        <v>-0.1000000000003638</v>
      </c>
      <c r="H26" s="28" t="s">
        <v>91</v>
      </c>
      <c r="I26" s="7"/>
      <c r="J26" s="7"/>
      <c r="K26" s="7"/>
    </row>
    <row r="27" spans="1:17" ht="18" customHeight="1" x14ac:dyDescent="0.25">
      <c r="A27" s="14">
        <f>+A26+1</f>
        <v>19</v>
      </c>
      <c r="B27" s="8"/>
      <c r="C27" s="46" t="s">
        <v>282</v>
      </c>
      <c r="D27" s="214" t="s">
        <v>19</v>
      </c>
      <c r="E27" s="32"/>
      <c r="F27" s="125"/>
      <c r="G27" s="18">
        <f t="shared" si="1"/>
        <v>-0.1000000000003638</v>
      </c>
      <c r="H27" s="28" t="s">
        <v>91</v>
      </c>
      <c r="I27" s="7"/>
      <c r="J27" s="7"/>
      <c r="K27" s="7"/>
    </row>
    <row r="28" spans="1:17" ht="18" customHeight="1" x14ac:dyDescent="0.25">
      <c r="A28" s="14">
        <f t="shared" si="0"/>
        <v>20</v>
      </c>
      <c r="B28" s="8"/>
      <c r="C28" s="46" t="s">
        <v>282</v>
      </c>
      <c r="D28" s="214" t="s">
        <v>19</v>
      </c>
      <c r="E28" s="129"/>
      <c r="F28" s="17"/>
      <c r="G28" s="18">
        <f t="shared" si="1"/>
        <v>-0.1000000000003638</v>
      </c>
      <c r="H28" s="28" t="s">
        <v>91</v>
      </c>
      <c r="I28" s="7"/>
      <c r="J28" s="7"/>
      <c r="K28" s="7"/>
    </row>
    <row r="29" spans="1:17" ht="18" customHeight="1" x14ac:dyDescent="0.25">
      <c r="A29" s="14">
        <f t="shared" si="0"/>
        <v>21</v>
      </c>
      <c r="B29" s="8"/>
      <c r="C29" s="46" t="s">
        <v>282</v>
      </c>
      <c r="D29" s="214" t="s">
        <v>19</v>
      </c>
      <c r="E29" s="32"/>
      <c r="F29" s="172"/>
      <c r="G29" s="18">
        <f t="shared" si="1"/>
        <v>-0.1000000000003638</v>
      </c>
      <c r="H29" s="28" t="s">
        <v>91</v>
      </c>
      <c r="I29" s="7"/>
      <c r="J29" s="7"/>
      <c r="K29" s="7"/>
    </row>
    <row r="30" spans="1:17" ht="18" customHeight="1" x14ac:dyDescent="0.25">
      <c r="A30" s="14">
        <f t="shared" si="0"/>
        <v>22</v>
      </c>
      <c r="B30" s="8"/>
      <c r="C30" s="46" t="s">
        <v>282</v>
      </c>
      <c r="D30" s="214" t="s">
        <v>19</v>
      </c>
      <c r="E30" s="32"/>
      <c r="F30" s="125"/>
      <c r="G30" s="18">
        <f t="shared" si="1"/>
        <v>-0.1000000000003638</v>
      </c>
      <c r="H30" s="28" t="s">
        <v>91</v>
      </c>
      <c r="I30" s="7"/>
      <c r="J30" s="7"/>
      <c r="K30" s="7"/>
    </row>
    <row r="31" spans="1:17" ht="18" customHeight="1" x14ac:dyDescent="0.25">
      <c r="A31" s="14">
        <f t="shared" si="0"/>
        <v>23</v>
      </c>
      <c r="B31" s="8"/>
      <c r="C31" s="46" t="s">
        <v>282</v>
      </c>
      <c r="D31" s="214" t="s">
        <v>19</v>
      </c>
      <c r="E31" s="32"/>
      <c r="F31" s="152"/>
      <c r="G31" s="18">
        <f t="shared" si="1"/>
        <v>-0.1000000000003638</v>
      </c>
      <c r="H31" s="28" t="s">
        <v>91</v>
      </c>
      <c r="I31" s="7"/>
      <c r="J31" s="7"/>
      <c r="K31" s="7"/>
    </row>
    <row r="32" spans="1:17" ht="17.25" customHeight="1" x14ac:dyDescent="0.25">
      <c r="A32" s="14">
        <f t="shared" si="0"/>
        <v>24</v>
      </c>
      <c r="B32" s="8"/>
      <c r="C32" s="46" t="s">
        <v>282</v>
      </c>
      <c r="D32" s="214" t="s">
        <v>19</v>
      </c>
      <c r="E32" s="13"/>
      <c r="F32" s="17"/>
      <c r="G32" s="18">
        <f t="shared" si="1"/>
        <v>-0.1000000000003638</v>
      </c>
      <c r="H32" s="28" t="s">
        <v>91</v>
      </c>
      <c r="I32" s="7"/>
      <c r="J32" s="7"/>
      <c r="K32" s="7"/>
    </row>
    <row r="33" spans="1:17" ht="17.25" customHeight="1" x14ac:dyDescent="0.25">
      <c r="A33" s="14">
        <f t="shared" si="0"/>
        <v>25</v>
      </c>
      <c r="B33" s="44"/>
      <c r="C33" s="46" t="s">
        <v>282</v>
      </c>
      <c r="D33" s="214" t="s">
        <v>19</v>
      </c>
      <c r="E33" s="13"/>
      <c r="F33" s="17"/>
      <c r="G33" s="18">
        <f t="shared" si="1"/>
        <v>-0.1000000000003638</v>
      </c>
      <c r="H33" s="178"/>
      <c r="I33" s="7"/>
      <c r="J33" s="7"/>
      <c r="K33" s="7"/>
    </row>
    <row r="34" spans="1:17" ht="18" customHeight="1" x14ac:dyDescent="0.25">
      <c r="A34" s="14">
        <f t="shared" si="0"/>
        <v>26</v>
      </c>
      <c r="B34" s="8"/>
      <c r="C34" s="46" t="s">
        <v>282</v>
      </c>
      <c r="D34" s="214" t="s">
        <v>19</v>
      </c>
      <c r="E34" s="32"/>
      <c r="F34" s="40"/>
      <c r="G34" s="18">
        <f t="shared" si="1"/>
        <v>-0.1000000000003638</v>
      </c>
      <c r="H34" s="178"/>
      <c r="I34" s="7"/>
      <c r="J34" s="7"/>
      <c r="K34" s="7"/>
    </row>
    <row r="35" spans="1:17" ht="18" customHeight="1" x14ac:dyDescent="0.25">
      <c r="A35" s="14">
        <f t="shared" si="0"/>
        <v>27</v>
      </c>
      <c r="B35" s="45"/>
      <c r="C35" s="46" t="s">
        <v>282</v>
      </c>
      <c r="D35" s="214" t="s">
        <v>19</v>
      </c>
      <c r="E35" s="32"/>
      <c r="F35" s="40"/>
      <c r="G35" s="18">
        <f t="shared" si="1"/>
        <v>-0.1000000000003638</v>
      </c>
      <c r="H35" s="178"/>
      <c r="I35" s="7"/>
      <c r="J35" s="7"/>
      <c r="K35" s="7"/>
    </row>
    <row r="36" spans="1:17" ht="18" customHeight="1" x14ac:dyDescent="0.25">
      <c r="A36" s="14">
        <f t="shared" si="0"/>
        <v>28</v>
      </c>
      <c r="B36" s="8"/>
      <c r="C36" s="46" t="s">
        <v>282</v>
      </c>
      <c r="D36" s="214" t="s">
        <v>19</v>
      </c>
      <c r="E36" s="32"/>
      <c r="F36" s="40"/>
      <c r="G36" s="18">
        <f t="shared" si="1"/>
        <v>-0.1000000000003638</v>
      </c>
      <c r="H36" s="178"/>
      <c r="I36" s="7"/>
      <c r="J36" s="7"/>
      <c r="K36" s="7"/>
    </row>
    <row r="37" spans="1:17" ht="18" customHeight="1" x14ac:dyDescent="0.25">
      <c r="A37" s="14">
        <f t="shared" si="0"/>
        <v>29</v>
      </c>
      <c r="B37" s="8"/>
      <c r="C37" s="46" t="s">
        <v>282</v>
      </c>
      <c r="D37" s="214" t="s">
        <v>19</v>
      </c>
      <c r="E37" s="32"/>
      <c r="F37" s="17"/>
      <c r="G37" s="18">
        <f t="shared" si="1"/>
        <v>-0.1000000000003638</v>
      </c>
      <c r="H37" s="178"/>
      <c r="I37" s="7"/>
      <c r="J37" s="7"/>
      <c r="K37" s="7"/>
    </row>
    <row r="38" spans="1:17" ht="18" customHeight="1" x14ac:dyDescent="0.25">
      <c r="A38" s="14">
        <f t="shared" si="0"/>
        <v>30</v>
      </c>
      <c r="B38" s="8"/>
      <c r="C38" s="46" t="s">
        <v>282</v>
      </c>
      <c r="D38" s="214" t="s">
        <v>19</v>
      </c>
      <c r="E38" s="32"/>
      <c r="F38" s="17"/>
      <c r="G38" s="18">
        <f t="shared" si="1"/>
        <v>-0.1000000000003638</v>
      </c>
      <c r="H38" s="178"/>
      <c r="I38" s="7"/>
      <c r="J38" s="7"/>
      <c r="K38" s="7"/>
    </row>
    <row r="39" spans="1:17" ht="18" customHeight="1" x14ac:dyDescent="0.25">
      <c r="A39" s="14">
        <f t="shared" si="0"/>
        <v>31</v>
      </c>
      <c r="B39" s="8"/>
      <c r="C39" s="46" t="s">
        <v>282</v>
      </c>
      <c r="D39" s="214" t="s">
        <v>19</v>
      </c>
      <c r="E39" s="32"/>
      <c r="F39" s="17"/>
      <c r="G39" s="18">
        <f t="shared" si="1"/>
        <v>-0.1000000000003638</v>
      </c>
      <c r="H39" s="178"/>
      <c r="I39" s="7"/>
      <c r="J39" s="7"/>
      <c r="K39" s="7"/>
    </row>
    <row r="40" spans="1:17" ht="18" customHeight="1" x14ac:dyDescent="0.25">
      <c r="A40" s="14">
        <f t="shared" si="0"/>
        <v>32</v>
      </c>
      <c r="B40" s="8"/>
      <c r="C40" s="46" t="s">
        <v>282</v>
      </c>
      <c r="D40" s="214" t="s">
        <v>19</v>
      </c>
      <c r="E40" s="32"/>
      <c r="F40" s="17"/>
      <c r="G40" s="18">
        <f t="shared" si="1"/>
        <v>-0.1000000000003638</v>
      </c>
      <c r="H40" s="178"/>
      <c r="I40" s="7"/>
      <c r="J40" s="7"/>
      <c r="K40" s="7"/>
    </row>
    <row r="41" spans="1:17" ht="18" customHeight="1" x14ac:dyDescent="0.25">
      <c r="A41" s="14">
        <f t="shared" si="0"/>
        <v>33</v>
      </c>
      <c r="B41" s="8"/>
      <c r="C41" s="46" t="s">
        <v>282</v>
      </c>
      <c r="D41" s="214" t="s">
        <v>19</v>
      </c>
      <c r="E41" s="32"/>
      <c r="F41" s="172"/>
      <c r="G41" s="18">
        <f t="shared" si="1"/>
        <v>-0.1000000000003638</v>
      </c>
      <c r="H41" s="178"/>
      <c r="I41" s="7"/>
      <c r="J41" s="7"/>
      <c r="K41" s="7"/>
      <c r="Q41" s="162"/>
    </row>
    <row r="42" spans="1:17" ht="18" customHeight="1" x14ac:dyDescent="0.25">
      <c r="A42" s="14">
        <f t="shared" si="0"/>
        <v>34</v>
      </c>
      <c r="B42" s="8"/>
      <c r="C42" s="46" t="s">
        <v>282</v>
      </c>
      <c r="D42" s="214" t="s">
        <v>19</v>
      </c>
      <c r="E42" s="32"/>
      <c r="F42" s="17"/>
      <c r="G42" s="18">
        <f t="shared" si="1"/>
        <v>-0.1000000000003638</v>
      </c>
      <c r="H42" s="178"/>
      <c r="I42" s="7"/>
      <c r="J42" s="7"/>
      <c r="K42" s="7"/>
    </row>
    <row r="43" spans="1:17" ht="18" customHeight="1" x14ac:dyDescent="0.25">
      <c r="A43" s="14">
        <f t="shared" si="0"/>
        <v>35</v>
      </c>
      <c r="B43" s="8"/>
      <c r="C43" s="46" t="s">
        <v>282</v>
      </c>
      <c r="D43" s="214" t="s">
        <v>19</v>
      </c>
      <c r="E43" s="32"/>
      <c r="F43" s="17"/>
      <c r="G43" s="18">
        <f t="shared" si="1"/>
        <v>-0.1000000000003638</v>
      </c>
      <c r="H43" s="178"/>
      <c r="I43" s="7"/>
      <c r="J43" s="7"/>
      <c r="K43" s="7"/>
    </row>
    <row r="44" spans="1:17" ht="18" customHeight="1" x14ac:dyDescent="0.25">
      <c r="A44" s="14">
        <f t="shared" si="0"/>
        <v>36</v>
      </c>
      <c r="B44" s="8"/>
      <c r="C44" s="46" t="s">
        <v>282</v>
      </c>
      <c r="D44" s="214" t="s">
        <v>19</v>
      </c>
      <c r="E44" s="32"/>
      <c r="F44" s="17"/>
      <c r="G44" s="18">
        <f t="shared" si="1"/>
        <v>-0.1000000000003638</v>
      </c>
      <c r="H44" s="178"/>
      <c r="I44" s="7"/>
      <c r="J44" s="7"/>
      <c r="K44" s="7"/>
    </row>
    <row r="45" spans="1:17" ht="18" customHeight="1" x14ac:dyDescent="0.25">
      <c r="A45" s="14">
        <f t="shared" si="0"/>
        <v>37</v>
      </c>
      <c r="B45" s="8"/>
      <c r="C45" s="46" t="s">
        <v>282</v>
      </c>
      <c r="D45" s="214" t="s">
        <v>19</v>
      </c>
      <c r="E45" s="32"/>
      <c r="F45" s="17"/>
      <c r="G45" s="18">
        <f t="shared" si="1"/>
        <v>-0.1000000000003638</v>
      </c>
      <c r="H45" s="178"/>
      <c r="I45" s="29"/>
      <c r="J45" s="29"/>
      <c r="K45" s="7"/>
    </row>
    <row r="46" spans="1:17" ht="18" customHeight="1" x14ac:dyDescent="0.25">
      <c r="A46" s="14">
        <f t="shared" si="0"/>
        <v>38</v>
      </c>
      <c r="B46" s="8"/>
      <c r="C46" s="46" t="s">
        <v>282</v>
      </c>
      <c r="D46" s="214" t="s">
        <v>19</v>
      </c>
      <c r="E46" s="32"/>
      <c r="F46" s="17"/>
      <c r="G46" s="18">
        <f t="shared" si="1"/>
        <v>-0.1000000000003638</v>
      </c>
      <c r="H46" s="178"/>
      <c r="I46" s="29"/>
      <c r="J46" s="29"/>
      <c r="K46" s="7"/>
    </row>
    <row r="47" spans="1:17" ht="18" customHeight="1" x14ac:dyDescent="0.25">
      <c r="A47" s="14">
        <f t="shared" si="0"/>
        <v>39</v>
      </c>
      <c r="B47" s="8"/>
      <c r="C47" s="46" t="s">
        <v>282</v>
      </c>
      <c r="D47" s="214" t="s">
        <v>19</v>
      </c>
      <c r="E47" s="32"/>
      <c r="F47" s="17"/>
      <c r="G47" s="18">
        <f t="shared" si="1"/>
        <v>-0.1000000000003638</v>
      </c>
      <c r="H47" s="178"/>
      <c r="I47" s="29"/>
      <c r="J47" s="29"/>
      <c r="K47" s="7"/>
    </row>
    <row r="48" spans="1:17" ht="18" customHeight="1" x14ac:dyDescent="0.25">
      <c r="A48" s="14">
        <f t="shared" si="0"/>
        <v>40</v>
      </c>
      <c r="B48" s="8"/>
      <c r="C48" s="46" t="s">
        <v>282</v>
      </c>
      <c r="D48" s="214" t="s">
        <v>19</v>
      </c>
      <c r="E48" s="32"/>
      <c r="F48" s="17"/>
      <c r="G48" s="18">
        <f t="shared" si="1"/>
        <v>-0.1000000000003638</v>
      </c>
      <c r="H48" s="178"/>
      <c r="I48" s="29"/>
      <c r="J48" s="29"/>
      <c r="K48" s="7"/>
    </row>
    <row r="49" spans="1:17" ht="18" customHeight="1" x14ac:dyDescent="0.25">
      <c r="A49" s="14">
        <f t="shared" si="0"/>
        <v>41</v>
      </c>
      <c r="B49" s="8"/>
      <c r="C49" s="46" t="s">
        <v>282</v>
      </c>
      <c r="D49" s="214" t="s">
        <v>19</v>
      </c>
      <c r="E49" s="32"/>
      <c r="F49" s="17"/>
      <c r="G49" s="18">
        <f t="shared" si="1"/>
        <v>-0.1000000000003638</v>
      </c>
      <c r="H49" s="178"/>
      <c r="I49" s="7"/>
      <c r="J49" s="7"/>
      <c r="K49" s="7"/>
    </row>
    <row r="50" spans="1:17" s="162" customFormat="1" ht="18" customHeight="1" x14ac:dyDescent="0.25">
      <c r="A50" s="158">
        <f t="shared" si="0"/>
        <v>42</v>
      </c>
      <c r="B50" s="174"/>
      <c r="C50" s="46" t="s">
        <v>282</v>
      </c>
      <c r="D50" s="237" t="s">
        <v>19</v>
      </c>
      <c r="E50" s="175"/>
      <c r="F50" s="172"/>
      <c r="G50" s="238">
        <f t="shared" si="1"/>
        <v>-0.1000000000003638</v>
      </c>
      <c r="H50" s="178"/>
      <c r="I50" s="7"/>
      <c r="J50" s="7"/>
      <c r="K50" s="271"/>
      <c r="Q50"/>
    </row>
    <row r="51" spans="1:17" ht="18" customHeight="1" x14ac:dyDescent="0.25">
      <c r="A51" s="14">
        <f t="shared" si="0"/>
        <v>43</v>
      </c>
      <c r="B51" s="8"/>
      <c r="C51" s="46" t="s">
        <v>282</v>
      </c>
      <c r="D51" s="214" t="s">
        <v>19</v>
      </c>
      <c r="E51" s="32"/>
      <c r="F51" s="17"/>
      <c r="G51" s="18">
        <f t="shared" si="1"/>
        <v>-0.1000000000003638</v>
      </c>
      <c r="H51" s="239"/>
      <c r="I51" s="7"/>
      <c r="J51" s="7"/>
      <c r="K51" s="7"/>
    </row>
    <row r="52" spans="1:17" ht="18" customHeight="1" x14ac:dyDescent="0.25">
      <c r="A52" s="14">
        <f t="shared" si="0"/>
        <v>44</v>
      </c>
      <c r="B52" s="8"/>
      <c r="C52" s="46" t="s">
        <v>282</v>
      </c>
      <c r="D52" s="214" t="s">
        <v>19</v>
      </c>
      <c r="E52" s="32"/>
      <c r="F52" s="17"/>
      <c r="G52" s="18">
        <f t="shared" si="1"/>
        <v>-0.1000000000003638</v>
      </c>
      <c r="H52" s="239"/>
      <c r="I52" s="7"/>
      <c r="J52" s="7"/>
      <c r="K52" s="7"/>
    </row>
    <row r="53" spans="1:17" ht="18" customHeight="1" x14ac:dyDescent="0.25">
      <c r="A53" s="14">
        <f t="shared" si="0"/>
        <v>45</v>
      </c>
      <c r="B53" s="8"/>
      <c r="C53" s="46" t="s">
        <v>282</v>
      </c>
      <c r="D53" s="214" t="s">
        <v>19</v>
      </c>
      <c r="E53" s="32"/>
      <c r="F53" s="17"/>
      <c r="G53" s="18">
        <f t="shared" si="1"/>
        <v>-0.1000000000003638</v>
      </c>
      <c r="H53" s="239"/>
      <c r="I53" s="7"/>
      <c r="J53" s="7"/>
      <c r="K53" s="7"/>
    </row>
    <row r="54" spans="1:17" ht="18" customHeight="1" x14ac:dyDescent="0.25">
      <c r="A54" s="14">
        <f t="shared" si="0"/>
        <v>46</v>
      </c>
      <c r="B54" s="8"/>
      <c r="C54" s="46" t="s">
        <v>282</v>
      </c>
      <c r="D54" s="214" t="s">
        <v>19</v>
      </c>
      <c r="E54" s="32"/>
      <c r="F54" s="17"/>
      <c r="G54" s="18">
        <f t="shared" si="1"/>
        <v>-0.1000000000003638</v>
      </c>
      <c r="H54" s="28"/>
      <c r="I54" s="7"/>
      <c r="J54" s="7"/>
      <c r="K54" s="7"/>
    </row>
    <row r="55" spans="1:17" ht="18" customHeight="1" x14ac:dyDescent="0.25">
      <c r="A55" s="14">
        <f t="shared" si="0"/>
        <v>47</v>
      </c>
      <c r="B55" s="8"/>
      <c r="C55" s="46" t="s">
        <v>282</v>
      </c>
      <c r="D55" s="214" t="s">
        <v>19</v>
      </c>
      <c r="E55" s="32"/>
      <c r="F55" s="17"/>
      <c r="G55" s="18">
        <f t="shared" si="1"/>
        <v>-0.1000000000003638</v>
      </c>
      <c r="H55" s="240"/>
      <c r="I55" s="7"/>
      <c r="J55" s="7"/>
      <c r="K55" s="7"/>
    </row>
    <row r="56" spans="1:17" ht="18" customHeight="1" x14ac:dyDescent="0.25">
      <c r="A56" s="14">
        <f t="shared" si="0"/>
        <v>48</v>
      </c>
      <c r="B56" s="8"/>
      <c r="C56" s="46" t="s">
        <v>282</v>
      </c>
      <c r="D56" s="214" t="s">
        <v>19</v>
      </c>
      <c r="E56" s="32"/>
      <c r="F56" s="17"/>
      <c r="G56" s="18">
        <f t="shared" si="1"/>
        <v>-0.1000000000003638</v>
      </c>
      <c r="H56" s="240"/>
      <c r="I56" s="7"/>
      <c r="J56" s="7"/>
      <c r="K56" s="7"/>
    </row>
    <row r="57" spans="1:17" ht="18" customHeight="1" x14ac:dyDescent="0.25">
      <c r="A57" s="14">
        <f t="shared" si="0"/>
        <v>49</v>
      </c>
      <c r="B57" s="8"/>
      <c r="C57" s="46" t="s">
        <v>282</v>
      </c>
      <c r="D57" s="214" t="s">
        <v>19</v>
      </c>
      <c r="E57" s="32"/>
      <c r="F57" s="17"/>
      <c r="G57" s="18">
        <f t="shared" si="1"/>
        <v>-0.1000000000003638</v>
      </c>
      <c r="H57" s="240"/>
      <c r="I57" s="7"/>
      <c r="J57" s="7"/>
      <c r="K57" s="7"/>
    </row>
    <row r="58" spans="1:17" ht="18" customHeight="1" x14ac:dyDescent="0.25">
      <c r="A58" s="14">
        <f t="shared" si="0"/>
        <v>50</v>
      </c>
      <c r="B58" s="8"/>
      <c r="C58" s="46" t="s">
        <v>282</v>
      </c>
      <c r="D58" s="214" t="s">
        <v>19</v>
      </c>
      <c r="E58" s="32"/>
      <c r="F58" s="17"/>
      <c r="G58" s="18">
        <f t="shared" si="1"/>
        <v>-0.1000000000003638</v>
      </c>
      <c r="H58" s="240"/>
      <c r="I58" s="7"/>
      <c r="J58" s="7"/>
      <c r="K58" s="7"/>
    </row>
    <row r="59" spans="1:17" ht="18" customHeight="1" x14ac:dyDescent="0.25">
      <c r="A59" s="14">
        <f t="shared" si="0"/>
        <v>51</v>
      </c>
      <c r="B59" s="8"/>
      <c r="C59" s="46" t="s">
        <v>282</v>
      </c>
      <c r="D59" s="214" t="s">
        <v>19</v>
      </c>
      <c r="E59" s="32"/>
      <c r="F59" s="17"/>
      <c r="G59" s="18">
        <f t="shared" si="1"/>
        <v>-0.1000000000003638</v>
      </c>
      <c r="H59" s="240"/>
      <c r="I59" s="7"/>
      <c r="J59" s="7"/>
      <c r="K59" s="7"/>
    </row>
    <row r="60" spans="1:17" ht="18" customHeight="1" x14ac:dyDescent="0.25">
      <c r="A60" s="14">
        <f t="shared" si="0"/>
        <v>52</v>
      </c>
      <c r="B60" s="8"/>
      <c r="C60" s="46" t="s">
        <v>282</v>
      </c>
      <c r="D60" s="214" t="s">
        <v>19</v>
      </c>
      <c r="E60" s="32"/>
      <c r="F60" s="17"/>
      <c r="G60" s="18">
        <f t="shared" si="1"/>
        <v>-0.1000000000003638</v>
      </c>
      <c r="H60" s="240"/>
      <c r="I60" s="7"/>
      <c r="J60" s="7"/>
      <c r="K60" s="7"/>
    </row>
    <row r="61" spans="1:17" ht="18" customHeight="1" x14ac:dyDescent="0.25">
      <c r="A61" s="14">
        <f t="shared" si="0"/>
        <v>53</v>
      </c>
      <c r="B61" s="8"/>
      <c r="C61" s="46" t="s">
        <v>282</v>
      </c>
      <c r="D61" s="214" t="s">
        <v>19</v>
      </c>
      <c r="E61" s="32"/>
      <c r="F61" s="17"/>
      <c r="G61" s="18">
        <f t="shared" si="1"/>
        <v>-0.1000000000003638</v>
      </c>
      <c r="H61" s="240"/>
      <c r="I61" s="7"/>
      <c r="J61" s="7"/>
      <c r="K61" s="7"/>
    </row>
    <row r="62" spans="1:17" ht="18" customHeight="1" x14ac:dyDescent="0.25">
      <c r="A62" s="14">
        <f t="shared" si="0"/>
        <v>54</v>
      </c>
      <c r="B62" s="8"/>
      <c r="C62" s="46" t="s">
        <v>282</v>
      </c>
      <c r="D62" s="214" t="s">
        <v>19</v>
      </c>
      <c r="E62" s="32"/>
      <c r="F62" s="17"/>
      <c r="G62" s="18">
        <f t="shared" si="1"/>
        <v>-0.1000000000003638</v>
      </c>
      <c r="H62" s="240"/>
      <c r="I62" s="7"/>
      <c r="J62" s="7"/>
      <c r="K62" s="7"/>
    </row>
    <row r="63" spans="1:17" ht="18" customHeight="1" x14ac:dyDescent="0.25">
      <c r="A63" s="14">
        <f t="shared" si="0"/>
        <v>55</v>
      </c>
      <c r="B63" s="8"/>
      <c r="C63" s="46" t="s">
        <v>282</v>
      </c>
      <c r="D63" s="214" t="s">
        <v>19</v>
      </c>
      <c r="E63" s="32"/>
      <c r="F63" s="17"/>
      <c r="G63" s="18">
        <f t="shared" si="1"/>
        <v>-0.1000000000003638</v>
      </c>
      <c r="H63" s="240"/>
      <c r="I63" s="7"/>
      <c r="J63" s="7"/>
      <c r="K63" s="7"/>
    </row>
    <row r="64" spans="1:17" ht="18" customHeight="1" x14ac:dyDescent="0.25">
      <c r="A64" s="14">
        <f t="shared" si="0"/>
        <v>56</v>
      </c>
      <c r="B64" s="8"/>
      <c r="C64" s="46" t="s">
        <v>282</v>
      </c>
      <c r="D64" s="214" t="s">
        <v>19</v>
      </c>
      <c r="E64" s="32"/>
      <c r="F64" s="17"/>
      <c r="G64" s="18">
        <f t="shared" si="1"/>
        <v>-0.1000000000003638</v>
      </c>
      <c r="H64" s="240"/>
      <c r="I64" s="7"/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282</v>
      </c>
      <c r="D65" s="214" t="s">
        <v>19</v>
      </c>
      <c r="E65" s="32"/>
      <c r="F65" s="17"/>
      <c r="G65" s="18">
        <f t="shared" si="1"/>
        <v>-0.1000000000003638</v>
      </c>
      <c r="H65" s="240"/>
      <c r="I65" s="7"/>
      <c r="J65" s="7"/>
      <c r="K65" s="140"/>
    </row>
    <row r="66" spans="1:11" ht="18" customHeight="1" x14ac:dyDescent="0.25">
      <c r="A66" s="14">
        <f t="shared" si="0"/>
        <v>58</v>
      </c>
      <c r="B66" s="8"/>
      <c r="C66" s="46" t="s">
        <v>282</v>
      </c>
      <c r="D66" s="214" t="s">
        <v>19</v>
      </c>
      <c r="E66" s="32"/>
      <c r="F66" s="17"/>
      <c r="G66" s="18">
        <f t="shared" si="1"/>
        <v>-0.1000000000003638</v>
      </c>
      <c r="H66" s="240"/>
      <c r="I66" s="7"/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282</v>
      </c>
      <c r="D67" s="214" t="s">
        <v>19</v>
      </c>
      <c r="E67" s="32"/>
      <c r="F67" s="17"/>
      <c r="G67" s="18">
        <f>+G66+E67-F67</f>
        <v>-0.1000000000003638</v>
      </c>
      <c r="H67" s="240"/>
      <c r="I67" s="7"/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282</v>
      </c>
      <c r="D68" s="214" t="s">
        <v>19</v>
      </c>
      <c r="E68" s="32"/>
      <c r="F68" s="17"/>
      <c r="G68" s="18">
        <f>+G67+E68-F68</f>
        <v>-0.1000000000003638</v>
      </c>
      <c r="H68" s="240"/>
      <c r="I68" s="7"/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282</v>
      </c>
      <c r="D69" s="214" t="s">
        <v>19</v>
      </c>
      <c r="E69" s="32"/>
      <c r="F69" s="17"/>
      <c r="G69" s="18">
        <f>+G68+E69-F69</f>
        <v>-0.1000000000003638</v>
      </c>
      <c r="H69" s="240"/>
      <c r="I69" s="7"/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282</v>
      </c>
      <c r="D70" s="214" t="s">
        <v>19</v>
      </c>
      <c r="E70" s="32"/>
      <c r="F70" s="17"/>
      <c r="G70" s="18">
        <f t="shared" si="1"/>
        <v>-0.1000000000003638</v>
      </c>
      <c r="H70" s="240"/>
      <c r="I70" s="7"/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282</v>
      </c>
      <c r="D71" s="214" t="s">
        <v>19</v>
      </c>
      <c r="E71" s="32"/>
      <c r="F71" s="17"/>
      <c r="G71" s="18">
        <f t="shared" si="1"/>
        <v>-0.1000000000003638</v>
      </c>
      <c r="H71" s="240"/>
      <c r="I71" s="7"/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282</v>
      </c>
      <c r="D72" s="214" t="s">
        <v>19</v>
      </c>
      <c r="E72" s="32"/>
      <c r="F72" s="17"/>
      <c r="G72" s="18">
        <f t="shared" si="1"/>
        <v>-0.1000000000003638</v>
      </c>
      <c r="H72" s="240"/>
      <c r="I72" s="7"/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282</v>
      </c>
      <c r="D73" s="214" t="s">
        <v>19</v>
      </c>
      <c r="E73" s="32"/>
      <c r="F73" s="17"/>
      <c r="G73" s="18">
        <f t="shared" si="1"/>
        <v>-0.1000000000003638</v>
      </c>
      <c r="H73" s="240"/>
      <c r="I73" s="7"/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282</v>
      </c>
      <c r="D74" s="214" t="s">
        <v>19</v>
      </c>
      <c r="E74" s="32"/>
      <c r="F74" s="17"/>
      <c r="G74" s="18">
        <f t="shared" ref="G74:G91" si="3">+G73+E74-F74</f>
        <v>-0.1000000000003638</v>
      </c>
      <c r="H74" s="240"/>
      <c r="I74" s="7"/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282</v>
      </c>
      <c r="D75" s="214" t="s">
        <v>19</v>
      </c>
      <c r="E75" s="32"/>
      <c r="F75" s="17"/>
      <c r="G75" s="18">
        <f t="shared" si="3"/>
        <v>-0.1000000000003638</v>
      </c>
      <c r="H75" s="240"/>
      <c r="I75" s="7"/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282</v>
      </c>
      <c r="D76" s="214" t="s">
        <v>19</v>
      </c>
      <c r="E76" s="32"/>
      <c r="F76" s="17"/>
      <c r="G76" s="18">
        <f t="shared" si="3"/>
        <v>-0.1000000000003638</v>
      </c>
      <c r="H76" s="240"/>
      <c r="I76" s="7"/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282</v>
      </c>
      <c r="D77" s="214" t="s">
        <v>19</v>
      </c>
      <c r="E77" s="32"/>
      <c r="F77" s="17"/>
      <c r="G77" s="18">
        <f t="shared" si="3"/>
        <v>-0.1000000000003638</v>
      </c>
      <c r="H77" s="240"/>
      <c r="I77" s="7"/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282</v>
      </c>
      <c r="D78" s="214" t="s">
        <v>19</v>
      </c>
      <c r="E78" s="32"/>
      <c r="F78" s="17"/>
      <c r="G78" s="18">
        <f t="shared" si="3"/>
        <v>-0.1000000000003638</v>
      </c>
      <c r="H78" s="240"/>
      <c r="I78" s="7"/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282</v>
      </c>
      <c r="D79" s="214" t="s">
        <v>19</v>
      </c>
      <c r="E79" s="32"/>
      <c r="F79" s="17"/>
      <c r="G79" s="18">
        <f t="shared" si="3"/>
        <v>-0.1000000000003638</v>
      </c>
      <c r="H79" s="240"/>
      <c r="I79" s="7"/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282</v>
      </c>
      <c r="D80" s="214" t="s">
        <v>19</v>
      </c>
      <c r="E80" s="32"/>
      <c r="F80" s="17"/>
      <c r="G80" s="18">
        <f t="shared" si="3"/>
        <v>-0.1000000000003638</v>
      </c>
      <c r="H80" s="240"/>
      <c r="I80" s="7"/>
      <c r="J80" s="7"/>
      <c r="K80" s="7"/>
    </row>
    <row r="81" spans="1:18" ht="18" customHeight="1" x14ac:dyDescent="0.25">
      <c r="A81" s="14">
        <f t="shared" si="2"/>
        <v>73</v>
      </c>
      <c r="B81" s="8"/>
      <c r="C81" s="46" t="s">
        <v>282</v>
      </c>
      <c r="D81" s="214" t="s">
        <v>19</v>
      </c>
      <c r="E81" s="32"/>
      <c r="F81" s="17"/>
      <c r="G81" s="18">
        <f t="shared" si="3"/>
        <v>-0.1000000000003638</v>
      </c>
      <c r="H81" s="240"/>
      <c r="I81" s="7"/>
      <c r="J81" s="7"/>
      <c r="K81" s="7"/>
    </row>
    <row r="82" spans="1:18" ht="18" customHeight="1" x14ac:dyDescent="0.25">
      <c r="A82" s="14">
        <f t="shared" si="2"/>
        <v>74</v>
      </c>
      <c r="B82" s="8"/>
      <c r="C82" s="46" t="s">
        <v>282</v>
      </c>
      <c r="D82" s="214" t="s">
        <v>19</v>
      </c>
      <c r="E82" s="32"/>
      <c r="F82" s="17"/>
      <c r="G82" s="18">
        <f t="shared" si="3"/>
        <v>-0.1000000000003638</v>
      </c>
      <c r="H82" s="240"/>
      <c r="I82" s="7"/>
      <c r="J82" s="7"/>
      <c r="K82" s="7"/>
    </row>
    <row r="83" spans="1:18" ht="18" customHeight="1" x14ac:dyDescent="0.25">
      <c r="A83" s="14">
        <f t="shared" si="2"/>
        <v>75</v>
      </c>
      <c r="B83" s="8"/>
      <c r="C83" s="46" t="s">
        <v>282</v>
      </c>
      <c r="D83" s="214" t="s">
        <v>19</v>
      </c>
      <c r="E83" s="32"/>
      <c r="F83" s="27"/>
      <c r="G83" s="18">
        <f t="shared" si="3"/>
        <v>-0.1000000000003638</v>
      </c>
      <c r="H83" s="240"/>
      <c r="I83" s="7"/>
      <c r="J83" s="7"/>
      <c r="K83" s="7"/>
    </row>
    <row r="84" spans="1:18" ht="18" customHeight="1" x14ac:dyDescent="0.25">
      <c r="A84" s="14">
        <f t="shared" si="2"/>
        <v>76</v>
      </c>
      <c r="B84" s="8"/>
      <c r="C84" s="46" t="s">
        <v>282</v>
      </c>
      <c r="D84" s="214" t="s">
        <v>19</v>
      </c>
      <c r="E84" s="32"/>
      <c r="F84" s="17"/>
      <c r="G84" s="18">
        <f t="shared" si="3"/>
        <v>-0.1000000000003638</v>
      </c>
      <c r="H84" s="240"/>
      <c r="I84" s="7"/>
      <c r="J84" s="7"/>
      <c r="K84" s="7"/>
    </row>
    <row r="85" spans="1:18" ht="18" customHeight="1" x14ac:dyDescent="0.25">
      <c r="A85" s="14">
        <f t="shared" si="2"/>
        <v>77</v>
      </c>
      <c r="B85" s="8"/>
      <c r="C85" s="46" t="s">
        <v>282</v>
      </c>
      <c r="D85" s="214" t="s">
        <v>19</v>
      </c>
      <c r="E85" s="32"/>
      <c r="F85" s="17"/>
      <c r="G85" s="18">
        <f t="shared" si="3"/>
        <v>-0.1000000000003638</v>
      </c>
      <c r="H85" s="240"/>
      <c r="I85" s="7"/>
      <c r="J85" s="7"/>
      <c r="K85" s="7"/>
    </row>
    <row r="86" spans="1:18" ht="18" customHeight="1" x14ac:dyDescent="0.25">
      <c r="A86" s="14">
        <f t="shared" si="2"/>
        <v>78</v>
      </c>
      <c r="B86" s="8"/>
      <c r="C86" s="46" t="s">
        <v>282</v>
      </c>
      <c r="D86" s="214" t="s">
        <v>19</v>
      </c>
      <c r="E86" s="32"/>
      <c r="F86" s="17"/>
      <c r="G86" s="18">
        <f t="shared" si="3"/>
        <v>-0.1000000000003638</v>
      </c>
      <c r="H86" s="240"/>
      <c r="I86" s="7"/>
      <c r="J86" s="7"/>
      <c r="K86" s="7"/>
    </row>
    <row r="87" spans="1:18" ht="18" customHeight="1" x14ac:dyDescent="0.25">
      <c r="A87" s="14">
        <f t="shared" si="2"/>
        <v>79</v>
      </c>
      <c r="B87" s="8"/>
      <c r="C87" s="46" t="s">
        <v>282</v>
      </c>
      <c r="D87" s="214" t="s">
        <v>19</v>
      </c>
      <c r="E87" s="32"/>
      <c r="F87" s="17"/>
      <c r="G87" s="18">
        <f t="shared" si="3"/>
        <v>-0.1000000000003638</v>
      </c>
      <c r="H87" s="240"/>
      <c r="I87" s="7"/>
      <c r="J87" s="7"/>
      <c r="K87" s="7"/>
    </row>
    <row r="88" spans="1:18" ht="18" customHeight="1" x14ac:dyDescent="0.25">
      <c r="A88" s="14">
        <f t="shared" si="2"/>
        <v>80</v>
      </c>
      <c r="B88" s="8"/>
      <c r="C88" s="46" t="s">
        <v>282</v>
      </c>
      <c r="D88" s="214" t="s">
        <v>19</v>
      </c>
      <c r="E88" s="32"/>
      <c r="F88" s="17"/>
      <c r="G88" s="18">
        <f t="shared" si="3"/>
        <v>-0.1000000000003638</v>
      </c>
      <c r="H88" s="240"/>
      <c r="I88" s="7"/>
      <c r="J88" s="7"/>
      <c r="K88" s="7"/>
    </row>
    <row r="89" spans="1:18" ht="18" customHeight="1" x14ac:dyDescent="0.25">
      <c r="A89" s="14">
        <f t="shared" si="2"/>
        <v>81</v>
      </c>
      <c r="B89" s="8"/>
      <c r="C89" s="46" t="s">
        <v>282</v>
      </c>
      <c r="D89" s="214" t="s">
        <v>19</v>
      </c>
      <c r="E89" s="32"/>
      <c r="F89" s="17"/>
      <c r="G89" s="18">
        <f t="shared" si="3"/>
        <v>-0.1000000000003638</v>
      </c>
      <c r="H89" s="240"/>
      <c r="I89" s="7"/>
      <c r="J89" s="7"/>
      <c r="K89" s="7"/>
    </row>
    <row r="90" spans="1:18" ht="18" customHeight="1" x14ac:dyDescent="0.25">
      <c r="A90" s="14">
        <f t="shared" si="2"/>
        <v>82</v>
      </c>
      <c r="B90" s="8"/>
      <c r="C90" s="46" t="s">
        <v>282</v>
      </c>
      <c r="D90" s="214" t="s">
        <v>19</v>
      </c>
      <c r="E90" s="32"/>
      <c r="F90" s="17"/>
      <c r="G90" s="18">
        <f t="shared" si="3"/>
        <v>-0.1000000000003638</v>
      </c>
      <c r="H90" s="240"/>
      <c r="I90" s="7"/>
      <c r="J90" s="7"/>
      <c r="K90" s="7"/>
      <c r="M90" s="199"/>
      <c r="R90" s="199"/>
    </row>
    <row r="91" spans="1:18" ht="18" customHeight="1" x14ac:dyDescent="0.25">
      <c r="A91" s="14">
        <f t="shared" si="2"/>
        <v>83</v>
      </c>
      <c r="B91" s="8"/>
      <c r="C91" s="46" t="s">
        <v>282</v>
      </c>
      <c r="D91" s="214" t="s">
        <v>19</v>
      </c>
      <c r="E91" s="32"/>
      <c r="F91" s="27"/>
      <c r="G91" s="18">
        <f t="shared" si="3"/>
        <v>-0.1000000000003638</v>
      </c>
      <c r="H91" s="240"/>
      <c r="I91" s="7"/>
      <c r="J91" s="7"/>
      <c r="K91" s="7"/>
      <c r="M91" s="199"/>
      <c r="R91" s="199"/>
    </row>
    <row r="92" spans="1:18" ht="18" customHeight="1" x14ac:dyDescent="0.25">
      <c r="A92" s="14">
        <f t="shared" si="2"/>
        <v>84</v>
      </c>
      <c r="B92" s="8"/>
      <c r="C92" s="46" t="s">
        <v>282</v>
      </c>
      <c r="D92" s="214" t="s">
        <v>19</v>
      </c>
      <c r="E92" s="32"/>
      <c r="F92" s="27"/>
      <c r="G92" s="18">
        <f>+G91+E92-F92</f>
        <v>-0.1000000000003638</v>
      </c>
      <c r="H92" s="240"/>
      <c r="I92" s="7"/>
      <c r="J92" s="7"/>
      <c r="K92" s="7"/>
      <c r="M92" s="199"/>
      <c r="R92" s="199"/>
    </row>
    <row r="93" spans="1:18" s="179" customFormat="1" ht="18" customHeight="1" x14ac:dyDescent="0.25">
      <c r="A93" s="241">
        <f t="shared" si="2"/>
        <v>85</v>
      </c>
      <c r="B93" s="242"/>
      <c r="C93" s="46" t="s">
        <v>282</v>
      </c>
      <c r="D93" s="244" t="s">
        <v>19</v>
      </c>
      <c r="E93" s="245"/>
      <c r="F93" s="52"/>
      <c r="G93" s="246">
        <f>+G92+E93-F93</f>
        <v>-0.1000000000003638</v>
      </c>
      <c r="H93" s="240"/>
      <c r="I93" s="247"/>
      <c r="J93" s="247"/>
      <c r="K93" s="247"/>
      <c r="M93" s="248"/>
      <c r="R93" s="248"/>
    </row>
    <row r="94" spans="1:18" s="179" customFormat="1" ht="18" customHeight="1" x14ac:dyDescent="0.25">
      <c r="A94" s="241"/>
      <c r="B94" s="242"/>
      <c r="C94" s="46" t="s">
        <v>282</v>
      </c>
      <c r="D94" s="244" t="s">
        <v>19</v>
      </c>
      <c r="E94" s="245"/>
      <c r="F94" s="52"/>
      <c r="G94" s="246">
        <f t="shared" ref="G94:G106" si="4">+G93+E94-F94</f>
        <v>-0.1000000000003638</v>
      </c>
      <c r="H94" s="240"/>
      <c r="I94" s="247"/>
      <c r="J94" s="247"/>
      <c r="K94" s="247"/>
      <c r="M94" s="248"/>
      <c r="R94" s="248"/>
    </row>
    <row r="95" spans="1:18" s="179" customFormat="1" ht="18" customHeight="1" x14ac:dyDescent="0.25">
      <c r="A95" s="241"/>
      <c r="B95" s="242"/>
      <c r="C95" s="46" t="s">
        <v>282</v>
      </c>
      <c r="D95" s="244" t="s">
        <v>19</v>
      </c>
      <c r="E95" s="245"/>
      <c r="F95" s="52"/>
      <c r="G95" s="246">
        <f t="shared" si="4"/>
        <v>-0.1000000000003638</v>
      </c>
      <c r="H95" s="240"/>
      <c r="I95" s="247"/>
      <c r="J95" s="247"/>
      <c r="K95" s="247"/>
      <c r="M95" s="248"/>
      <c r="R95" s="248"/>
    </row>
    <row r="96" spans="1:18" s="179" customFormat="1" ht="18" customHeight="1" x14ac:dyDescent="0.25">
      <c r="A96" s="241"/>
      <c r="B96" s="242"/>
      <c r="C96" s="46" t="s">
        <v>282</v>
      </c>
      <c r="D96" s="244" t="s">
        <v>19</v>
      </c>
      <c r="E96" s="245"/>
      <c r="F96" s="52"/>
      <c r="G96" s="246">
        <f t="shared" si="4"/>
        <v>-0.1000000000003638</v>
      </c>
      <c r="H96" s="240"/>
      <c r="I96" s="247"/>
      <c r="J96" s="247"/>
      <c r="K96" s="247"/>
      <c r="M96" s="248"/>
      <c r="R96" s="248"/>
    </row>
    <row r="97" spans="1:18" s="179" customFormat="1" ht="18" customHeight="1" x14ac:dyDescent="0.25">
      <c r="A97" s="241"/>
      <c r="B97" s="242"/>
      <c r="C97" s="46" t="s">
        <v>282</v>
      </c>
      <c r="D97" s="244" t="s">
        <v>19</v>
      </c>
      <c r="E97" s="245"/>
      <c r="F97" s="52"/>
      <c r="G97" s="246">
        <f t="shared" si="4"/>
        <v>-0.1000000000003638</v>
      </c>
      <c r="H97" s="240"/>
      <c r="I97" s="247"/>
      <c r="J97" s="247"/>
      <c r="K97" s="247"/>
      <c r="M97" s="248"/>
      <c r="R97" s="248"/>
    </row>
    <row r="98" spans="1:18" s="179" customFormat="1" ht="18" customHeight="1" x14ac:dyDescent="0.25">
      <c r="A98" s="241"/>
      <c r="B98" s="242"/>
      <c r="C98" s="46" t="s">
        <v>282</v>
      </c>
      <c r="D98" s="244" t="s">
        <v>19</v>
      </c>
      <c r="E98" s="245"/>
      <c r="F98" s="52"/>
      <c r="G98" s="246">
        <f t="shared" si="4"/>
        <v>-0.1000000000003638</v>
      </c>
      <c r="H98" s="240"/>
      <c r="I98" s="247"/>
      <c r="J98" s="247"/>
      <c r="K98" s="247"/>
      <c r="M98" s="248"/>
      <c r="R98" s="248"/>
    </row>
    <row r="99" spans="1:18" s="179" customFormat="1" ht="18" customHeight="1" x14ac:dyDescent="0.25">
      <c r="A99" s="241"/>
      <c r="B99" s="242"/>
      <c r="C99" s="46" t="s">
        <v>282</v>
      </c>
      <c r="D99" s="244" t="s">
        <v>19</v>
      </c>
      <c r="E99" s="245"/>
      <c r="F99" s="52"/>
      <c r="G99" s="246">
        <f t="shared" si="4"/>
        <v>-0.1000000000003638</v>
      </c>
      <c r="H99" s="240"/>
      <c r="I99" s="247"/>
      <c r="J99" s="247"/>
      <c r="K99" s="247"/>
      <c r="M99" s="248"/>
      <c r="R99" s="248"/>
    </row>
    <row r="100" spans="1:18" s="179" customFormat="1" ht="18" customHeight="1" x14ac:dyDescent="0.25">
      <c r="A100" s="241"/>
      <c r="B100" s="242"/>
      <c r="C100" s="46" t="s">
        <v>282</v>
      </c>
      <c r="D100" s="244" t="s">
        <v>19</v>
      </c>
      <c r="E100" s="245"/>
      <c r="F100" s="52"/>
      <c r="G100" s="246">
        <f t="shared" si="4"/>
        <v>-0.1000000000003638</v>
      </c>
      <c r="H100" s="240"/>
      <c r="I100" s="247"/>
      <c r="J100" s="247"/>
      <c r="K100" s="247"/>
      <c r="M100" s="248"/>
      <c r="R100" s="248"/>
    </row>
    <row r="101" spans="1:18" s="179" customFormat="1" ht="18" customHeight="1" x14ac:dyDescent="0.25">
      <c r="A101" s="241"/>
      <c r="B101" s="242"/>
      <c r="C101" s="46" t="s">
        <v>282</v>
      </c>
      <c r="D101" s="244"/>
      <c r="E101" s="245"/>
      <c r="F101" s="52"/>
      <c r="G101" s="246">
        <f t="shared" si="4"/>
        <v>-0.1000000000003638</v>
      </c>
      <c r="H101" s="240"/>
      <c r="I101" s="247"/>
      <c r="J101" s="247"/>
      <c r="K101" s="247"/>
      <c r="M101" s="248"/>
      <c r="R101" s="248"/>
    </row>
    <row r="102" spans="1:18" s="179" customFormat="1" ht="18" customHeight="1" x14ac:dyDescent="0.25">
      <c r="A102" s="241"/>
      <c r="B102" s="242"/>
      <c r="C102" s="46" t="s">
        <v>282</v>
      </c>
      <c r="D102" s="244"/>
      <c r="E102" s="245"/>
      <c r="F102" s="52"/>
      <c r="G102" s="246">
        <f t="shared" si="4"/>
        <v>-0.1000000000003638</v>
      </c>
      <c r="H102" s="240"/>
      <c r="I102" s="247"/>
      <c r="J102" s="247"/>
      <c r="K102" s="247"/>
      <c r="M102" s="248"/>
      <c r="R102" s="248"/>
    </row>
    <row r="103" spans="1:18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-0.1000000000003638</v>
      </c>
      <c r="H103" s="240"/>
      <c r="I103" s="247"/>
      <c r="J103" s="247"/>
      <c r="K103" s="247"/>
      <c r="M103" s="248"/>
      <c r="R103" s="248"/>
    </row>
    <row r="104" spans="1:18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-0.1000000000003638</v>
      </c>
      <c r="H104" s="240"/>
      <c r="I104" s="247"/>
      <c r="J104" s="247"/>
      <c r="K104" s="247"/>
      <c r="M104" s="248"/>
      <c r="R104" s="248"/>
    </row>
    <row r="105" spans="1:18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-0.1000000000003638</v>
      </c>
      <c r="H105" s="28"/>
      <c r="I105" s="7"/>
      <c r="J105" s="7"/>
      <c r="K105" s="7"/>
      <c r="M105" s="199"/>
      <c r="R105" s="199"/>
    </row>
    <row r="106" spans="1:18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-0.1000000000003638</v>
      </c>
      <c r="H106" s="28"/>
      <c r="I106" s="7"/>
      <c r="J106" s="7"/>
      <c r="K106" s="7"/>
      <c r="M106" s="199"/>
      <c r="R106" s="199"/>
    </row>
    <row r="107" spans="1:18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-0.1000000000003638</v>
      </c>
      <c r="H107" s="28"/>
      <c r="I107" s="7"/>
      <c r="J107" s="7"/>
      <c r="K107" s="7"/>
      <c r="M107" s="199"/>
      <c r="R107" s="199"/>
    </row>
    <row r="108" spans="1:18" ht="18" customHeight="1" x14ac:dyDescent="0.25">
      <c r="A108" s="7"/>
      <c r="B108" s="7"/>
      <c r="C108" s="34" t="s">
        <v>13</v>
      </c>
      <c r="D108" s="14"/>
      <c r="E108" s="35">
        <f>SUM(E8:E107)</f>
        <v>8338.2999999999993</v>
      </c>
      <c r="F108" s="35">
        <f>SUM(F8:F107)</f>
        <v>8338.4</v>
      </c>
      <c r="G108" s="35">
        <f>+E108-F108+G8</f>
        <v>-0.1000000000003638</v>
      </c>
      <c r="H108" s="35"/>
      <c r="I108" s="36"/>
      <c r="J108" s="36"/>
      <c r="K108" s="7">
        <f>SUM(K9:K107)</f>
        <v>10</v>
      </c>
    </row>
    <row r="109" spans="1:18" ht="18" customHeight="1" x14ac:dyDescent="0.25"/>
    <row r="112" spans="1:18" x14ac:dyDescent="0.25">
      <c r="E112" s="201"/>
      <c r="F112" s="201"/>
      <c r="G112" s="201"/>
      <c r="H112" s="201"/>
    </row>
    <row r="113" spans="5:10" x14ac:dyDescent="0.25">
      <c r="F113" s="26"/>
    </row>
    <row r="114" spans="5:10" x14ac:dyDescent="0.25">
      <c r="E114" s="26"/>
      <c r="F114" s="26"/>
      <c r="G114" s="26"/>
      <c r="H114" s="26"/>
      <c r="I114" s="26"/>
      <c r="J114" s="26"/>
    </row>
    <row r="115" spans="5:10" x14ac:dyDescent="0.25">
      <c r="I115" s="202"/>
      <c r="J115" s="202"/>
    </row>
    <row r="116" spans="5:10" x14ac:dyDescent="0.25">
      <c r="E116" s="199"/>
    </row>
    <row r="117" spans="5:10" x14ac:dyDescent="0.25">
      <c r="E117" s="26"/>
      <c r="F117" s="26"/>
    </row>
    <row r="118" spans="5:10" x14ac:dyDescent="0.25">
      <c r="E118" s="203"/>
      <c r="F118" s="204"/>
      <c r="G118" s="203"/>
      <c r="H118" s="203"/>
    </row>
    <row r="119" spans="5:10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221D-81C1-4829-B868-F7F5315C240B}">
  <sheetPr codeName="Sheet76"/>
  <dimension ref="A1:R120"/>
  <sheetViews>
    <sheetView topLeftCell="A8" workbookViewId="0">
      <selection activeCell="F28" sqref="F28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10" width="14.85546875" customWidth="1"/>
    <col min="11" max="11" width="15.5703125" customWidth="1"/>
    <col min="13" max="13" width="11.28515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2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2"/>
    </row>
    <row r="6" spans="1:13" x14ac:dyDescent="0.25">
      <c r="A6" t="s">
        <v>163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353</v>
      </c>
      <c r="K7" s="4" t="s">
        <v>172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45771</v>
      </c>
      <c r="C9" s="46" t="s">
        <v>369</v>
      </c>
      <c r="D9" s="214" t="s">
        <v>19</v>
      </c>
      <c r="E9" s="154">
        <v>9829.4</v>
      </c>
      <c r="F9" s="27"/>
      <c r="G9" s="18">
        <f>+G8+E9-F9</f>
        <v>9829.4</v>
      </c>
      <c r="H9" s="28" t="s">
        <v>91</v>
      </c>
      <c r="I9" s="7"/>
      <c r="J9" s="7"/>
      <c r="K9" s="7">
        <v>3</v>
      </c>
    </row>
    <row r="10" spans="1:13" ht="17.25" customHeight="1" x14ac:dyDescent="0.25">
      <c r="A10" s="14"/>
      <c r="B10" s="8">
        <v>45721</v>
      </c>
      <c r="C10" s="46" t="s">
        <v>369</v>
      </c>
      <c r="D10" s="214" t="s">
        <v>19</v>
      </c>
      <c r="E10" s="154">
        <v>2161.6</v>
      </c>
      <c r="F10" s="27"/>
      <c r="G10" s="18">
        <f t="shared" ref="G10:G11" si="0">+G9+E10-F10</f>
        <v>11991</v>
      </c>
      <c r="H10" s="28"/>
      <c r="I10" s="7"/>
      <c r="J10" s="7"/>
      <c r="K10" s="7"/>
    </row>
    <row r="11" spans="1:13" ht="17.25" customHeight="1" x14ac:dyDescent="0.25">
      <c r="A11" s="14">
        <f>+A9+1</f>
        <v>2</v>
      </c>
      <c r="B11" s="8">
        <v>45721</v>
      </c>
      <c r="C11" s="46" t="s">
        <v>369</v>
      </c>
      <c r="D11" s="214" t="s">
        <v>19</v>
      </c>
      <c r="E11" s="11">
        <v>16244.6</v>
      </c>
      <c r="F11" s="27"/>
      <c r="G11" s="18">
        <f t="shared" si="0"/>
        <v>28235.599999999999</v>
      </c>
      <c r="H11" s="28" t="s">
        <v>91</v>
      </c>
      <c r="I11" s="7"/>
      <c r="J11" s="7"/>
      <c r="K11" s="7">
        <v>20</v>
      </c>
    </row>
    <row r="12" spans="1:13" ht="18" customHeight="1" x14ac:dyDescent="0.25">
      <c r="A12" s="14">
        <f t="shared" ref="A12:A74" si="1">+A11+1</f>
        <v>3</v>
      </c>
      <c r="B12" s="8">
        <v>45730</v>
      </c>
      <c r="C12" s="46" t="s">
        <v>369</v>
      </c>
      <c r="D12" s="214" t="s">
        <v>19</v>
      </c>
      <c r="E12" s="16"/>
      <c r="F12" s="27">
        <v>824.4</v>
      </c>
      <c r="G12" s="18">
        <f t="shared" ref="G12:G74" si="2">+G11+E12-F12</f>
        <v>27411.199999999997</v>
      </c>
      <c r="H12" s="28" t="s">
        <v>91</v>
      </c>
      <c r="I12" s="7"/>
      <c r="J12" s="7"/>
      <c r="K12" s="140"/>
      <c r="M12">
        <f>641.4+649.8+583.6+594</f>
        <v>2468.7999999999997</v>
      </c>
    </row>
    <row r="13" spans="1:13" ht="18" customHeight="1" x14ac:dyDescent="0.25">
      <c r="A13" s="14">
        <f t="shared" si="1"/>
        <v>4</v>
      </c>
      <c r="B13" s="8">
        <v>45731</v>
      </c>
      <c r="C13" s="46" t="s">
        <v>369</v>
      </c>
      <c r="D13" s="214" t="s">
        <v>19</v>
      </c>
      <c r="E13" s="16"/>
      <c r="F13" s="17">
        <v>712.3</v>
      </c>
      <c r="G13" s="18">
        <f t="shared" si="2"/>
        <v>26698.899999999998</v>
      </c>
      <c r="H13" s="28" t="s">
        <v>91</v>
      </c>
      <c r="I13" s="7"/>
      <c r="J13" s="7"/>
      <c r="K13" s="140"/>
      <c r="L13" t="s">
        <v>188</v>
      </c>
    </row>
    <row r="14" spans="1:13" ht="18" customHeight="1" x14ac:dyDescent="0.25">
      <c r="A14" s="14">
        <f t="shared" si="1"/>
        <v>5</v>
      </c>
      <c r="B14" s="205">
        <v>45733</v>
      </c>
      <c r="C14" s="46" t="s">
        <v>369</v>
      </c>
      <c r="D14" s="214" t="s">
        <v>19</v>
      </c>
      <c r="E14" s="16"/>
      <c r="F14" s="17">
        <v>1699.5</v>
      </c>
      <c r="G14" s="18">
        <f t="shared" si="2"/>
        <v>24999.399999999998</v>
      </c>
      <c r="H14" s="28" t="s">
        <v>91</v>
      </c>
      <c r="I14" s="7"/>
      <c r="J14" s="7"/>
      <c r="K14" s="140"/>
    </row>
    <row r="15" spans="1:13" ht="18" customHeight="1" x14ac:dyDescent="0.25">
      <c r="A15" s="14">
        <f t="shared" si="1"/>
        <v>6</v>
      </c>
      <c r="B15" s="8">
        <v>45734</v>
      </c>
      <c r="C15" s="46" t="s">
        <v>369</v>
      </c>
      <c r="D15" s="214" t="s">
        <v>19</v>
      </c>
      <c r="E15" s="16"/>
      <c r="F15" s="27">
        <f>841.9+865.9</f>
        <v>1707.8</v>
      </c>
      <c r="G15" s="18">
        <f t="shared" si="2"/>
        <v>23291.599999999999</v>
      </c>
      <c r="H15" s="28" t="s">
        <v>91</v>
      </c>
      <c r="I15" s="7"/>
      <c r="J15" s="7"/>
      <c r="K15" s="7"/>
    </row>
    <row r="16" spans="1:13" ht="18" customHeight="1" x14ac:dyDescent="0.25">
      <c r="A16" s="14">
        <f t="shared" si="1"/>
        <v>7</v>
      </c>
      <c r="B16" s="8">
        <v>45735</v>
      </c>
      <c r="C16" s="46" t="s">
        <v>369</v>
      </c>
      <c r="D16" s="214" t="s">
        <v>19</v>
      </c>
      <c r="E16" s="16"/>
      <c r="F16" s="27">
        <v>1701.6</v>
      </c>
      <c r="G16" s="18">
        <f t="shared" si="2"/>
        <v>21590</v>
      </c>
      <c r="H16" s="28" t="s">
        <v>91</v>
      </c>
      <c r="I16" s="7"/>
      <c r="J16" s="7"/>
      <c r="K16" s="140"/>
    </row>
    <row r="17" spans="1:17" ht="18" customHeight="1" x14ac:dyDescent="0.25">
      <c r="A17" s="14">
        <f t="shared" si="1"/>
        <v>8</v>
      </c>
      <c r="B17" s="8">
        <v>45752</v>
      </c>
      <c r="C17" s="46" t="s">
        <v>369</v>
      </c>
      <c r="D17" s="214" t="s">
        <v>19</v>
      </c>
      <c r="E17" s="16"/>
      <c r="F17" s="27">
        <v>676.4</v>
      </c>
      <c r="G17" s="18">
        <f t="shared" si="2"/>
        <v>20913.599999999999</v>
      </c>
      <c r="H17" s="28" t="s">
        <v>91</v>
      </c>
      <c r="I17" s="7"/>
      <c r="J17" s="7"/>
      <c r="K17" s="7"/>
    </row>
    <row r="18" spans="1:17" ht="18" customHeight="1" x14ac:dyDescent="0.25">
      <c r="A18" s="14">
        <f t="shared" si="1"/>
        <v>9</v>
      </c>
      <c r="B18" s="8">
        <v>45755</v>
      </c>
      <c r="C18" s="46" t="s">
        <v>369</v>
      </c>
      <c r="D18" s="214" t="s">
        <v>19</v>
      </c>
      <c r="E18" s="30"/>
      <c r="F18" s="27">
        <v>732.2</v>
      </c>
      <c r="G18" s="18">
        <f t="shared" si="2"/>
        <v>20181.399999999998</v>
      </c>
      <c r="H18" s="28" t="s">
        <v>91</v>
      </c>
      <c r="I18" s="7"/>
      <c r="J18" s="7"/>
      <c r="K18" s="7"/>
    </row>
    <row r="19" spans="1:17" s="230" customFormat="1" ht="18" customHeight="1" x14ac:dyDescent="0.25">
      <c r="A19" s="223">
        <f>+A18+1</f>
        <v>10</v>
      </c>
      <c r="B19" s="224">
        <v>45756</v>
      </c>
      <c r="C19" s="46" t="s">
        <v>369</v>
      </c>
      <c r="D19" s="226" t="s">
        <v>19</v>
      </c>
      <c r="E19" s="227"/>
      <c r="F19" s="228">
        <v>742.9</v>
      </c>
      <c r="G19" s="229">
        <f t="shared" si="2"/>
        <v>19438.499999999996</v>
      </c>
      <c r="H19" s="28" t="s">
        <v>91</v>
      </c>
      <c r="I19" s="7"/>
      <c r="J19" s="7"/>
      <c r="K19" s="348"/>
    </row>
    <row r="20" spans="1:17" s="230" customFormat="1" ht="18" customHeight="1" x14ac:dyDescent="0.25">
      <c r="A20" s="223">
        <f t="shared" si="1"/>
        <v>11</v>
      </c>
      <c r="B20" s="224">
        <v>45786</v>
      </c>
      <c r="C20" s="46" t="s">
        <v>369</v>
      </c>
      <c r="D20" s="226" t="s">
        <v>19</v>
      </c>
      <c r="E20" s="231"/>
      <c r="F20" s="228">
        <v>848.5</v>
      </c>
      <c r="G20" s="229">
        <f t="shared" si="2"/>
        <v>18589.999999999996</v>
      </c>
      <c r="H20" s="28" t="s">
        <v>91</v>
      </c>
      <c r="I20" s="7"/>
      <c r="J20" s="7"/>
      <c r="K20" s="348"/>
    </row>
    <row r="21" spans="1:17" ht="18" customHeight="1" x14ac:dyDescent="0.25">
      <c r="A21" s="14">
        <f t="shared" si="1"/>
        <v>12</v>
      </c>
      <c r="B21" s="8">
        <v>45894</v>
      </c>
      <c r="C21" s="46" t="s">
        <v>369</v>
      </c>
      <c r="D21" s="214" t="s">
        <v>19</v>
      </c>
      <c r="E21" s="32"/>
      <c r="F21" s="17">
        <v>1661.3</v>
      </c>
      <c r="G21" s="18">
        <f t="shared" si="2"/>
        <v>16928.699999999997</v>
      </c>
      <c r="H21" s="28" t="s">
        <v>91</v>
      </c>
      <c r="I21" s="7"/>
      <c r="J21" s="7"/>
      <c r="K21" s="7"/>
      <c r="Q21">
        <f>655.4+618+648+651.2+620+645+649+674+641+652+617+635+623+619</f>
        <v>8947.6</v>
      </c>
    </row>
    <row r="22" spans="1:17" ht="18" customHeight="1" x14ac:dyDescent="0.25">
      <c r="A22" s="14">
        <f t="shared" si="1"/>
        <v>13</v>
      </c>
      <c r="B22" s="8">
        <v>45895</v>
      </c>
      <c r="C22" s="46" t="s">
        <v>369</v>
      </c>
      <c r="D22" s="214" t="s">
        <v>19</v>
      </c>
      <c r="E22" s="32"/>
      <c r="F22" s="27">
        <v>2349.3000000000002</v>
      </c>
      <c r="G22" s="18">
        <f t="shared" si="2"/>
        <v>14579.399999999998</v>
      </c>
      <c r="H22" s="28" t="s">
        <v>91</v>
      </c>
      <c r="I22" s="7"/>
      <c r="J22" s="7"/>
      <c r="K22" s="7"/>
    </row>
    <row r="23" spans="1:17" ht="18" customHeight="1" x14ac:dyDescent="0.25">
      <c r="A23" s="14">
        <f t="shared" si="1"/>
        <v>14</v>
      </c>
      <c r="B23" s="232">
        <v>45896</v>
      </c>
      <c r="C23" s="46" t="s">
        <v>369</v>
      </c>
      <c r="D23" s="234" t="s">
        <v>19</v>
      </c>
      <c r="E23" s="235"/>
      <c r="F23" s="172">
        <v>2396.9</v>
      </c>
      <c r="G23" s="18">
        <f t="shared" si="2"/>
        <v>12182.499999999998</v>
      </c>
      <c r="H23" s="28" t="s">
        <v>129</v>
      </c>
      <c r="I23" s="7"/>
      <c r="J23" s="7"/>
      <c r="K23" s="7"/>
    </row>
    <row r="24" spans="1:17" ht="18" customHeight="1" x14ac:dyDescent="0.25">
      <c r="A24" s="14">
        <f t="shared" si="1"/>
        <v>15</v>
      </c>
      <c r="B24" s="8">
        <v>45897</v>
      </c>
      <c r="C24" s="46" t="s">
        <v>369</v>
      </c>
      <c r="D24" s="214" t="s">
        <v>19</v>
      </c>
      <c r="E24" s="32"/>
      <c r="F24" s="17">
        <v>1733.8</v>
      </c>
      <c r="G24" s="18">
        <f t="shared" si="2"/>
        <v>10448.699999999999</v>
      </c>
      <c r="H24" s="28" t="s">
        <v>129</v>
      </c>
      <c r="I24" s="7"/>
      <c r="J24" s="7"/>
      <c r="K24" s="7"/>
    </row>
    <row r="25" spans="1:17" ht="18" customHeight="1" x14ac:dyDescent="0.25">
      <c r="A25" s="14">
        <f t="shared" si="1"/>
        <v>16</v>
      </c>
      <c r="B25" s="8">
        <v>45932</v>
      </c>
      <c r="C25" s="46" t="s">
        <v>369</v>
      </c>
      <c r="D25" s="214" t="s">
        <v>19</v>
      </c>
      <c r="E25" s="32"/>
      <c r="F25" s="17">
        <v>1477</v>
      </c>
      <c r="G25" s="18">
        <f t="shared" si="2"/>
        <v>8971.6999999999989</v>
      </c>
      <c r="H25" s="28" t="s">
        <v>91</v>
      </c>
      <c r="I25" s="7"/>
      <c r="J25" s="7"/>
      <c r="K25" s="7"/>
    </row>
    <row r="26" spans="1:17" ht="18" customHeight="1" x14ac:dyDescent="0.25">
      <c r="A26" s="14">
        <f t="shared" si="1"/>
        <v>17</v>
      </c>
      <c r="B26" s="8">
        <v>45936</v>
      </c>
      <c r="C26" s="46" t="s">
        <v>369</v>
      </c>
      <c r="D26" s="214" t="s">
        <v>19</v>
      </c>
      <c r="E26" s="32"/>
      <c r="F26" s="17">
        <v>899.5</v>
      </c>
      <c r="G26" s="18">
        <f t="shared" si="2"/>
        <v>8072.1999999999989</v>
      </c>
      <c r="H26" s="28" t="s">
        <v>91</v>
      </c>
      <c r="I26" s="7"/>
      <c r="J26" s="7"/>
      <c r="K26" s="7"/>
    </row>
    <row r="27" spans="1:17" ht="18" customHeight="1" x14ac:dyDescent="0.25">
      <c r="A27" s="14">
        <f t="shared" si="1"/>
        <v>18</v>
      </c>
      <c r="B27" s="8">
        <v>45937</v>
      </c>
      <c r="C27" s="46" t="s">
        <v>369</v>
      </c>
      <c r="D27" s="214" t="s">
        <v>19</v>
      </c>
      <c r="E27" s="32"/>
      <c r="F27" s="17">
        <v>909.9</v>
      </c>
      <c r="G27" s="18">
        <f t="shared" si="2"/>
        <v>7162.2999999999993</v>
      </c>
      <c r="H27" s="28" t="s">
        <v>91</v>
      </c>
      <c r="I27" s="7"/>
      <c r="J27" s="7"/>
      <c r="K27" s="7"/>
    </row>
    <row r="28" spans="1:17" ht="18" customHeight="1" x14ac:dyDescent="0.25">
      <c r="A28" s="14">
        <f>+A27+1</f>
        <v>19</v>
      </c>
      <c r="B28" s="8"/>
      <c r="C28" s="46" t="s">
        <v>369</v>
      </c>
      <c r="D28" s="214" t="s">
        <v>19</v>
      </c>
      <c r="E28" s="32"/>
      <c r="F28" s="125"/>
      <c r="G28" s="18">
        <f t="shared" si="2"/>
        <v>7162.2999999999993</v>
      </c>
      <c r="H28" s="28" t="s">
        <v>91</v>
      </c>
      <c r="I28" s="7"/>
      <c r="J28" s="7"/>
      <c r="K28" s="7"/>
    </row>
    <row r="29" spans="1:17" ht="18" customHeight="1" x14ac:dyDescent="0.25">
      <c r="A29" s="14">
        <f t="shared" si="1"/>
        <v>20</v>
      </c>
      <c r="B29" s="8"/>
      <c r="C29" s="46" t="s">
        <v>369</v>
      </c>
      <c r="D29" s="214" t="s">
        <v>19</v>
      </c>
      <c r="E29" s="129"/>
      <c r="F29" s="17"/>
      <c r="G29" s="18">
        <f t="shared" si="2"/>
        <v>7162.2999999999993</v>
      </c>
      <c r="H29" s="28" t="s">
        <v>91</v>
      </c>
      <c r="I29" s="7"/>
      <c r="J29" s="7"/>
      <c r="K29" s="7"/>
    </row>
    <row r="30" spans="1:17" ht="18" customHeight="1" x14ac:dyDescent="0.25">
      <c r="A30" s="14">
        <f t="shared" si="1"/>
        <v>21</v>
      </c>
      <c r="B30" s="8"/>
      <c r="C30" s="46" t="s">
        <v>369</v>
      </c>
      <c r="D30" s="214" t="s">
        <v>19</v>
      </c>
      <c r="E30" s="32"/>
      <c r="F30" s="172"/>
      <c r="G30" s="18">
        <f t="shared" si="2"/>
        <v>7162.2999999999993</v>
      </c>
      <c r="H30" s="28" t="s">
        <v>91</v>
      </c>
      <c r="I30" s="7"/>
      <c r="J30" s="7"/>
      <c r="K30" s="7"/>
    </row>
    <row r="31" spans="1:17" ht="18" customHeight="1" x14ac:dyDescent="0.25">
      <c r="A31" s="14">
        <f t="shared" si="1"/>
        <v>22</v>
      </c>
      <c r="B31" s="8"/>
      <c r="C31" s="46" t="s">
        <v>369</v>
      </c>
      <c r="D31" s="214" t="s">
        <v>19</v>
      </c>
      <c r="E31" s="32"/>
      <c r="F31" s="125"/>
      <c r="G31" s="18">
        <f t="shared" si="2"/>
        <v>7162.2999999999993</v>
      </c>
      <c r="H31" s="28" t="s">
        <v>91</v>
      </c>
      <c r="I31" s="7"/>
      <c r="J31" s="7"/>
      <c r="K31" s="7"/>
      <c r="P31">
        <f>68*10</f>
        <v>680</v>
      </c>
    </row>
    <row r="32" spans="1:17" ht="18" customHeight="1" x14ac:dyDescent="0.25">
      <c r="A32" s="14">
        <f t="shared" si="1"/>
        <v>23</v>
      </c>
      <c r="B32" s="8"/>
      <c r="C32" s="46" t="s">
        <v>369</v>
      </c>
      <c r="D32" s="214" t="s">
        <v>19</v>
      </c>
      <c r="E32" s="32"/>
      <c r="F32" s="152"/>
      <c r="G32" s="18">
        <f t="shared" si="2"/>
        <v>7162.2999999999993</v>
      </c>
      <c r="H32" s="28" t="s">
        <v>91</v>
      </c>
      <c r="I32" s="7"/>
      <c r="J32" s="7"/>
      <c r="K32" s="7"/>
    </row>
    <row r="33" spans="1:17" ht="17.25" customHeight="1" x14ac:dyDescent="0.25">
      <c r="A33" s="14">
        <f t="shared" si="1"/>
        <v>24</v>
      </c>
      <c r="B33" s="8"/>
      <c r="C33" s="46" t="s">
        <v>369</v>
      </c>
      <c r="D33" s="214" t="s">
        <v>19</v>
      </c>
      <c r="E33" s="13"/>
      <c r="F33" s="17"/>
      <c r="G33" s="18">
        <f t="shared" si="2"/>
        <v>7162.2999999999993</v>
      </c>
      <c r="H33" s="28" t="s">
        <v>91</v>
      </c>
      <c r="I33" s="7"/>
      <c r="J33" s="7"/>
      <c r="K33" s="7"/>
    </row>
    <row r="34" spans="1:17" ht="17.25" customHeight="1" x14ac:dyDescent="0.25">
      <c r="A34" s="14">
        <f t="shared" si="1"/>
        <v>25</v>
      </c>
      <c r="B34" s="44"/>
      <c r="C34" s="46" t="s">
        <v>369</v>
      </c>
      <c r="D34" s="214" t="s">
        <v>19</v>
      </c>
      <c r="E34" s="13"/>
      <c r="F34" s="17"/>
      <c r="G34" s="18">
        <f t="shared" si="2"/>
        <v>7162.2999999999993</v>
      </c>
      <c r="H34" s="178"/>
      <c r="I34" s="7"/>
      <c r="J34" s="7"/>
      <c r="K34" s="7"/>
    </row>
    <row r="35" spans="1:17" ht="18" customHeight="1" x14ac:dyDescent="0.25">
      <c r="A35" s="14">
        <f t="shared" si="1"/>
        <v>26</v>
      </c>
      <c r="B35" s="8"/>
      <c r="C35" s="46" t="s">
        <v>369</v>
      </c>
      <c r="D35" s="214" t="s">
        <v>19</v>
      </c>
      <c r="E35" s="32"/>
      <c r="F35" s="40"/>
      <c r="G35" s="18">
        <f t="shared" si="2"/>
        <v>7162.2999999999993</v>
      </c>
      <c r="H35" s="178"/>
      <c r="I35" s="7"/>
      <c r="J35" s="7"/>
      <c r="K35" s="7"/>
    </row>
    <row r="36" spans="1:17" ht="18" customHeight="1" x14ac:dyDescent="0.25">
      <c r="A36" s="14">
        <f t="shared" si="1"/>
        <v>27</v>
      </c>
      <c r="B36" s="45"/>
      <c r="C36" s="46" t="s">
        <v>369</v>
      </c>
      <c r="D36" s="214" t="s">
        <v>19</v>
      </c>
      <c r="E36" s="32"/>
      <c r="F36" s="40"/>
      <c r="G36" s="18">
        <f t="shared" si="2"/>
        <v>7162.2999999999993</v>
      </c>
      <c r="H36" s="178"/>
      <c r="I36" s="7"/>
      <c r="J36" s="7"/>
      <c r="K36" s="7"/>
    </row>
    <row r="37" spans="1:17" ht="18" customHeight="1" x14ac:dyDescent="0.25">
      <c r="A37" s="14">
        <f t="shared" si="1"/>
        <v>28</v>
      </c>
      <c r="B37" s="8"/>
      <c r="C37" s="46" t="s">
        <v>369</v>
      </c>
      <c r="D37" s="214" t="s">
        <v>19</v>
      </c>
      <c r="E37" s="32"/>
      <c r="F37" s="40"/>
      <c r="G37" s="18">
        <f t="shared" si="2"/>
        <v>7162.2999999999993</v>
      </c>
      <c r="H37" s="178"/>
      <c r="I37" s="7"/>
      <c r="J37" s="7"/>
      <c r="K37" s="7"/>
    </row>
    <row r="38" spans="1:17" ht="18" customHeight="1" x14ac:dyDescent="0.25">
      <c r="A38" s="14">
        <f t="shared" si="1"/>
        <v>29</v>
      </c>
      <c r="B38" s="8"/>
      <c r="C38" s="46" t="s">
        <v>369</v>
      </c>
      <c r="D38" s="214" t="s">
        <v>19</v>
      </c>
      <c r="E38" s="32"/>
      <c r="F38" s="17"/>
      <c r="G38" s="18">
        <f t="shared" si="2"/>
        <v>7162.2999999999993</v>
      </c>
      <c r="H38" s="178"/>
      <c r="I38" s="7"/>
      <c r="J38" s="7"/>
      <c r="K38" s="7"/>
    </row>
    <row r="39" spans="1:17" ht="18" customHeight="1" x14ac:dyDescent="0.25">
      <c r="A39" s="14">
        <f t="shared" si="1"/>
        <v>30</v>
      </c>
      <c r="B39" s="8"/>
      <c r="C39" s="46" t="s">
        <v>369</v>
      </c>
      <c r="D39" s="214" t="s">
        <v>19</v>
      </c>
      <c r="E39" s="32"/>
      <c r="F39" s="17"/>
      <c r="G39" s="18">
        <f t="shared" si="2"/>
        <v>7162.2999999999993</v>
      </c>
      <c r="H39" s="178"/>
      <c r="I39" s="7"/>
      <c r="J39" s="7"/>
      <c r="K39" s="7"/>
    </row>
    <row r="40" spans="1:17" ht="18" customHeight="1" x14ac:dyDescent="0.25">
      <c r="A40" s="14">
        <f t="shared" si="1"/>
        <v>31</v>
      </c>
      <c r="B40" s="8"/>
      <c r="C40" s="46" t="s">
        <v>369</v>
      </c>
      <c r="D40" s="214" t="s">
        <v>19</v>
      </c>
      <c r="E40" s="32"/>
      <c r="F40" s="17"/>
      <c r="G40" s="18">
        <f t="shared" si="2"/>
        <v>7162.2999999999993</v>
      </c>
      <c r="H40" s="178"/>
      <c r="I40" s="7"/>
      <c r="J40" s="7"/>
      <c r="K40" s="7"/>
    </row>
    <row r="41" spans="1:17" ht="18" customHeight="1" x14ac:dyDescent="0.25">
      <c r="A41" s="14">
        <f t="shared" si="1"/>
        <v>32</v>
      </c>
      <c r="B41" s="8"/>
      <c r="C41" s="46" t="s">
        <v>369</v>
      </c>
      <c r="D41" s="214" t="s">
        <v>19</v>
      </c>
      <c r="E41" s="32"/>
      <c r="F41" s="17"/>
      <c r="G41" s="18">
        <f t="shared" si="2"/>
        <v>7162.2999999999993</v>
      </c>
      <c r="H41" s="178"/>
      <c r="I41" s="7"/>
      <c r="J41" s="7"/>
      <c r="K41" s="7"/>
    </row>
    <row r="42" spans="1:17" ht="18" customHeight="1" x14ac:dyDescent="0.25">
      <c r="A42" s="14">
        <f t="shared" si="1"/>
        <v>33</v>
      </c>
      <c r="B42" s="8"/>
      <c r="C42" s="46" t="s">
        <v>369</v>
      </c>
      <c r="D42" s="214" t="s">
        <v>19</v>
      </c>
      <c r="E42" s="32"/>
      <c r="F42" s="172"/>
      <c r="G42" s="18">
        <f t="shared" si="2"/>
        <v>7162.2999999999993</v>
      </c>
      <c r="H42" s="178"/>
      <c r="I42" s="7"/>
      <c r="J42" s="7"/>
      <c r="K42" s="7"/>
      <c r="Q42" s="162"/>
    </row>
    <row r="43" spans="1:17" ht="18" customHeight="1" x14ac:dyDescent="0.25">
      <c r="A43" s="14">
        <f t="shared" si="1"/>
        <v>34</v>
      </c>
      <c r="B43" s="8"/>
      <c r="C43" s="46" t="s">
        <v>369</v>
      </c>
      <c r="D43" s="214" t="s">
        <v>19</v>
      </c>
      <c r="E43" s="32"/>
      <c r="F43" s="17"/>
      <c r="G43" s="18">
        <f t="shared" si="2"/>
        <v>7162.2999999999993</v>
      </c>
      <c r="H43" s="178"/>
      <c r="I43" s="7"/>
      <c r="J43" s="7"/>
      <c r="K43" s="7"/>
    </row>
    <row r="44" spans="1:17" ht="18" customHeight="1" x14ac:dyDescent="0.25">
      <c r="A44" s="14">
        <f t="shared" si="1"/>
        <v>35</v>
      </c>
      <c r="B44" s="8"/>
      <c r="C44" s="46" t="s">
        <v>369</v>
      </c>
      <c r="D44" s="214" t="s">
        <v>19</v>
      </c>
      <c r="E44" s="32"/>
      <c r="F44" s="17"/>
      <c r="G44" s="18">
        <f t="shared" si="2"/>
        <v>7162.2999999999993</v>
      </c>
      <c r="H44" s="178"/>
      <c r="I44" s="7"/>
      <c r="J44" s="7"/>
      <c r="K44" s="7"/>
    </row>
    <row r="45" spans="1:17" ht="18" customHeight="1" x14ac:dyDescent="0.25">
      <c r="A45" s="14">
        <f t="shared" si="1"/>
        <v>36</v>
      </c>
      <c r="B45" s="8"/>
      <c r="C45" s="46" t="s">
        <v>369</v>
      </c>
      <c r="D45" s="214" t="s">
        <v>19</v>
      </c>
      <c r="E45" s="32"/>
      <c r="F45" s="17"/>
      <c r="G45" s="18">
        <f t="shared" si="2"/>
        <v>7162.2999999999993</v>
      </c>
      <c r="H45" s="178"/>
      <c r="I45" s="7"/>
      <c r="J45" s="7"/>
      <c r="K45" s="7"/>
    </row>
    <row r="46" spans="1:17" ht="18" customHeight="1" x14ac:dyDescent="0.25">
      <c r="A46" s="14">
        <f t="shared" si="1"/>
        <v>37</v>
      </c>
      <c r="B46" s="8"/>
      <c r="C46" s="46" t="s">
        <v>369</v>
      </c>
      <c r="D46" s="214" t="s">
        <v>19</v>
      </c>
      <c r="E46" s="32"/>
      <c r="F46" s="17"/>
      <c r="G46" s="18">
        <f t="shared" si="2"/>
        <v>7162.2999999999993</v>
      </c>
      <c r="H46" s="178"/>
      <c r="I46" s="29"/>
      <c r="J46" s="29"/>
      <c r="K46" s="7"/>
    </row>
    <row r="47" spans="1:17" ht="18" customHeight="1" x14ac:dyDescent="0.25">
      <c r="A47" s="14">
        <f t="shared" si="1"/>
        <v>38</v>
      </c>
      <c r="B47" s="8"/>
      <c r="C47" s="46" t="s">
        <v>369</v>
      </c>
      <c r="D47" s="214" t="s">
        <v>19</v>
      </c>
      <c r="E47" s="32"/>
      <c r="F47" s="17"/>
      <c r="G47" s="18">
        <f t="shared" si="2"/>
        <v>7162.2999999999993</v>
      </c>
      <c r="H47" s="178"/>
      <c r="I47" s="29"/>
      <c r="J47" s="29"/>
      <c r="K47" s="7"/>
    </row>
    <row r="48" spans="1:17" ht="18" customHeight="1" x14ac:dyDescent="0.25">
      <c r="A48" s="14">
        <f t="shared" si="1"/>
        <v>39</v>
      </c>
      <c r="B48" s="8"/>
      <c r="C48" s="46" t="s">
        <v>369</v>
      </c>
      <c r="D48" s="214" t="s">
        <v>19</v>
      </c>
      <c r="E48" s="32"/>
      <c r="F48" s="17"/>
      <c r="G48" s="18">
        <f t="shared" si="2"/>
        <v>7162.2999999999993</v>
      </c>
      <c r="H48" s="178"/>
      <c r="I48" s="29"/>
      <c r="J48" s="29"/>
      <c r="K48" s="7"/>
    </row>
    <row r="49" spans="1:17" ht="18" customHeight="1" x14ac:dyDescent="0.25">
      <c r="A49" s="14">
        <f t="shared" si="1"/>
        <v>40</v>
      </c>
      <c r="B49" s="8"/>
      <c r="C49" s="46" t="s">
        <v>369</v>
      </c>
      <c r="D49" s="214" t="s">
        <v>19</v>
      </c>
      <c r="E49" s="32"/>
      <c r="F49" s="17"/>
      <c r="G49" s="18">
        <f t="shared" si="2"/>
        <v>7162.2999999999993</v>
      </c>
      <c r="H49" s="178"/>
      <c r="I49" s="29"/>
      <c r="J49" s="29"/>
      <c r="K49" s="7"/>
    </row>
    <row r="50" spans="1:17" ht="18" customHeight="1" x14ac:dyDescent="0.25">
      <c r="A50" s="14">
        <f t="shared" si="1"/>
        <v>41</v>
      </c>
      <c r="B50" s="8"/>
      <c r="C50" s="46" t="s">
        <v>369</v>
      </c>
      <c r="D50" s="214" t="s">
        <v>19</v>
      </c>
      <c r="E50" s="32"/>
      <c r="F50" s="17"/>
      <c r="G50" s="18">
        <f t="shared" si="2"/>
        <v>7162.2999999999993</v>
      </c>
      <c r="H50" s="178"/>
      <c r="I50" s="7"/>
      <c r="J50" s="7"/>
      <c r="K50" s="7"/>
    </row>
    <row r="51" spans="1:17" s="162" customFormat="1" ht="18" customHeight="1" x14ac:dyDescent="0.25">
      <c r="A51" s="158">
        <f t="shared" si="1"/>
        <v>42</v>
      </c>
      <c r="B51" s="174"/>
      <c r="C51" s="46" t="s">
        <v>369</v>
      </c>
      <c r="D51" s="237" t="s">
        <v>19</v>
      </c>
      <c r="E51" s="175"/>
      <c r="F51" s="172"/>
      <c r="G51" s="238">
        <f t="shared" si="2"/>
        <v>7162.2999999999993</v>
      </c>
      <c r="H51" s="178"/>
      <c r="I51" s="7"/>
      <c r="J51" s="7"/>
      <c r="K51" s="271"/>
      <c r="Q51"/>
    </row>
    <row r="52" spans="1:17" ht="18" customHeight="1" x14ac:dyDescent="0.25">
      <c r="A52" s="14">
        <f t="shared" si="1"/>
        <v>43</v>
      </c>
      <c r="B52" s="8"/>
      <c r="C52" s="46" t="s">
        <v>369</v>
      </c>
      <c r="D52" s="214" t="s">
        <v>19</v>
      </c>
      <c r="E52" s="32"/>
      <c r="F52" s="17"/>
      <c r="G52" s="18">
        <f t="shared" si="2"/>
        <v>7162.2999999999993</v>
      </c>
      <c r="H52" s="239"/>
      <c r="I52" s="7"/>
      <c r="J52" s="7"/>
      <c r="K52" s="7"/>
    </row>
    <row r="53" spans="1:17" ht="18" customHeight="1" x14ac:dyDescent="0.25">
      <c r="A53" s="14">
        <f t="shared" si="1"/>
        <v>44</v>
      </c>
      <c r="B53" s="8"/>
      <c r="C53" s="46" t="s">
        <v>369</v>
      </c>
      <c r="D53" s="214" t="s">
        <v>19</v>
      </c>
      <c r="E53" s="32"/>
      <c r="F53" s="17"/>
      <c r="G53" s="18">
        <f t="shared" si="2"/>
        <v>7162.2999999999993</v>
      </c>
      <c r="H53" s="239"/>
      <c r="I53" s="7"/>
      <c r="J53" s="7"/>
      <c r="K53" s="7"/>
    </row>
    <row r="54" spans="1:17" ht="18" customHeight="1" x14ac:dyDescent="0.25">
      <c r="A54" s="14">
        <f t="shared" si="1"/>
        <v>45</v>
      </c>
      <c r="B54" s="8"/>
      <c r="C54" s="46" t="s">
        <v>369</v>
      </c>
      <c r="D54" s="214" t="s">
        <v>19</v>
      </c>
      <c r="E54" s="32"/>
      <c r="F54" s="17"/>
      <c r="G54" s="18">
        <f t="shared" si="2"/>
        <v>7162.2999999999993</v>
      </c>
      <c r="H54" s="239"/>
      <c r="I54" s="7"/>
      <c r="J54" s="7"/>
      <c r="K54" s="7"/>
    </row>
    <row r="55" spans="1:17" ht="18" customHeight="1" x14ac:dyDescent="0.25">
      <c r="A55" s="14">
        <f t="shared" si="1"/>
        <v>46</v>
      </c>
      <c r="B55" s="8"/>
      <c r="C55" s="46" t="s">
        <v>369</v>
      </c>
      <c r="D55" s="214" t="s">
        <v>19</v>
      </c>
      <c r="E55" s="32"/>
      <c r="F55" s="17"/>
      <c r="G55" s="18">
        <f t="shared" si="2"/>
        <v>7162.2999999999993</v>
      </c>
      <c r="H55" s="28"/>
      <c r="I55" s="7"/>
      <c r="J55" s="7"/>
      <c r="K55" s="7"/>
    </row>
    <row r="56" spans="1:17" ht="18" customHeight="1" x14ac:dyDescent="0.25">
      <c r="A56" s="14">
        <f t="shared" si="1"/>
        <v>47</v>
      </c>
      <c r="B56" s="8"/>
      <c r="C56" s="46" t="s">
        <v>369</v>
      </c>
      <c r="D56" s="214" t="s">
        <v>19</v>
      </c>
      <c r="E56" s="32"/>
      <c r="F56" s="17"/>
      <c r="G56" s="18">
        <f t="shared" si="2"/>
        <v>7162.2999999999993</v>
      </c>
      <c r="H56" s="240"/>
      <c r="I56" s="7"/>
      <c r="J56" s="7"/>
      <c r="K56" s="7"/>
    </row>
    <row r="57" spans="1:17" ht="18" customHeight="1" x14ac:dyDescent="0.25">
      <c r="A57" s="14">
        <f t="shared" si="1"/>
        <v>48</v>
      </c>
      <c r="B57" s="8"/>
      <c r="C57" s="46" t="s">
        <v>369</v>
      </c>
      <c r="D57" s="214" t="s">
        <v>19</v>
      </c>
      <c r="E57" s="32"/>
      <c r="F57" s="17"/>
      <c r="G57" s="18">
        <f t="shared" si="2"/>
        <v>7162.2999999999993</v>
      </c>
      <c r="H57" s="240"/>
      <c r="I57" s="7"/>
      <c r="J57" s="7"/>
      <c r="K57" s="7"/>
    </row>
    <row r="58" spans="1:17" ht="18" customHeight="1" x14ac:dyDescent="0.25">
      <c r="A58" s="14">
        <f t="shared" si="1"/>
        <v>49</v>
      </c>
      <c r="B58" s="8"/>
      <c r="C58" s="46" t="s">
        <v>369</v>
      </c>
      <c r="D58" s="214" t="s">
        <v>19</v>
      </c>
      <c r="E58" s="32"/>
      <c r="F58" s="17"/>
      <c r="G58" s="18">
        <f t="shared" si="2"/>
        <v>7162.2999999999993</v>
      </c>
      <c r="H58" s="240"/>
      <c r="I58" s="7"/>
      <c r="J58" s="7"/>
      <c r="K58" s="7"/>
    </row>
    <row r="59" spans="1:17" ht="18" customHeight="1" x14ac:dyDescent="0.25">
      <c r="A59" s="14">
        <f t="shared" si="1"/>
        <v>50</v>
      </c>
      <c r="B59" s="8"/>
      <c r="C59" s="46" t="s">
        <v>369</v>
      </c>
      <c r="D59" s="214" t="s">
        <v>19</v>
      </c>
      <c r="E59" s="32"/>
      <c r="F59" s="17"/>
      <c r="G59" s="18">
        <f t="shared" si="2"/>
        <v>7162.2999999999993</v>
      </c>
      <c r="H59" s="240"/>
      <c r="I59" s="7"/>
      <c r="J59" s="7"/>
      <c r="K59" s="7"/>
    </row>
    <row r="60" spans="1:17" ht="18" customHeight="1" x14ac:dyDescent="0.25">
      <c r="A60" s="14">
        <f t="shared" si="1"/>
        <v>51</v>
      </c>
      <c r="B60" s="8"/>
      <c r="C60" s="46" t="s">
        <v>369</v>
      </c>
      <c r="D60" s="214" t="s">
        <v>19</v>
      </c>
      <c r="E60" s="32"/>
      <c r="F60" s="17"/>
      <c r="G60" s="18">
        <f t="shared" si="2"/>
        <v>7162.2999999999993</v>
      </c>
      <c r="H60" s="240"/>
      <c r="I60" s="7"/>
      <c r="J60" s="7"/>
      <c r="K60" s="7"/>
    </row>
    <row r="61" spans="1:17" ht="18" customHeight="1" x14ac:dyDescent="0.25">
      <c r="A61" s="14">
        <f t="shared" si="1"/>
        <v>52</v>
      </c>
      <c r="B61" s="8"/>
      <c r="C61" s="46" t="s">
        <v>369</v>
      </c>
      <c r="D61" s="214" t="s">
        <v>19</v>
      </c>
      <c r="E61" s="32"/>
      <c r="F61" s="17"/>
      <c r="G61" s="18">
        <f t="shared" si="2"/>
        <v>7162.2999999999993</v>
      </c>
      <c r="H61" s="240"/>
      <c r="I61" s="7"/>
      <c r="J61" s="7"/>
      <c r="K61" s="7"/>
    </row>
    <row r="62" spans="1:17" ht="18" customHeight="1" x14ac:dyDescent="0.25">
      <c r="A62" s="14">
        <f t="shared" si="1"/>
        <v>53</v>
      </c>
      <c r="B62" s="8"/>
      <c r="C62" s="46" t="s">
        <v>369</v>
      </c>
      <c r="D62" s="214" t="s">
        <v>19</v>
      </c>
      <c r="E62" s="32"/>
      <c r="F62" s="17"/>
      <c r="G62" s="18">
        <f t="shared" si="2"/>
        <v>7162.2999999999993</v>
      </c>
      <c r="H62" s="240"/>
      <c r="I62" s="7"/>
      <c r="J62" s="7"/>
      <c r="K62" s="7"/>
    </row>
    <row r="63" spans="1:17" ht="18" customHeight="1" x14ac:dyDescent="0.25">
      <c r="A63" s="14">
        <f t="shared" si="1"/>
        <v>54</v>
      </c>
      <c r="B63" s="8"/>
      <c r="C63" s="46" t="s">
        <v>369</v>
      </c>
      <c r="D63" s="214" t="s">
        <v>19</v>
      </c>
      <c r="E63" s="32"/>
      <c r="F63" s="17"/>
      <c r="G63" s="18">
        <f t="shared" si="2"/>
        <v>7162.2999999999993</v>
      </c>
      <c r="H63" s="240"/>
      <c r="I63" s="7"/>
      <c r="J63" s="7"/>
      <c r="K63" s="7"/>
    </row>
    <row r="64" spans="1:17" ht="18" customHeight="1" x14ac:dyDescent="0.25">
      <c r="A64" s="14">
        <f t="shared" si="1"/>
        <v>55</v>
      </c>
      <c r="B64" s="8"/>
      <c r="C64" s="46" t="s">
        <v>369</v>
      </c>
      <c r="D64" s="214" t="s">
        <v>19</v>
      </c>
      <c r="E64" s="32"/>
      <c r="F64" s="17"/>
      <c r="G64" s="18">
        <f t="shared" si="2"/>
        <v>7162.2999999999993</v>
      </c>
      <c r="H64" s="240"/>
      <c r="I64" s="7"/>
      <c r="J64" s="7"/>
      <c r="K64" s="7"/>
    </row>
    <row r="65" spans="1:11" ht="18" customHeight="1" x14ac:dyDescent="0.25">
      <c r="A65" s="14">
        <f t="shared" si="1"/>
        <v>56</v>
      </c>
      <c r="B65" s="8"/>
      <c r="C65" s="46" t="s">
        <v>369</v>
      </c>
      <c r="D65" s="214" t="s">
        <v>19</v>
      </c>
      <c r="E65" s="32"/>
      <c r="F65" s="17"/>
      <c r="G65" s="18">
        <f t="shared" si="2"/>
        <v>7162.2999999999993</v>
      </c>
      <c r="H65" s="240"/>
      <c r="I65" s="7"/>
      <c r="J65" s="7"/>
      <c r="K65" s="7"/>
    </row>
    <row r="66" spans="1:11" ht="18" customHeight="1" x14ac:dyDescent="0.25">
      <c r="A66" s="14">
        <f t="shared" si="1"/>
        <v>57</v>
      </c>
      <c r="B66" s="8"/>
      <c r="C66" s="46" t="s">
        <v>369</v>
      </c>
      <c r="D66" s="214" t="s">
        <v>19</v>
      </c>
      <c r="E66" s="32"/>
      <c r="F66" s="17"/>
      <c r="G66" s="18">
        <f t="shared" si="2"/>
        <v>7162.2999999999993</v>
      </c>
      <c r="H66" s="240"/>
      <c r="I66" s="7"/>
      <c r="J66" s="7"/>
      <c r="K66" s="140"/>
    </row>
    <row r="67" spans="1:11" ht="18" customHeight="1" x14ac:dyDescent="0.25">
      <c r="A67" s="14">
        <f t="shared" si="1"/>
        <v>58</v>
      </c>
      <c r="B67" s="8"/>
      <c r="C67" s="46" t="s">
        <v>369</v>
      </c>
      <c r="D67" s="214" t="s">
        <v>19</v>
      </c>
      <c r="E67" s="32"/>
      <c r="F67" s="17"/>
      <c r="G67" s="18">
        <f t="shared" si="2"/>
        <v>7162.2999999999993</v>
      </c>
      <c r="H67" s="240"/>
      <c r="I67" s="7"/>
      <c r="J67" s="7"/>
      <c r="K67" s="7"/>
    </row>
    <row r="68" spans="1:11" ht="18" customHeight="1" x14ac:dyDescent="0.25">
      <c r="A68" s="14">
        <f t="shared" si="1"/>
        <v>59</v>
      </c>
      <c r="B68" s="8"/>
      <c r="C68" s="46" t="s">
        <v>369</v>
      </c>
      <c r="D68" s="214" t="s">
        <v>19</v>
      </c>
      <c r="E68" s="32"/>
      <c r="F68" s="17"/>
      <c r="G68" s="18">
        <f>+G67+E68-F68</f>
        <v>7162.2999999999993</v>
      </c>
      <c r="H68" s="240"/>
      <c r="I68" s="7"/>
      <c r="J68" s="7"/>
      <c r="K68" s="7"/>
    </row>
    <row r="69" spans="1:11" ht="18" customHeight="1" x14ac:dyDescent="0.25">
      <c r="A69" s="14">
        <f t="shared" si="1"/>
        <v>60</v>
      </c>
      <c r="B69" s="8"/>
      <c r="C69" s="46" t="s">
        <v>369</v>
      </c>
      <c r="D69" s="214" t="s">
        <v>19</v>
      </c>
      <c r="E69" s="32"/>
      <c r="F69" s="17"/>
      <c r="G69" s="18">
        <f>+G68+E69-F69</f>
        <v>7162.2999999999993</v>
      </c>
      <c r="H69" s="240"/>
      <c r="I69" s="7"/>
      <c r="J69" s="7"/>
      <c r="K69" s="7"/>
    </row>
    <row r="70" spans="1:11" ht="18" customHeight="1" x14ac:dyDescent="0.25">
      <c r="A70" s="14">
        <f t="shared" si="1"/>
        <v>61</v>
      </c>
      <c r="B70" s="8"/>
      <c r="C70" s="46" t="s">
        <v>369</v>
      </c>
      <c r="D70" s="214" t="s">
        <v>19</v>
      </c>
      <c r="E70" s="32"/>
      <c r="F70" s="17"/>
      <c r="G70" s="18">
        <f>+G69+E70-F70</f>
        <v>7162.2999999999993</v>
      </c>
      <c r="H70" s="240"/>
      <c r="I70" s="7"/>
      <c r="J70" s="7"/>
      <c r="K70" s="7"/>
    </row>
    <row r="71" spans="1:11" ht="18" customHeight="1" x14ac:dyDescent="0.25">
      <c r="A71" s="14">
        <f t="shared" si="1"/>
        <v>62</v>
      </c>
      <c r="B71" s="8"/>
      <c r="C71" s="46" t="s">
        <v>369</v>
      </c>
      <c r="D71" s="214" t="s">
        <v>19</v>
      </c>
      <c r="E71" s="32"/>
      <c r="F71" s="17"/>
      <c r="G71" s="18">
        <f t="shared" si="2"/>
        <v>7162.2999999999993</v>
      </c>
      <c r="H71" s="240"/>
      <c r="I71" s="7"/>
      <c r="J71" s="7"/>
      <c r="K71" s="7"/>
    </row>
    <row r="72" spans="1:11" ht="18" customHeight="1" x14ac:dyDescent="0.25">
      <c r="A72" s="14">
        <f t="shared" si="1"/>
        <v>63</v>
      </c>
      <c r="B72" s="8"/>
      <c r="C72" s="46" t="s">
        <v>369</v>
      </c>
      <c r="D72" s="214" t="s">
        <v>19</v>
      </c>
      <c r="E72" s="32"/>
      <c r="F72" s="17"/>
      <c r="G72" s="18">
        <f t="shared" si="2"/>
        <v>7162.2999999999993</v>
      </c>
      <c r="H72" s="240"/>
      <c r="I72" s="7"/>
      <c r="J72" s="7"/>
      <c r="K72" s="7"/>
    </row>
    <row r="73" spans="1:11" ht="18" customHeight="1" x14ac:dyDescent="0.25">
      <c r="A73" s="14">
        <f>+A72+1</f>
        <v>64</v>
      </c>
      <c r="B73" s="8"/>
      <c r="C73" s="46" t="s">
        <v>369</v>
      </c>
      <c r="D73" s="214" t="s">
        <v>19</v>
      </c>
      <c r="E73" s="32"/>
      <c r="F73" s="17"/>
      <c r="G73" s="18">
        <f t="shared" si="2"/>
        <v>7162.2999999999993</v>
      </c>
      <c r="H73" s="240"/>
      <c r="I73" s="7"/>
      <c r="J73" s="7"/>
      <c r="K73" s="7"/>
    </row>
    <row r="74" spans="1:11" ht="18" customHeight="1" x14ac:dyDescent="0.25">
      <c r="A74" s="14">
        <f t="shared" si="1"/>
        <v>65</v>
      </c>
      <c r="B74" s="8"/>
      <c r="C74" s="46" t="s">
        <v>369</v>
      </c>
      <c r="D74" s="214" t="s">
        <v>19</v>
      </c>
      <c r="E74" s="32"/>
      <c r="F74" s="17"/>
      <c r="G74" s="18">
        <f t="shared" si="2"/>
        <v>7162.2999999999993</v>
      </c>
      <c r="H74" s="240"/>
      <c r="I74" s="7"/>
      <c r="J74" s="7"/>
      <c r="K74" s="7"/>
    </row>
    <row r="75" spans="1:11" ht="18" customHeight="1" x14ac:dyDescent="0.25">
      <c r="A75" s="14">
        <f t="shared" ref="A75:A108" si="3">+A74+1</f>
        <v>66</v>
      </c>
      <c r="B75" s="8"/>
      <c r="C75" s="46" t="s">
        <v>369</v>
      </c>
      <c r="D75" s="214" t="s">
        <v>19</v>
      </c>
      <c r="E75" s="32"/>
      <c r="F75" s="17"/>
      <c r="G75" s="18">
        <f t="shared" ref="G75:G92" si="4">+G74+E75-F75</f>
        <v>7162.2999999999993</v>
      </c>
      <c r="H75" s="240"/>
      <c r="I75" s="7"/>
      <c r="J75" s="7"/>
      <c r="K75" s="7"/>
    </row>
    <row r="76" spans="1:11" ht="18" customHeight="1" x14ac:dyDescent="0.25">
      <c r="A76" s="14">
        <f t="shared" si="3"/>
        <v>67</v>
      </c>
      <c r="B76" s="8"/>
      <c r="C76" s="46" t="s">
        <v>369</v>
      </c>
      <c r="D76" s="214" t="s">
        <v>19</v>
      </c>
      <c r="E76" s="32"/>
      <c r="F76" s="17"/>
      <c r="G76" s="18">
        <f t="shared" si="4"/>
        <v>7162.2999999999993</v>
      </c>
      <c r="H76" s="240"/>
      <c r="I76" s="7"/>
      <c r="J76" s="7"/>
      <c r="K76" s="7"/>
    </row>
    <row r="77" spans="1:11" ht="18" customHeight="1" x14ac:dyDescent="0.25">
      <c r="A77" s="14">
        <f t="shared" si="3"/>
        <v>68</v>
      </c>
      <c r="B77" s="8"/>
      <c r="C77" s="46" t="s">
        <v>369</v>
      </c>
      <c r="D77" s="214" t="s">
        <v>19</v>
      </c>
      <c r="E77" s="32"/>
      <c r="F77" s="17"/>
      <c r="G77" s="18">
        <f t="shared" si="4"/>
        <v>7162.2999999999993</v>
      </c>
      <c r="H77" s="240"/>
      <c r="I77" s="7"/>
      <c r="J77" s="7"/>
      <c r="K77" s="7"/>
    </row>
    <row r="78" spans="1:11" ht="18" customHeight="1" x14ac:dyDescent="0.25">
      <c r="A78" s="14">
        <f t="shared" si="3"/>
        <v>69</v>
      </c>
      <c r="B78" s="8"/>
      <c r="C78" s="46" t="s">
        <v>369</v>
      </c>
      <c r="D78" s="214" t="s">
        <v>19</v>
      </c>
      <c r="E78" s="32"/>
      <c r="F78" s="17"/>
      <c r="G78" s="18">
        <f t="shared" si="4"/>
        <v>7162.2999999999993</v>
      </c>
      <c r="H78" s="240"/>
      <c r="I78" s="7"/>
      <c r="J78" s="7"/>
      <c r="K78" s="7"/>
    </row>
    <row r="79" spans="1:11" ht="18" customHeight="1" x14ac:dyDescent="0.25">
      <c r="A79" s="14">
        <f t="shared" si="3"/>
        <v>70</v>
      </c>
      <c r="B79" s="8"/>
      <c r="C79" s="46" t="s">
        <v>369</v>
      </c>
      <c r="D79" s="214" t="s">
        <v>19</v>
      </c>
      <c r="E79" s="32"/>
      <c r="F79" s="17"/>
      <c r="G79" s="18">
        <f t="shared" si="4"/>
        <v>7162.2999999999993</v>
      </c>
      <c r="H79" s="240"/>
      <c r="I79" s="7"/>
      <c r="J79" s="7"/>
      <c r="K79" s="7"/>
    </row>
    <row r="80" spans="1:11" ht="18" customHeight="1" x14ac:dyDescent="0.25">
      <c r="A80" s="14">
        <f t="shared" si="3"/>
        <v>71</v>
      </c>
      <c r="B80" s="8"/>
      <c r="C80" s="46" t="s">
        <v>369</v>
      </c>
      <c r="D80" s="214" t="s">
        <v>19</v>
      </c>
      <c r="E80" s="32"/>
      <c r="F80" s="17"/>
      <c r="G80" s="18">
        <f t="shared" si="4"/>
        <v>7162.2999999999993</v>
      </c>
      <c r="H80" s="240"/>
      <c r="I80" s="7"/>
      <c r="J80" s="7"/>
      <c r="K80" s="7"/>
    </row>
    <row r="81" spans="1:18" ht="18" customHeight="1" x14ac:dyDescent="0.25">
      <c r="A81" s="14">
        <f t="shared" si="3"/>
        <v>72</v>
      </c>
      <c r="B81" s="8"/>
      <c r="C81" s="46" t="s">
        <v>369</v>
      </c>
      <c r="D81" s="214" t="s">
        <v>19</v>
      </c>
      <c r="E81" s="32"/>
      <c r="F81" s="17"/>
      <c r="G81" s="18">
        <f t="shared" si="4"/>
        <v>7162.2999999999993</v>
      </c>
      <c r="H81" s="240"/>
      <c r="I81" s="7"/>
      <c r="J81" s="7"/>
      <c r="K81" s="7"/>
    </row>
    <row r="82" spans="1:18" ht="18" customHeight="1" x14ac:dyDescent="0.25">
      <c r="A82" s="14">
        <f t="shared" si="3"/>
        <v>73</v>
      </c>
      <c r="B82" s="8"/>
      <c r="C82" s="46" t="s">
        <v>369</v>
      </c>
      <c r="D82" s="214" t="s">
        <v>19</v>
      </c>
      <c r="E82" s="32"/>
      <c r="F82" s="17"/>
      <c r="G82" s="18">
        <f t="shared" si="4"/>
        <v>7162.2999999999993</v>
      </c>
      <c r="H82" s="240"/>
      <c r="I82" s="7"/>
      <c r="J82" s="7"/>
      <c r="K82" s="7"/>
    </row>
    <row r="83" spans="1:18" ht="18" customHeight="1" x14ac:dyDescent="0.25">
      <c r="A83" s="14">
        <f t="shared" si="3"/>
        <v>74</v>
      </c>
      <c r="B83" s="8"/>
      <c r="C83" s="46" t="s">
        <v>369</v>
      </c>
      <c r="D83" s="214" t="s">
        <v>19</v>
      </c>
      <c r="E83" s="32"/>
      <c r="F83" s="17"/>
      <c r="G83" s="18">
        <f t="shared" si="4"/>
        <v>7162.2999999999993</v>
      </c>
      <c r="H83" s="240"/>
      <c r="I83" s="7"/>
      <c r="J83" s="7"/>
      <c r="K83" s="7"/>
    </row>
    <row r="84" spans="1:18" ht="18" customHeight="1" x14ac:dyDescent="0.25">
      <c r="A84" s="14">
        <f t="shared" si="3"/>
        <v>75</v>
      </c>
      <c r="B84" s="8"/>
      <c r="C84" s="46" t="s">
        <v>369</v>
      </c>
      <c r="D84" s="214" t="s">
        <v>19</v>
      </c>
      <c r="E84" s="32"/>
      <c r="F84" s="27"/>
      <c r="G84" s="18">
        <f t="shared" si="4"/>
        <v>7162.2999999999993</v>
      </c>
      <c r="H84" s="240"/>
      <c r="I84" s="7"/>
      <c r="J84" s="7"/>
      <c r="K84" s="7"/>
    </row>
    <row r="85" spans="1:18" ht="18" customHeight="1" x14ac:dyDescent="0.25">
      <c r="A85" s="14">
        <f t="shared" si="3"/>
        <v>76</v>
      </c>
      <c r="B85" s="8"/>
      <c r="C85" s="46" t="s">
        <v>369</v>
      </c>
      <c r="D85" s="214" t="s">
        <v>19</v>
      </c>
      <c r="E85" s="32"/>
      <c r="F85" s="17"/>
      <c r="G85" s="18">
        <f t="shared" si="4"/>
        <v>7162.2999999999993</v>
      </c>
      <c r="H85" s="240"/>
      <c r="I85" s="7"/>
      <c r="J85" s="7"/>
      <c r="K85" s="7"/>
    </row>
    <row r="86" spans="1:18" ht="18" customHeight="1" x14ac:dyDescent="0.25">
      <c r="A86" s="14">
        <f t="shared" si="3"/>
        <v>77</v>
      </c>
      <c r="B86" s="8"/>
      <c r="C86" s="46" t="s">
        <v>369</v>
      </c>
      <c r="D86" s="214" t="s">
        <v>19</v>
      </c>
      <c r="E86" s="32"/>
      <c r="F86" s="17"/>
      <c r="G86" s="18">
        <f t="shared" si="4"/>
        <v>7162.2999999999993</v>
      </c>
      <c r="H86" s="240"/>
      <c r="I86" s="7"/>
      <c r="J86" s="7"/>
      <c r="K86" s="7"/>
    </row>
    <row r="87" spans="1:18" ht="18" customHeight="1" x14ac:dyDescent="0.25">
      <c r="A87" s="14">
        <f t="shared" si="3"/>
        <v>78</v>
      </c>
      <c r="B87" s="8"/>
      <c r="C87" s="46" t="s">
        <v>369</v>
      </c>
      <c r="D87" s="214" t="s">
        <v>19</v>
      </c>
      <c r="E87" s="32"/>
      <c r="F87" s="17"/>
      <c r="G87" s="18">
        <f t="shared" si="4"/>
        <v>7162.2999999999993</v>
      </c>
      <c r="H87" s="240"/>
      <c r="I87" s="7"/>
      <c r="J87" s="7"/>
      <c r="K87" s="7"/>
    </row>
    <row r="88" spans="1:18" ht="18" customHeight="1" x14ac:dyDescent="0.25">
      <c r="A88" s="14">
        <f t="shared" si="3"/>
        <v>79</v>
      </c>
      <c r="B88" s="8"/>
      <c r="C88" s="46" t="s">
        <v>369</v>
      </c>
      <c r="D88" s="214" t="s">
        <v>19</v>
      </c>
      <c r="E88" s="32"/>
      <c r="F88" s="17"/>
      <c r="G88" s="18">
        <f t="shared" si="4"/>
        <v>7162.2999999999993</v>
      </c>
      <c r="H88" s="240"/>
      <c r="I88" s="7"/>
      <c r="J88" s="7"/>
      <c r="K88" s="7"/>
    </row>
    <row r="89" spans="1:18" ht="18" customHeight="1" x14ac:dyDescent="0.25">
      <c r="A89" s="14">
        <f t="shared" si="3"/>
        <v>80</v>
      </c>
      <c r="B89" s="8"/>
      <c r="C89" s="46" t="s">
        <v>369</v>
      </c>
      <c r="D89" s="214" t="s">
        <v>19</v>
      </c>
      <c r="E89" s="32"/>
      <c r="F89" s="17"/>
      <c r="G89" s="18">
        <f t="shared" si="4"/>
        <v>7162.2999999999993</v>
      </c>
      <c r="H89" s="240"/>
      <c r="I89" s="7"/>
      <c r="J89" s="7"/>
      <c r="K89" s="7"/>
    </row>
    <row r="90" spans="1:18" ht="18" customHeight="1" x14ac:dyDescent="0.25">
      <c r="A90" s="14">
        <f t="shared" si="3"/>
        <v>81</v>
      </c>
      <c r="B90" s="8"/>
      <c r="C90" s="46" t="s">
        <v>369</v>
      </c>
      <c r="D90" s="214" t="s">
        <v>19</v>
      </c>
      <c r="E90" s="32"/>
      <c r="F90" s="17"/>
      <c r="G90" s="18">
        <f t="shared" si="4"/>
        <v>7162.2999999999993</v>
      </c>
      <c r="H90" s="240"/>
      <c r="I90" s="7"/>
      <c r="J90" s="7"/>
      <c r="K90" s="7"/>
    </row>
    <row r="91" spans="1:18" ht="18" customHeight="1" x14ac:dyDescent="0.25">
      <c r="A91" s="14">
        <f t="shared" si="3"/>
        <v>82</v>
      </c>
      <c r="B91" s="8"/>
      <c r="C91" s="46" t="s">
        <v>369</v>
      </c>
      <c r="D91" s="214" t="s">
        <v>19</v>
      </c>
      <c r="E91" s="32"/>
      <c r="F91" s="17"/>
      <c r="G91" s="18">
        <f t="shared" si="4"/>
        <v>7162.2999999999993</v>
      </c>
      <c r="H91" s="240"/>
      <c r="I91" s="7"/>
      <c r="J91" s="7"/>
      <c r="K91" s="7"/>
      <c r="M91" s="199"/>
      <c r="R91" s="199"/>
    </row>
    <row r="92" spans="1:18" ht="18" customHeight="1" x14ac:dyDescent="0.25">
      <c r="A92" s="14">
        <f t="shared" si="3"/>
        <v>83</v>
      </c>
      <c r="B92" s="8"/>
      <c r="C92" s="46" t="s">
        <v>369</v>
      </c>
      <c r="D92" s="214" t="s">
        <v>19</v>
      </c>
      <c r="E92" s="32"/>
      <c r="F92" s="27"/>
      <c r="G92" s="18">
        <f t="shared" si="4"/>
        <v>7162.2999999999993</v>
      </c>
      <c r="H92" s="240"/>
      <c r="I92" s="7"/>
      <c r="J92" s="7"/>
      <c r="K92" s="7"/>
      <c r="M92" s="199"/>
      <c r="R92" s="199"/>
    </row>
    <row r="93" spans="1:18" ht="18" customHeight="1" x14ac:dyDescent="0.25">
      <c r="A93" s="14">
        <f t="shared" si="3"/>
        <v>84</v>
      </c>
      <c r="B93" s="8"/>
      <c r="C93" s="46" t="s">
        <v>369</v>
      </c>
      <c r="D93" s="214" t="s">
        <v>19</v>
      </c>
      <c r="E93" s="32"/>
      <c r="F93" s="27"/>
      <c r="G93" s="18">
        <f>+G92+E93-F93</f>
        <v>7162.2999999999993</v>
      </c>
      <c r="H93" s="240"/>
      <c r="I93" s="7"/>
      <c r="J93" s="7"/>
      <c r="K93" s="7"/>
      <c r="M93" s="199"/>
      <c r="R93" s="199"/>
    </row>
    <row r="94" spans="1:18" s="179" customFormat="1" ht="18" customHeight="1" x14ac:dyDescent="0.25">
      <c r="A94" s="241">
        <f t="shared" si="3"/>
        <v>85</v>
      </c>
      <c r="B94" s="242"/>
      <c r="C94" s="46" t="s">
        <v>369</v>
      </c>
      <c r="D94" s="244" t="s">
        <v>19</v>
      </c>
      <c r="E94" s="245"/>
      <c r="F94" s="52"/>
      <c r="G94" s="246">
        <f>+G93+E94-F94</f>
        <v>7162.2999999999993</v>
      </c>
      <c r="H94" s="240"/>
      <c r="I94" s="247"/>
      <c r="J94" s="247"/>
      <c r="K94" s="247"/>
      <c r="M94" s="248"/>
      <c r="R94" s="248"/>
    </row>
    <row r="95" spans="1:18" s="179" customFormat="1" ht="18" customHeight="1" x14ac:dyDescent="0.25">
      <c r="A95" s="241"/>
      <c r="B95" s="242"/>
      <c r="C95" s="46" t="s">
        <v>369</v>
      </c>
      <c r="D95" s="244" t="s">
        <v>19</v>
      </c>
      <c r="E95" s="245"/>
      <c r="F95" s="52"/>
      <c r="G95" s="246">
        <f t="shared" ref="G95:G107" si="5">+G94+E95-F95</f>
        <v>7162.2999999999993</v>
      </c>
      <c r="H95" s="240"/>
      <c r="I95" s="247"/>
      <c r="J95" s="247"/>
      <c r="K95" s="247"/>
      <c r="M95" s="248"/>
      <c r="R95" s="248"/>
    </row>
    <row r="96" spans="1:18" s="179" customFormat="1" ht="18" customHeight="1" x14ac:dyDescent="0.25">
      <c r="A96" s="241"/>
      <c r="B96" s="242"/>
      <c r="C96" s="46" t="s">
        <v>369</v>
      </c>
      <c r="D96" s="244" t="s">
        <v>19</v>
      </c>
      <c r="E96" s="245"/>
      <c r="F96" s="52"/>
      <c r="G96" s="246">
        <f t="shared" si="5"/>
        <v>7162.2999999999993</v>
      </c>
      <c r="H96" s="240"/>
      <c r="I96" s="247"/>
      <c r="J96" s="247"/>
      <c r="K96" s="247"/>
      <c r="M96" s="248"/>
      <c r="R96" s="248"/>
    </row>
    <row r="97" spans="1:18" s="179" customFormat="1" ht="18" customHeight="1" x14ac:dyDescent="0.25">
      <c r="A97" s="241"/>
      <c r="B97" s="242"/>
      <c r="C97" s="46" t="s">
        <v>369</v>
      </c>
      <c r="D97" s="244" t="s">
        <v>19</v>
      </c>
      <c r="E97" s="245"/>
      <c r="F97" s="52"/>
      <c r="G97" s="246">
        <f t="shared" si="5"/>
        <v>7162.2999999999993</v>
      </c>
      <c r="H97" s="240"/>
      <c r="I97" s="247"/>
      <c r="J97" s="247"/>
      <c r="K97" s="247"/>
      <c r="M97" s="248"/>
      <c r="R97" s="248"/>
    </row>
    <row r="98" spans="1:18" s="179" customFormat="1" ht="18" customHeight="1" x14ac:dyDescent="0.25">
      <c r="A98" s="241"/>
      <c r="B98" s="242"/>
      <c r="C98" s="46" t="s">
        <v>369</v>
      </c>
      <c r="D98" s="244" t="s">
        <v>19</v>
      </c>
      <c r="E98" s="245"/>
      <c r="F98" s="52"/>
      <c r="G98" s="246">
        <f t="shared" si="5"/>
        <v>7162.2999999999993</v>
      </c>
      <c r="H98" s="240"/>
      <c r="I98" s="247"/>
      <c r="J98" s="247"/>
      <c r="K98" s="247"/>
      <c r="M98" s="248"/>
      <c r="R98" s="248"/>
    </row>
    <row r="99" spans="1:18" s="179" customFormat="1" ht="18" customHeight="1" x14ac:dyDescent="0.25">
      <c r="A99" s="241"/>
      <c r="B99" s="242"/>
      <c r="C99" s="46" t="s">
        <v>369</v>
      </c>
      <c r="D99" s="244" t="s">
        <v>19</v>
      </c>
      <c r="E99" s="245"/>
      <c r="F99" s="52"/>
      <c r="G99" s="246">
        <f t="shared" si="5"/>
        <v>7162.2999999999993</v>
      </c>
      <c r="H99" s="240"/>
      <c r="I99" s="247"/>
      <c r="J99" s="247"/>
      <c r="K99" s="247"/>
      <c r="M99" s="248"/>
      <c r="R99" s="248"/>
    </row>
    <row r="100" spans="1:18" s="179" customFormat="1" ht="18" customHeight="1" x14ac:dyDescent="0.25">
      <c r="A100" s="241"/>
      <c r="B100" s="242"/>
      <c r="C100" s="46" t="s">
        <v>369</v>
      </c>
      <c r="D100" s="244" t="s">
        <v>19</v>
      </c>
      <c r="E100" s="245"/>
      <c r="F100" s="52"/>
      <c r="G100" s="246">
        <f t="shared" si="5"/>
        <v>7162.2999999999993</v>
      </c>
      <c r="H100" s="240"/>
      <c r="I100" s="247"/>
      <c r="J100" s="247"/>
      <c r="K100" s="247"/>
      <c r="M100" s="248"/>
      <c r="R100" s="248"/>
    </row>
    <row r="101" spans="1:18" s="179" customFormat="1" ht="18" customHeight="1" x14ac:dyDescent="0.25">
      <c r="A101" s="241"/>
      <c r="B101" s="242"/>
      <c r="C101" s="46" t="s">
        <v>369</v>
      </c>
      <c r="D101" s="244" t="s">
        <v>19</v>
      </c>
      <c r="E101" s="245"/>
      <c r="F101" s="52"/>
      <c r="G101" s="246">
        <f t="shared" si="5"/>
        <v>7162.2999999999993</v>
      </c>
      <c r="H101" s="240"/>
      <c r="I101" s="247"/>
      <c r="J101" s="247"/>
      <c r="K101" s="247"/>
      <c r="M101" s="248"/>
      <c r="R101" s="248"/>
    </row>
    <row r="102" spans="1:18" s="179" customFormat="1" ht="18" customHeight="1" x14ac:dyDescent="0.25">
      <c r="A102" s="241"/>
      <c r="B102" s="242"/>
      <c r="C102" s="46" t="s">
        <v>369</v>
      </c>
      <c r="D102" s="244"/>
      <c r="E102" s="245"/>
      <c r="F102" s="52"/>
      <c r="G102" s="246">
        <f t="shared" si="5"/>
        <v>7162.2999999999993</v>
      </c>
      <c r="H102" s="240"/>
      <c r="I102" s="247"/>
      <c r="J102" s="247"/>
      <c r="K102" s="247"/>
      <c r="M102" s="248"/>
      <c r="R102" s="248"/>
    </row>
    <row r="103" spans="1:18" s="179" customFormat="1" ht="18" customHeight="1" x14ac:dyDescent="0.25">
      <c r="A103" s="241"/>
      <c r="B103" s="242"/>
      <c r="C103" s="46" t="s">
        <v>369</v>
      </c>
      <c r="D103" s="244"/>
      <c r="E103" s="245"/>
      <c r="F103" s="52"/>
      <c r="G103" s="246">
        <f t="shared" si="5"/>
        <v>7162.2999999999993</v>
      </c>
      <c r="H103" s="240"/>
      <c r="I103" s="247"/>
      <c r="J103" s="247"/>
      <c r="K103" s="247"/>
      <c r="M103" s="248"/>
      <c r="R103" s="248"/>
    </row>
    <row r="104" spans="1:18" s="179" customFormat="1" ht="18" customHeight="1" x14ac:dyDescent="0.25">
      <c r="A104" s="241"/>
      <c r="B104" s="242"/>
      <c r="C104" s="46" t="s">
        <v>369</v>
      </c>
      <c r="D104" s="244"/>
      <c r="E104" s="245"/>
      <c r="F104" s="52"/>
      <c r="G104" s="246">
        <f t="shared" si="5"/>
        <v>7162.2999999999993</v>
      </c>
      <c r="H104" s="240"/>
      <c r="I104" s="247"/>
      <c r="J104" s="247"/>
      <c r="K104" s="247"/>
      <c r="M104" s="248"/>
      <c r="R104" s="248"/>
    </row>
    <row r="105" spans="1:18" s="179" customFormat="1" ht="18" customHeight="1" x14ac:dyDescent="0.25">
      <c r="A105" s="241"/>
      <c r="B105" s="242"/>
      <c r="C105" s="243"/>
      <c r="D105" s="244"/>
      <c r="E105" s="245"/>
      <c r="F105" s="52"/>
      <c r="G105" s="246">
        <f t="shared" si="5"/>
        <v>7162.2999999999993</v>
      </c>
      <c r="H105" s="240"/>
      <c r="I105" s="247"/>
      <c r="J105" s="247"/>
      <c r="K105" s="247"/>
      <c r="M105" s="248"/>
      <c r="R105" s="248"/>
    </row>
    <row r="106" spans="1:18" ht="18" customHeight="1" x14ac:dyDescent="0.25">
      <c r="A106" s="14">
        <f>+A94+1</f>
        <v>86</v>
      </c>
      <c r="B106" s="8"/>
      <c r="C106" s="46"/>
      <c r="D106" s="214"/>
      <c r="E106" s="32"/>
      <c r="F106" s="27"/>
      <c r="G106" s="246">
        <f t="shared" si="5"/>
        <v>7162.2999999999993</v>
      </c>
      <c r="H106" s="28"/>
      <c r="I106" s="7"/>
      <c r="J106" s="7"/>
      <c r="K106" s="7"/>
      <c r="M106" s="199"/>
      <c r="R106" s="199"/>
    </row>
    <row r="107" spans="1:18" ht="18" customHeight="1" x14ac:dyDescent="0.25">
      <c r="A107" s="14">
        <f t="shared" si="3"/>
        <v>87</v>
      </c>
      <c r="B107" s="8"/>
      <c r="C107" s="46"/>
      <c r="D107" s="214"/>
      <c r="E107" s="32"/>
      <c r="F107" s="27"/>
      <c r="G107" s="246">
        <f t="shared" si="5"/>
        <v>7162.2999999999993</v>
      </c>
      <c r="H107" s="28"/>
      <c r="I107" s="7"/>
      <c r="J107" s="7"/>
      <c r="K107" s="7"/>
      <c r="M107" s="199"/>
      <c r="R107" s="199"/>
    </row>
    <row r="108" spans="1:18" ht="18" customHeight="1" x14ac:dyDescent="0.25">
      <c r="A108" s="14">
        <f t="shared" si="3"/>
        <v>88</v>
      </c>
      <c r="B108" s="37"/>
      <c r="C108" s="46"/>
      <c r="D108" s="10"/>
      <c r="E108" s="32"/>
      <c r="F108" s="27"/>
      <c r="G108" s="18">
        <f>+G107+E108-F108</f>
        <v>7162.2999999999993</v>
      </c>
      <c r="H108" s="28"/>
      <c r="I108" s="7"/>
      <c r="J108" s="7"/>
      <c r="K108" s="7"/>
      <c r="M108" s="199"/>
      <c r="R108" s="199"/>
    </row>
    <row r="109" spans="1:18" ht="18" customHeight="1" x14ac:dyDescent="0.25">
      <c r="A109" s="7"/>
      <c r="B109" s="7"/>
      <c r="C109" s="34" t="s">
        <v>13</v>
      </c>
      <c r="D109" s="14"/>
      <c r="E109" s="35">
        <f>SUM(E8:E108)</f>
        <v>28235.599999999999</v>
      </c>
      <c r="F109" s="35">
        <f>SUM(F8:F108)</f>
        <v>21073.300000000003</v>
      </c>
      <c r="G109" s="35">
        <f>+E109-F109+G8</f>
        <v>7162.2999999999956</v>
      </c>
      <c r="H109" s="35"/>
      <c r="I109" s="36"/>
      <c r="J109" s="36"/>
      <c r="K109" s="7">
        <f>SUM(K9:K108)</f>
        <v>23</v>
      </c>
    </row>
    <row r="110" spans="1:18" ht="18" customHeight="1" x14ac:dyDescent="0.25"/>
    <row r="113" spans="5:10" x14ac:dyDescent="0.25">
      <c r="E113" s="201"/>
      <c r="F113" s="201"/>
      <c r="G113" s="201"/>
      <c r="H113" s="201"/>
    </row>
    <row r="114" spans="5:10" x14ac:dyDescent="0.25">
      <c r="F114" s="26"/>
    </row>
    <row r="115" spans="5:10" x14ac:dyDescent="0.25">
      <c r="E115" s="26"/>
      <c r="F115" s="26"/>
      <c r="G115" s="26"/>
      <c r="H115" s="26"/>
      <c r="I115" s="26"/>
      <c r="J115" s="26"/>
    </row>
    <row r="116" spans="5:10" x14ac:dyDescent="0.25">
      <c r="I116" s="202"/>
      <c r="J116" s="202"/>
    </row>
    <row r="117" spans="5:10" x14ac:dyDescent="0.25">
      <c r="E117" s="199"/>
    </row>
    <row r="118" spans="5:10" x14ac:dyDescent="0.25">
      <c r="E118" s="26"/>
      <c r="F118" s="26"/>
    </row>
    <row r="119" spans="5:10" x14ac:dyDescent="0.25">
      <c r="E119" s="203"/>
      <c r="F119" s="204"/>
      <c r="G119" s="203"/>
      <c r="H119" s="203"/>
    </row>
    <row r="120" spans="5:10" x14ac:dyDescent="0.25">
      <c r="F120" s="26"/>
    </row>
  </sheetData>
  <mergeCells count="1">
    <mergeCell ref="A4:I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416F-268A-4EE1-8187-23AA38D07D03}">
  <sheetPr codeName="Sheet77"/>
  <dimension ref="A1:Q119"/>
  <sheetViews>
    <sheetView topLeftCell="A3" workbookViewId="0">
      <selection activeCell="F13" sqref="F13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0.42578125" customWidth="1"/>
    <col min="10" max="10" width="18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13030</v>
      </c>
      <c r="H8" s="7"/>
      <c r="I8" s="7"/>
      <c r="J8" s="7"/>
    </row>
    <row r="9" spans="1:12" ht="17.25" customHeight="1" x14ac:dyDescent="0.25">
      <c r="A9" s="14">
        <v>1</v>
      </c>
      <c r="B9" s="8">
        <v>45690</v>
      </c>
      <c r="C9" s="46" t="s">
        <v>340</v>
      </c>
      <c r="D9" s="214" t="s">
        <v>19</v>
      </c>
      <c r="E9" s="30"/>
      <c r="F9" s="27">
        <v>2020</v>
      </c>
      <c r="G9" s="18">
        <f>+G8+E9-F9</f>
        <v>11010</v>
      </c>
      <c r="H9" s="28" t="s">
        <v>91</v>
      </c>
      <c r="I9" s="7"/>
      <c r="J9" s="7"/>
    </row>
    <row r="10" spans="1:12" ht="17.25" customHeight="1" x14ac:dyDescent="0.25">
      <c r="A10" s="14">
        <f t="shared" ref="A10:A73" si="0">+A9+1</f>
        <v>2</v>
      </c>
      <c r="B10" s="8"/>
      <c r="C10" s="46" t="s">
        <v>340</v>
      </c>
      <c r="D10" s="214" t="s">
        <v>19</v>
      </c>
      <c r="E10" s="11"/>
      <c r="F10" s="27">
        <v>1877.1</v>
      </c>
      <c r="G10" s="238">
        <f t="shared" ref="G10:G73" si="1">+G9+E10-F10</f>
        <v>9132.9</v>
      </c>
      <c r="H10" s="28" t="s">
        <v>91</v>
      </c>
      <c r="I10" s="7"/>
      <c r="J10" s="7"/>
    </row>
    <row r="11" spans="1:12" ht="18" customHeight="1" x14ac:dyDescent="0.25">
      <c r="A11" s="14">
        <f t="shared" si="0"/>
        <v>3</v>
      </c>
      <c r="B11" s="8">
        <v>45869</v>
      </c>
      <c r="C11" s="46" t="s">
        <v>340</v>
      </c>
      <c r="D11" s="214" t="s">
        <v>19</v>
      </c>
      <c r="E11" s="16"/>
      <c r="F11" s="27">
        <v>2013.6</v>
      </c>
      <c r="G11" s="18">
        <f t="shared" si="1"/>
        <v>7119.2999999999993</v>
      </c>
      <c r="H11" s="28" t="s">
        <v>91</v>
      </c>
      <c r="I11" s="7"/>
      <c r="J11" s="140"/>
      <c r="L11">
        <f>641.4+649.8+583.6+594</f>
        <v>2468.7999999999997</v>
      </c>
    </row>
    <row r="12" spans="1:12" ht="18" customHeight="1" x14ac:dyDescent="0.25">
      <c r="A12" s="14">
        <f t="shared" si="0"/>
        <v>4</v>
      </c>
      <c r="B12" s="8">
        <v>45870</v>
      </c>
      <c r="C12" s="46" t="s">
        <v>340</v>
      </c>
      <c r="D12" s="214" t="s">
        <v>19</v>
      </c>
      <c r="E12" s="16"/>
      <c r="F12" s="17">
        <v>2034</v>
      </c>
      <c r="G12" s="18">
        <f t="shared" si="1"/>
        <v>5085.2999999999993</v>
      </c>
      <c r="H12" s="28" t="s">
        <v>91</v>
      </c>
      <c r="I12" s="7"/>
      <c r="J12" s="140"/>
    </row>
    <row r="13" spans="1:12" ht="18" customHeight="1" x14ac:dyDescent="0.25">
      <c r="A13" s="14">
        <f t="shared" si="0"/>
        <v>5</v>
      </c>
      <c r="B13" s="205">
        <v>45926</v>
      </c>
      <c r="C13" s="46" t="s">
        <v>340</v>
      </c>
      <c r="D13" s="214" t="s">
        <v>19</v>
      </c>
      <c r="E13" s="16"/>
      <c r="F13" s="17">
        <v>999.4</v>
      </c>
      <c r="G13" s="18">
        <f t="shared" si="1"/>
        <v>4085.8999999999992</v>
      </c>
      <c r="H13" s="28" t="s">
        <v>91</v>
      </c>
      <c r="I13" s="7"/>
      <c r="J13" s="140"/>
    </row>
    <row r="14" spans="1:12" ht="18" customHeight="1" x14ac:dyDescent="0.25">
      <c r="A14" s="14">
        <f t="shared" si="0"/>
        <v>6</v>
      </c>
      <c r="B14" s="8"/>
      <c r="C14" s="46" t="s">
        <v>340</v>
      </c>
      <c r="D14" s="214" t="s">
        <v>19</v>
      </c>
      <c r="E14" s="16"/>
      <c r="F14" s="27"/>
      <c r="G14" s="18">
        <f t="shared" si="1"/>
        <v>4085.8999999999992</v>
      </c>
      <c r="H14" s="28" t="s">
        <v>91</v>
      </c>
      <c r="I14" s="7"/>
      <c r="J14" s="7"/>
    </row>
    <row r="15" spans="1:12" ht="18" customHeight="1" x14ac:dyDescent="0.25">
      <c r="A15" s="14">
        <f t="shared" si="0"/>
        <v>7</v>
      </c>
      <c r="B15" s="8"/>
      <c r="C15" s="46" t="s">
        <v>340</v>
      </c>
      <c r="D15" s="214" t="s">
        <v>19</v>
      </c>
      <c r="E15" s="16"/>
      <c r="F15" s="27"/>
      <c r="G15" s="18">
        <f t="shared" si="1"/>
        <v>4085.8999999999992</v>
      </c>
      <c r="H15" s="28" t="s">
        <v>91</v>
      </c>
      <c r="I15" s="7"/>
      <c r="J15" s="140"/>
    </row>
    <row r="16" spans="1:12" ht="18" customHeight="1" x14ac:dyDescent="0.25">
      <c r="A16" s="14">
        <f t="shared" si="0"/>
        <v>8</v>
      </c>
      <c r="B16" s="8"/>
      <c r="C16" s="46" t="s">
        <v>340</v>
      </c>
      <c r="D16" s="214" t="s">
        <v>19</v>
      </c>
      <c r="E16" s="16"/>
      <c r="F16" s="27"/>
      <c r="G16" s="18">
        <f t="shared" si="1"/>
        <v>4085.8999999999992</v>
      </c>
      <c r="H16" s="28" t="s">
        <v>91</v>
      </c>
      <c r="I16" s="7"/>
      <c r="J16" s="7"/>
    </row>
    <row r="17" spans="1:16" ht="18" customHeight="1" x14ac:dyDescent="0.25">
      <c r="A17" s="14">
        <f t="shared" si="0"/>
        <v>9</v>
      </c>
      <c r="B17" s="8"/>
      <c r="C17" s="46" t="s">
        <v>340</v>
      </c>
      <c r="D17" s="214" t="s">
        <v>19</v>
      </c>
      <c r="E17" s="30"/>
      <c r="F17" s="27"/>
      <c r="G17" s="18">
        <f t="shared" si="1"/>
        <v>4085.8999999999992</v>
      </c>
      <c r="H17" s="28" t="s">
        <v>91</v>
      </c>
      <c r="I17" s="7"/>
      <c r="J17" s="7"/>
    </row>
    <row r="18" spans="1:16" s="230" customFormat="1" ht="18" customHeight="1" x14ac:dyDescent="0.25">
      <c r="A18" s="223">
        <f>+A17+1</f>
        <v>10</v>
      </c>
      <c r="B18" s="224"/>
      <c r="C18" s="46" t="s">
        <v>340</v>
      </c>
      <c r="D18" s="226" t="s">
        <v>19</v>
      </c>
      <c r="E18" s="227"/>
      <c r="F18" s="228"/>
      <c r="G18" s="229">
        <f t="shared" si="1"/>
        <v>4085.8999999999992</v>
      </c>
      <c r="H18" s="28" t="s">
        <v>91</v>
      </c>
      <c r="I18" s="7"/>
      <c r="J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340</v>
      </c>
      <c r="D19" s="226" t="s">
        <v>19</v>
      </c>
      <c r="E19" s="231"/>
      <c r="F19" s="228"/>
      <c r="G19" s="229">
        <f t="shared" si="1"/>
        <v>4085.8999999999992</v>
      </c>
      <c r="H19" s="28" t="s">
        <v>91</v>
      </c>
      <c r="I19" s="7"/>
      <c r="J19" s="348"/>
    </row>
    <row r="20" spans="1:16" ht="18" customHeight="1" x14ac:dyDescent="0.25">
      <c r="A20" s="14">
        <f t="shared" si="0"/>
        <v>12</v>
      </c>
      <c r="B20" s="8"/>
      <c r="C20" s="46" t="s">
        <v>340</v>
      </c>
      <c r="D20" s="214" t="s">
        <v>19</v>
      </c>
      <c r="E20" s="32"/>
      <c r="F20" s="17"/>
      <c r="G20" s="18">
        <f t="shared" si="1"/>
        <v>4085.8999999999992</v>
      </c>
      <c r="H20" s="28" t="s">
        <v>91</v>
      </c>
      <c r="I20" s="7"/>
      <c r="J20" s="7"/>
      <c r="P20">
        <f>655.4+618+648+651.2+620+645+649+674+641+652+617+635+623+619</f>
        <v>8947.6</v>
      </c>
    </row>
    <row r="21" spans="1:16" ht="18" customHeight="1" x14ac:dyDescent="0.25">
      <c r="A21" s="14">
        <f t="shared" si="0"/>
        <v>13</v>
      </c>
      <c r="B21" s="8"/>
      <c r="C21" s="46" t="s">
        <v>340</v>
      </c>
      <c r="D21" s="214" t="s">
        <v>19</v>
      </c>
      <c r="E21" s="32"/>
      <c r="F21" s="27"/>
      <c r="G21" s="18">
        <f t="shared" si="1"/>
        <v>4085.8999999999992</v>
      </c>
      <c r="H21" s="28" t="s">
        <v>91</v>
      </c>
      <c r="I21" s="7"/>
      <c r="J21" s="7"/>
    </row>
    <row r="22" spans="1:16" ht="18" customHeight="1" x14ac:dyDescent="0.25">
      <c r="A22" s="14">
        <f t="shared" si="0"/>
        <v>14</v>
      </c>
      <c r="B22" s="232"/>
      <c r="C22" s="46" t="s">
        <v>340</v>
      </c>
      <c r="D22" s="234" t="s">
        <v>19</v>
      </c>
      <c r="E22" s="235"/>
      <c r="F22" s="172"/>
      <c r="G22" s="18">
        <f t="shared" si="1"/>
        <v>4085.8999999999992</v>
      </c>
      <c r="H22" s="28" t="s">
        <v>129</v>
      </c>
      <c r="I22" s="7"/>
      <c r="J22" s="7"/>
    </row>
    <row r="23" spans="1:16" ht="18" customHeight="1" x14ac:dyDescent="0.25">
      <c r="A23" s="14">
        <f t="shared" si="0"/>
        <v>15</v>
      </c>
      <c r="B23" s="8"/>
      <c r="C23" s="46" t="s">
        <v>340</v>
      </c>
      <c r="D23" s="214" t="s">
        <v>19</v>
      </c>
      <c r="E23" s="32"/>
      <c r="F23" s="17"/>
      <c r="G23" s="18">
        <f t="shared" si="1"/>
        <v>4085.8999999999992</v>
      </c>
      <c r="H23" s="28" t="s">
        <v>129</v>
      </c>
      <c r="I23" s="7"/>
      <c r="J23" s="7"/>
    </row>
    <row r="24" spans="1:16" ht="18" customHeight="1" x14ac:dyDescent="0.25">
      <c r="A24" s="14">
        <f t="shared" si="0"/>
        <v>16</v>
      </c>
      <c r="B24" s="8"/>
      <c r="C24" s="46" t="s">
        <v>340</v>
      </c>
      <c r="D24" s="214" t="s">
        <v>19</v>
      </c>
      <c r="E24" s="32"/>
      <c r="F24" s="17"/>
      <c r="G24" s="18">
        <f t="shared" si="1"/>
        <v>4085.8999999999992</v>
      </c>
      <c r="H24" s="28" t="s">
        <v>91</v>
      </c>
      <c r="I24" s="7"/>
      <c r="J24" s="7"/>
    </row>
    <row r="25" spans="1:16" ht="18" customHeight="1" x14ac:dyDescent="0.25">
      <c r="A25" s="14">
        <f t="shared" si="0"/>
        <v>17</v>
      </c>
      <c r="B25" s="8"/>
      <c r="C25" s="46" t="s">
        <v>340</v>
      </c>
      <c r="D25" s="214" t="s">
        <v>19</v>
      </c>
      <c r="E25" s="32"/>
      <c r="F25" s="17"/>
      <c r="G25" s="18">
        <f t="shared" si="1"/>
        <v>4085.8999999999992</v>
      </c>
      <c r="H25" s="28" t="s">
        <v>91</v>
      </c>
      <c r="I25" s="7"/>
      <c r="J25" s="7"/>
    </row>
    <row r="26" spans="1:16" ht="18" customHeight="1" x14ac:dyDescent="0.25">
      <c r="A26" s="14">
        <f t="shared" si="0"/>
        <v>18</v>
      </c>
      <c r="B26" s="8"/>
      <c r="C26" s="46" t="s">
        <v>340</v>
      </c>
      <c r="D26" s="214" t="s">
        <v>19</v>
      </c>
      <c r="E26" s="32"/>
      <c r="F26" s="17"/>
      <c r="G26" s="18">
        <f t="shared" si="1"/>
        <v>4085.8999999999992</v>
      </c>
      <c r="H26" s="28" t="s">
        <v>91</v>
      </c>
      <c r="I26" s="7"/>
      <c r="J26" s="7"/>
    </row>
    <row r="27" spans="1:16" ht="18" customHeight="1" x14ac:dyDescent="0.25">
      <c r="A27" s="14">
        <f>+A26+1</f>
        <v>19</v>
      </c>
      <c r="B27" s="8"/>
      <c r="C27" s="46" t="s">
        <v>340</v>
      </c>
      <c r="D27" s="214" t="s">
        <v>19</v>
      </c>
      <c r="E27" s="32"/>
      <c r="F27" s="125"/>
      <c r="G27" s="18">
        <f t="shared" si="1"/>
        <v>4085.8999999999992</v>
      </c>
      <c r="H27" s="28" t="s">
        <v>91</v>
      </c>
      <c r="I27" s="7"/>
      <c r="J27" s="7"/>
    </row>
    <row r="28" spans="1:16" ht="18" customHeight="1" x14ac:dyDescent="0.25">
      <c r="A28" s="14">
        <f t="shared" si="0"/>
        <v>20</v>
      </c>
      <c r="B28" s="8"/>
      <c r="C28" s="46" t="s">
        <v>340</v>
      </c>
      <c r="D28" s="214" t="s">
        <v>19</v>
      </c>
      <c r="E28" s="129"/>
      <c r="F28" s="17"/>
      <c r="G28" s="18">
        <f t="shared" si="1"/>
        <v>4085.8999999999992</v>
      </c>
      <c r="H28" s="28" t="s">
        <v>91</v>
      </c>
      <c r="I28" s="7"/>
      <c r="J28" s="7"/>
    </row>
    <row r="29" spans="1:16" ht="18" customHeight="1" x14ac:dyDescent="0.25">
      <c r="A29" s="14">
        <f t="shared" si="0"/>
        <v>21</v>
      </c>
      <c r="B29" s="8"/>
      <c r="C29" s="46" t="s">
        <v>340</v>
      </c>
      <c r="D29" s="214" t="s">
        <v>19</v>
      </c>
      <c r="E29" s="32"/>
      <c r="F29" s="172"/>
      <c r="G29" s="18">
        <f t="shared" si="1"/>
        <v>4085.8999999999992</v>
      </c>
      <c r="H29" s="28" t="s">
        <v>91</v>
      </c>
      <c r="I29" s="7"/>
      <c r="J29" s="7"/>
    </row>
    <row r="30" spans="1:16" ht="18" customHeight="1" x14ac:dyDescent="0.25">
      <c r="A30" s="14">
        <f t="shared" si="0"/>
        <v>22</v>
      </c>
      <c r="B30" s="8"/>
      <c r="C30" s="46" t="s">
        <v>340</v>
      </c>
      <c r="D30" s="214" t="s">
        <v>19</v>
      </c>
      <c r="E30" s="32"/>
      <c r="F30" s="125"/>
      <c r="G30" s="18">
        <f t="shared" si="1"/>
        <v>4085.8999999999992</v>
      </c>
      <c r="H30" s="28" t="s">
        <v>91</v>
      </c>
      <c r="I30" s="7"/>
      <c r="J30" s="7"/>
    </row>
    <row r="31" spans="1:16" ht="18" customHeight="1" x14ac:dyDescent="0.25">
      <c r="A31" s="14">
        <f t="shared" si="0"/>
        <v>23</v>
      </c>
      <c r="B31" s="8"/>
      <c r="C31" s="46" t="s">
        <v>340</v>
      </c>
      <c r="D31" s="214" t="s">
        <v>19</v>
      </c>
      <c r="E31" s="32"/>
      <c r="F31" s="152"/>
      <c r="G31" s="18">
        <f t="shared" si="1"/>
        <v>4085.8999999999992</v>
      </c>
      <c r="H31" s="28" t="s">
        <v>91</v>
      </c>
      <c r="I31" s="7"/>
      <c r="J31" s="7"/>
    </row>
    <row r="32" spans="1:16" ht="17.25" customHeight="1" x14ac:dyDescent="0.25">
      <c r="A32" s="14">
        <f t="shared" si="0"/>
        <v>24</v>
      </c>
      <c r="B32" s="8"/>
      <c r="C32" s="46" t="s">
        <v>340</v>
      </c>
      <c r="D32" s="214" t="s">
        <v>19</v>
      </c>
      <c r="E32" s="13"/>
      <c r="F32" s="17"/>
      <c r="G32" s="18">
        <f t="shared" si="1"/>
        <v>4085.8999999999992</v>
      </c>
      <c r="H32" s="28" t="s">
        <v>91</v>
      </c>
      <c r="I32" s="7"/>
      <c r="J32" s="7"/>
    </row>
    <row r="33" spans="1:16" ht="17.25" customHeight="1" x14ac:dyDescent="0.25">
      <c r="A33" s="14">
        <f t="shared" si="0"/>
        <v>25</v>
      </c>
      <c r="B33" s="44"/>
      <c r="C33" s="46" t="s">
        <v>340</v>
      </c>
      <c r="D33" s="214" t="s">
        <v>19</v>
      </c>
      <c r="E33" s="13"/>
      <c r="F33" s="17"/>
      <c r="G33" s="18">
        <f t="shared" si="1"/>
        <v>4085.8999999999992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340</v>
      </c>
      <c r="D34" s="214" t="s">
        <v>19</v>
      </c>
      <c r="E34" s="32"/>
      <c r="F34" s="40"/>
      <c r="G34" s="18">
        <f t="shared" si="1"/>
        <v>4085.8999999999992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340</v>
      </c>
      <c r="D35" s="214" t="s">
        <v>19</v>
      </c>
      <c r="E35" s="32"/>
      <c r="F35" s="40"/>
      <c r="G35" s="18">
        <f t="shared" si="1"/>
        <v>4085.8999999999992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340</v>
      </c>
      <c r="D36" s="214" t="s">
        <v>19</v>
      </c>
      <c r="E36" s="32"/>
      <c r="F36" s="40"/>
      <c r="G36" s="18">
        <f t="shared" si="1"/>
        <v>4085.8999999999992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340</v>
      </c>
      <c r="D37" s="214" t="s">
        <v>19</v>
      </c>
      <c r="E37" s="32"/>
      <c r="F37" s="17"/>
      <c r="G37" s="18">
        <f t="shared" si="1"/>
        <v>4085.8999999999992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340</v>
      </c>
      <c r="D38" s="214" t="s">
        <v>19</v>
      </c>
      <c r="E38" s="32"/>
      <c r="F38" s="17"/>
      <c r="G38" s="18">
        <f t="shared" si="1"/>
        <v>4085.8999999999992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340</v>
      </c>
      <c r="D39" s="214" t="s">
        <v>19</v>
      </c>
      <c r="E39" s="32"/>
      <c r="F39" s="17"/>
      <c r="G39" s="18">
        <f t="shared" si="1"/>
        <v>4085.8999999999992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340</v>
      </c>
      <c r="D40" s="214" t="s">
        <v>19</v>
      </c>
      <c r="E40" s="32"/>
      <c r="F40" s="17"/>
      <c r="G40" s="18">
        <f t="shared" si="1"/>
        <v>4085.8999999999992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340</v>
      </c>
      <c r="D41" s="214" t="s">
        <v>19</v>
      </c>
      <c r="E41" s="32"/>
      <c r="F41" s="172"/>
      <c r="G41" s="18">
        <f t="shared" si="1"/>
        <v>4085.8999999999992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340</v>
      </c>
      <c r="D42" s="214" t="s">
        <v>19</v>
      </c>
      <c r="E42" s="32"/>
      <c r="F42" s="17"/>
      <c r="G42" s="18">
        <f t="shared" si="1"/>
        <v>4085.8999999999992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340</v>
      </c>
      <c r="D43" s="214" t="s">
        <v>19</v>
      </c>
      <c r="E43" s="32"/>
      <c r="F43" s="17"/>
      <c r="G43" s="18">
        <f t="shared" si="1"/>
        <v>4085.8999999999992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340</v>
      </c>
      <c r="D44" s="214" t="s">
        <v>19</v>
      </c>
      <c r="E44" s="32"/>
      <c r="F44" s="17"/>
      <c r="G44" s="18">
        <f t="shared" si="1"/>
        <v>4085.8999999999992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340</v>
      </c>
      <c r="D45" s="214" t="s">
        <v>19</v>
      </c>
      <c r="E45" s="32"/>
      <c r="F45" s="17"/>
      <c r="G45" s="18">
        <f t="shared" si="1"/>
        <v>4085.8999999999992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340</v>
      </c>
      <c r="D46" s="214" t="s">
        <v>19</v>
      </c>
      <c r="E46" s="32"/>
      <c r="F46" s="17"/>
      <c r="G46" s="18">
        <f t="shared" si="1"/>
        <v>4085.8999999999992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340</v>
      </c>
      <c r="D47" s="214" t="s">
        <v>19</v>
      </c>
      <c r="E47" s="32"/>
      <c r="F47" s="17"/>
      <c r="G47" s="18">
        <f t="shared" si="1"/>
        <v>4085.8999999999992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340</v>
      </c>
      <c r="D48" s="214" t="s">
        <v>19</v>
      </c>
      <c r="E48" s="32"/>
      <c r="F48" s="17"/>
      <c r="G48" s="18">
        <f t="shared" si="1"/>
        <v>4085.8999999999992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340</v>
      </c>
      <c r="D49" s="214" t="s">
        <v>19</v>
      </c>
      <c r="E49" s="32"/>
      <c r="F49" s="17"/>
      <c r="G49" s="18">
        <f t="shared" si="1"/>
        <v>4085.8999999999992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340</v>
      </c>
      <c r="D50" s="237" t="s">
        <v>19</v>
      </c>
      <c r="E50" s="175"/>
      <c r="F50" s="172"/>
      <c r="G50" s="238">
        <f t="shared" si="1"/>
        <v>4085.8999999999992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340</v>
      </c>
      <c r="D51" s="214" t="s">
        <v>19</v>
      </c>
      <c r="E51" s="32"/>
      <c r="F51" s="17"/>
      <c r="G51" s="18">
        <f t="shared" si="1"/>
        <v>4085.8999999999992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340</v>
      </c>
      <c r="D52" s="214" t="s">
        <v>19</v>
      </c>
      <c r="E52" s="32"/>
      <c r="F52" s="17"/>
      <c r="G52" s="18">
        <f t="shared" si="1"/>
        <v>4085.8999999999992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340</v>
      </c>
      <c r="D53" s="214" t="s">
        <v>19</v>
      </c>
      <c r="E53" s="32"/>
      <c r="F53" s="17"/>
      <c r="G53" s="18">
        <f t="shared" si="1"/>
        <v>4085.8999999999992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340</v>
      </c>
      <c r="D54" s="214" t="s">
        <v>19</v>
      </c>
      <c r="E54" s="32"/>
      <c r="F54" s="17"/>
      <c r="G54" s="18">
        <f t="shared" si="1"/>
        <v>4085.8999999999992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340</v>
      </c>
      <c r="D55" s="214" t="s">
        <v>19</v>
      </c>
      <c r="E55" s="32"/>
      <c r="F55" s="17"/>
      <c r="G55" s="18">
        <f t="shared" si="1"/>
        <v>4085.8999999999992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340</v>
      </c>
      <c r="D56" s="214" t="s">
        <v>19</v>
      </c>
      <c r="E56" s="32"/>
      <c r="F56" s="17"/>
      <c r="G56" s="18">
        <f t="shared" si="1"/>
        <v>4085.8999999999992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340</v>
      </c>
      <c r="D57" s="214" t="s">
        <v>19</v>
      </c>
      <c r="E57" s="32"/>
      <c r="F57" s="17"/>
      <c r="G57" s="18">
        <f t="shared" si="1"/>
        <v>4085.8999999999992</v>
      </c>
      <c r="H57" s="240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340</v>
      </c>
      <c r="D58" s="214" t="s">
        <v>19</v>
      </c>
      <c r="E58" s="32"/>
      <c r="F58" s="17"/>
      <c r="G58" s="18">
        <f t="shared" si="1"/>
        <v>4085.8999999999992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340</v>
      </c>
      <c r="D59" s="214" t="s">
        <v>19</v>
      </c>
      <c r="E59" s="32"/>
      <c r="F59" s="17"/>
      <c r="G59" s="18">
        <f t="shared" si="1"/>
        <v>4085.8999999999992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340</v>
      </c>
      <c r="D60" s="214" t="s">
        <v>19</v>
      </c>
      <c r="E60" s="32"/>
      <c r="F60" s="17"/>
      <c r="G60" s="18">
        <f t="shared" si="1"/>
        <v>4085.8999999999992</v>
      </c>
      <c r="H60" s="240"/>
      <c r="I60" s="7"/>
      <c r="J60" s="7"/>
    </row>
    <row r="61" spans="1:16" ht="18" customHeight="1" x14ac:dyDescent="0.25">
      <c r="A61" s="14">
        <f t="shared" si="0"/>
        <v>53</v>
      </c>
      <c r="B61" s="8"/>
      <c r="C61" s="46" t="s">
        <v>340</v>
      </c>
      <c r="D61" s="214" t="s">
        <v>19</v>
      </c>
      <c r="E61" s="32"/>
      <c r="F61" s="17"/>
      <c r="G61" s="18">
        <f t="shared" si="1"/>
        <v>4085.8999999999992</v>
      </c>
      <c r="H61" s="240"/>
      <c r="I61" s="7"/>
      <c r="J61" s="7"/>
    </row>
    <row r="62" spans="1:16" ht="18" customHeight="1" x14ac:dyDescent="0.25">
      <c r="A62" s="14">
        <f t="shared" si="0"/>
        <v>54</v>
      </c>
      <c r="B62" s="8"/>
      <c r="C62" s="46" t="s">
        <v>340</v>
      </c>
      <c r="D62" s="214" t="s">
        <v>19</v>
      </c>
      <c r="E62" s="32"/>
      <c r="F62" s="17"/>
      <c r="G62" s="18">
        <f t="shared" si="1"/>
        <v>4085.8999999999992</v>
      </c>
      <c r="H62" s="240"/>
      <c r="I62" s="7"/>
      <c r="J62" s="7"/>
    </row>
    <row r="63" spans="1:16" ht="18" customHeight="1" x14ac:dyDescent="0.25">
      <c r="A63" s="14">
        <f t="shared" si="0"/>
        <v>55</v>
      </c>
      <c r="B63" s="8"/>
      <c r="C63" s="46" t="s">
        <v>340</v>
      </c>
      <c r="D63" s="214" t="s">
        <v>19</v>
      </c>
      <c r="E63" s="32"/>
      <c r="F63" s="17"/>
      <c r="G63" s="18">
        <f t="shared" si="1"/>
        <v>4085.8999999999992</v>
      </c>
      <c r="H63" s="240"/>
      <c r="I63" s="7"/>
      <c r="J63" s="7"/>
    </row>
    <row r="64" spans="1:16" ht="18" customHeight="1" x14ac:dyDescent="0.25">
      <c r="A64" s="14">
        <f t="shared" si="0"/>
        <v>56</v>
      </c>
      <c r="B64" s="8"/>
      <c r="C64" s="46" t="s">
        <v>340</v>
      </c>
      <c r="D64" s="214" t="s">
        <v>19</v>
      </c>
      <c r="E64" s="32"/>
      <c r="F64" s="17"/>
      <c r="G64" s="18">
        <f t="shared" si="1"/>
        <v>4085.8999999999992</v>
      </c>
      <c r="H64" s="240"/>
      <c r="I64" s="7"/>
      <c r="J64" s="7"/>
    </row>
    <row r="65" spans="1:10" ht="18" customHeight="1" x14ac:dyDescent="0.25">
      <c r="A65" s="14">
        <f t="shared" si="0"/>
        <v>57</v>
      </c>
      <c r="B65" s="8"/>
      <c r="C65" s="46" t="s">
        <v>340</v>
      </c>
      <c r="D65" s="214" t="s">
        <v>19</v>
      </c>
      <c r="E65" s="32"/>
      <c r="F65" s="17"/>
      <c r="G65" s="18">
        <f t="shared" si="1"/>
        <v>4085.8999999999992</v>
      </c>
      <c r="H65" s="240"/>
      <c r="I65" s="7"/>
      <c r="J65" s="140"/>
    </row>
    <row r="66" spans="1:10" ht="18" customHeight="1" x14ac:dyDescent="0.25">
      <c r="A66" s="14">
        <f t="shared" si="0"/>
        <v>58</v>
      </c>
      <c r="B66" s="8"/>
      <c r="C66" s="46" t="s">
        <v>340</v>
      </c>
      <c r="D66" s="214" t="s">
        <v>19</v>
      </c>
      <c r="E66" s="32"/>
      <c r="F66" s="17"/>
      <c r="G66" s="18">
        <f t="shared" si="1"/>
        <v>4085.8999999999992</v>
      </c>
      <c r="H66" s="240"/>
      <c r="I66" s="7"/>
      <c r="J66" s="7"/>
    </row>
    <row r="67" spans="1:10" ht="18" customHeight="1" x14ac:dyDescent="0.25">
      <c r="A67" s="14">
        <f t="shared" si="0"/>
        <v>59</v>
      </c>
      <c r="B67" s="8"/>
      <c r="C67" s="46" t="s">
        <v>340</v>
      </c>
      <c r="D67" s="214" t="s">
        <v>19</v>
      </c>
      <c r="E67" s="32"/>
      <c r="F67" s="17"/>
      <c r="G67" s="18">
        <f>+G66+E67-F67</f>
        <v>4085.8999999999992</v>
      </c>
      <c r="H67" s="240"/>
      <c r="I67" s="7"/>
      <c r="J67" s="7"/>
    </row>
    <row r="68" spans="1:10" ht="18" customHeight="1" x14ac:dyDescent="0.25">
      <c r="A68" s="14">
        <f t="shared" si="0"/>
        <v>60</v>
      </c>
      <c r="B68" s="8"/>
      <c r="C68" s="46" t="s">
        <v>340</v>
      </c>
      <c r="D68" s="214" t="s">
        <v>19</v>
      </c>
      <c r="E68" s="32"/>
      <c r="F68" s="17"/>
      <c r="G68" s="18">
        <f>+G67+E68-F68</f>
        <v>4085.8999999999992</v>
      </c>
      <c r="H68" s="240"/>
      <c r="I68" s="7"/>
      <c r="J68" s="7"/>
    </row>
    <row r="69" spans="1:10" ht="18" customHeight="1" x14ac:dyDescent="0.25">
      <c r="A69" s="14">
        <f t="shared" si="0"/>
        <v>61</v>
      </c>
      <c r="B69" s="8"/>
      <c r="C69" s="46" t="s">
        <v>340</v>
      </c>
      <c r="D69" s="214" t="s">
        <v>19</v>
      </c>
      <c r="E69" s="32"/>
      <c r="F69" s="17"/>
      <c r="G69" s="18">
        <f>+G68+E69-F69</f>
        <v>4085.8999999999992</v>
      </c>
      <c r="H69" s="240"/>
      <c r="I69" s="7"/>
      <c r="J69" s="7"/>
    </row>
    <row r="70" spans="1:10" ht="18" customHeight="1" x14ac:dyDescent="0.25">
      <c r="A70" s="14">
        <f t="shared" si="0"/>
        <v>62</v>
      </c>
      <c r="B70" s="8"/>
      <c r="C70" s="46" t="s">
        <v>340</v>
      </c>
      <c r="D70" s="214" t="s">
        <v>19</v>
      </c>
      <c r="E70" s="32"/>
      <c r="F70" s="17"/>
      <c r="G70" s="18">
        <f t="shared" si="1"/>
        <v>4085.8999999999992</v>
      </c>
      <c r="H70" s="240"/>
      <c r="I70" s="7"/>
      <c r="J70" s="7"/>
    </row>
    <row r="71" spans="1:10" ht="18" customHeight="1" x14ac:dyDescent="0.25">
      <c r="A71" s="14">
        <f t="shared" si="0"/>
        <v>63</v>
      </c>
      <c r="B71" s="8"/>
      <c r="C71" s="46" t="s">
        <v>340</v>
      </c>
      <c r="D71" s="214" t="s">
        <v>19</v>
      </c>
      <c r="E71" s="32"/>
      <c r="F71" s="17"/>
      <c r="G71" s="18">
        <f t="shared" si="1"/>
        <v>4085.8999999999992</v>
      </c>
      <c r="H71" s="240"/>
      <c r="I71" s="7"/>
      <c r="J71" s="7"/>
    </row>
    <row r="72" spans="1:10" ht="18" customHeight="1" x14ac:dyDescent="0.25">
      <c r="A72" s="14">
        <f>+A71+1</f>
        <v>64</v>
      </c>
      <c r="B72" s="8"/>
      <c r="C72" s="46" t="s">
        <v>340</v>
      </c>
      <c r="D72" s="214" t="s">
        <v>19</v>
      </c>
      <c r="E72" s="32"/>
      <c r="F72" s="17"/>
      <c r="G72" s="18">
        <f t="shared" si="1"/>
        <v>4085.8999999999992</v>
      </c>
      <c r="H72" s="240"/>
      <c r="I72" s="7"/>
      <c r="J72" s="7"/>
    </row>
    <row r="73" spans="1:10" ht="18" customHeight="1" x14ac:dyDescent="0.25">
      <c r="A73" s="14">
        <f t="shared" si="0"/>
        <v>65</v>
      </c>
      <c r="B73" s="8"/>
      <c r="C73" s="46" t="s">
        <v>340</v>
      </c>
      <c r="D73" s="214" t="s">
        <v>19</v>
      </c>
      <c r="E73" s="32"/>
      <c r="F73" s="17"/>
      <c r="G73" s="18">
        <f t="shared" si="1"/>
        <v>4085.8999999999992</v>
      </c>
      <c r="H73" s="240"/>
      <c r="I73" s="7"/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340</v>
      </c>
      <c r="D74" s="214" t="s">
        <v>19</v>
      </c>
      <c r="E74" s="32"/>
      <c r="F74" s="17"/>
      <c r="G74" s="18">
        <f t="shared" ref="G74:G91" si="3">+G73+E74-F74</f>
        <v>4085.8999999999992</v>
      </c>
      <c r="H74" s="240"/>
      <c r="I74" s="7"/>
      <c r="J74" s="7"/>
    </row>
    <row r="75" spans="1:10" ht="18" customHeight="1" x14ac:dyDescent="0.25">
      <c r="A75" s="14">
        <f t="shared" si="2"/>
        <v>67</v>
      </c>
      <c r="B75" s="8"/>
      <c r="C75" s="46" t="s">
        <v>340</v>
      </c>
      <c r="D75" s="214" t="s">
        <v>19</v>
      </c>
      <c r="E75" s="32"/>
      <c r="F75" s="17"/>
      <c r="G75" s="18">
        <f t="shared" si="3"/>
        <v>4085.8999999999992</v>
      </c>
      <c r="H75" s="240"/>
      <c r="I75" s="7"/>
      <c r="J75" s="7"/>
    </row>
    <row r="76" spans="1:10" ht="18" customHeight="1" x14ac:dyDescent="0.25">
      <c r="A76" s="14">
        <f t="shared" si="2"/>
        <v>68</v>
      </c>
      <c r="B76" s="8"/>
      <c r="C76" s="46" t="s">
        <v>340</v>
      </c>
      <c r="D76" s="214" t="s">
        <v>19</v>
      </c>
      <c r="E76" s="32"/>
      <c r="F76" s="17"/>
      <c r="G76" s="18">
        <f t="shared" si="3"/>
        <v>4085.8999999999992</v>
      </c>
      <c r="H76" s="240"/>
      <c r="I76" s="7"/>
      <c r="J76" s="7"/>
    </row>
    <row r="77" spans="1:10" ht="18" customHeight="1" x14ac:dyDescent="0.25">
      <c r="A77" s="14">
        <f t="shared" si="2"/>
        <v>69</v>
      </c>
      <c r="B77" s="8"/>
      <c r="C77" s="46" t="s">
        <v>340</v>
      </c>
      <c r="D77" s="214" t="s">
        <v>19</v>
      </c>
      <c r="E77" s="32"/>
      <c r="F77" s="17"/>
      <c r="G77" s="18">
        <f t="shared" si="3"/>
        <v>4085.8999999999992</v>
      </c>
      <c r="H77" s="240"/>
      <c r="I77" s="7"/>
      <c r="J77" s="7"/>
    </row>
    <row r="78" spans="1:10" ht="18" customHeight="1" x14ac:dyDescent="0.25">
      <c r="A78" s="14">
        <f t="shared" si="2"/>
        <v>70</v>
      </c>
      <c r="B78" s="8"/>
      <c r="C78" s="46" t="s">
        <v>340</v>
      </c>
      <c r="D78" s="214" t="s">
        <v>19</v>
      </c>
      <c r="E78" s="32"/>
      <c r="F78" s="17"/>
      <c r="G78" s="18">
        <f t="shared" si="3"/>
        <v>4085.8999999999992</v>
      </c>
      <c r="H78" s="240"/>
      <c r="I78" s="7"/>
      <c r="J78" s="7"/>
    </row>
    <row r="79" spans="1:10" ht="18" customHeight="1" x14ac:dyDescent="0.25">
      <c r="A79" s="14">
        <f t="shared" si="2"/>
        <v>71</v>
      </c>
      <c r="B79" s="8"/>
      <c r="C79" s="46" t="s">
        <v>340</v>
      </c>
      <c r="D79" s="214" t="s">
        <v>19</v>
      </c>
      <c r="E79" s="32"/>
      <c r="F79" s="17"/>
      <c r="G79" s="18">
        <f t="shared" si="3"/>
        <v>4085.8999999999992</v>
      </c>
      <c r="H79" s="240"/>
      <c r="I79" s="7"/>
      <c r="J79" s="7"/>
    </row>
    <row r="80" spans="1:10" ht="18" customHeight="1" x14ac:dyDescent="0.25">
      <c r="A80" s="14">
        <f t="shared" si="2"/>
        <v>72</v>
      </c>
      <c r="B80" s="8"/>
      <c r="C80" s="46" t="s">
        <v>340</v>
      </c>
      <c r="D80" s="214" t="s">
        <v>19</v>
      </c>
      <c r="E80" s="32"/>
      <c r="F80" s="17"/>
      <c r="G80" s="18">
        <f t="shared" si="3"/>
        <v>4085.8999999999992</v>
      </c>
      <c r="H80" s="240"/>
      <c r="I80" s="7"/>
      <c r="J80" s="7"/>
    </row>
    <row r="81" spans="1:17" ht="18" customHeight="1" x14ac:dyDescent="0.25">
      <c r="A81" s="14">
        <f t="shared" si="2"/>
        <v>73</v>
      </c>
      <c r="B81" s="8"/>
      <c r="C81" s="46" t="s">
        <v>340</v>
      </c>
      <c r="D81" s="214" t="s">
        <v>19</v>
      </c>
      <c r="E81" s="32"/>
      <c r="F81" s="17"/>
      <c r="G81" s="18">
        <f t="shared" si="3"/>
        <v>4085.8999999999992</v>
      </c>
      <c r="H81" s="240"/>
      <c r="I81" s="7"/>
      <c r="J81" s="7"/>
    </row>
    <row r="82" spans="1:17" ht="18" customHeight="1" x14ac:dyDescent="0.25">
      <c r="A82" s="14">
        <f t="shared" si="2"/>
        <v>74</v>
      </c>
      <c r="B82" s="8"/>
      <c r="C82" s="46" t="s">
        <v>340</v>
      </c>
      <c r="D82" s="214" t="s">
        <v>19</v>
      </c>
      <c r="E82" s="32"/>
      <c r="F82" s="17"/>
      <c r="G82" s="18">
        <f t="shared" si="3"/>
        <v>4085.8999999999992</v>
      </c>
      <c r="H82" s="240"/>
      <c r="I82" s="7"/>
      <c r="J82" s="7"/>
    </row>
    <row r="83" spans="1:17" ht="18" customHeight="1" x14ac:dyDescent="0.25">
      <c r="A83" s="14">
        <f t="shared" si="2"/>
        <v>75</v>
      </c>
      <c r="B83" s="8"/>
      <c r="C83" s="46" t="s">
        <v>340</v>
      </c>
      <c r="D83" s="214" t="s">
        <v>19</v>
      </c>
      <c r="E83" s="32"/>
      <c r="F83" s="27"/>
      <c r="G83" s="18">
        <f t="shared" si="3"/>
        <v>4085.8999999999992</v>
      </c>
      <c r="H83" s="240"/>
      <c r="I83" s="7"/>
      <c r="J83" s="7"/>
    </row>
    <row r="84" spans="1:17" ht="18" customHeight="1" x14ac:dyDescent="0.25">
      <c r="A84" s="14">
        <f t="shared" si="2"/>
        <v>76</v>
      </c>
      <c r="B84" s="8"/>
      <c r="C84" s="46" t="s">
        <v>340</v>
      </c>
      <c r="D84" s="214" t="s">
        <v>19</v>
      </c>
      <c r="E84" s="32"/>
      <c r="F84" s="17"/>
      <c r="G84" s="18">
        <f t="shared" si="3"/>
        <v>4085.8999999999992</v>
      </c>
      <c r="H84" s="240"/>
      <c r="I84" s="7"/>
      <c r="J84" s="7"/>
    </row>
    <row r="85" spans="1:17" ht="18" customHeight="1" x14ac:dyDescent="0.25">
      <c r="A85" s="14">
        <f t="shared" si="2"/>
        <v>77</v>
      </c>
      <c r="B85" s="8"/>
      <c r="C85" s="46" t="s">
        <v>340</v>
      </c>
      <c r="D85" s="214" t="s">
        <v>19</v>
      </c>
      <c r="E85" s="32"/>
      <c r="F85" s="17"/>
      <c r="G85" s="18">
        <f t="shared" si="3"/>
        <v>4085.8999999999992</v>
      </c>
      <c r="H85" s="240"/>
      <c r="I85" s="7"/>
      <c r="J85" s="7"/>
    </row>
    <row r="86" spans="1:17" ht="18" customHeight="1" x14ac:dyDescent="0.25">
      <c r="A86" s="14">
        <f t="shared" si="2"/>
        <v>78</v>
      </c>
      <c r="B86" s="8"/>
      <c r="C86" s="46" t="s">
        <v>340</v>
      </c>
      <c r="D86" s="214" t="s">
        <v>19</v>
      </c>
      <c r="E86" s="32"/>
      <c r="F86" s="17"/>
      <c r="G86" s="18">
        <f t="shared" si="3"/>
        <v>4085.8999999999992</v>
      </c>
      <c r="H86" s="240"/>
      <c r="I86" s="7"/>
      <c r="J86" s="7"/>
    </row>
    <row r="87" spans="1:17" ht="18" customHeight="1" x14ac:dyDescent="0.25">
      <c r="A87" s="14">
        <f t="shared" si="2"/>
        <v>79</v>
      </c>
      <c r="B87" s="8"/>
      <c r="C87" s="46" t="s">
        <v>340</v>
      </c>
      <c r="D87" s="214" t="s">
        <v>19</v>
      </c>
      <c r="E87" s="32"/>
      <c r="F87" s="17"/>
      <c r="G87" s="18">
        <f t="shared" si="3"/>
        <v>4085.8999999999992</v>
      </c>
      <c r="H87" s="240"/>
      <c r="I87" s="7"/>
      <c r="J87" s="7"/>
    </row>
    <row r="88" spans="1:17" ht="18" customHeight="1" x14ac:dyDescent="0.25">
      <c r="A88" s="14">
        <f t="shared" si="2"/>
        <v>80</v>
      </c>
      <c r="B88" s="8"/>
      <c r="C88" s="46" t="s">
        <v>340</v>
      </c>
      <c r="D88" s="214" t="s">
        <v>19</v>
      </c>
      <c r="E88" s="32"/>
      <c r="F88" s="17"/>
      <c r="G88" s="18">
        <f t="shared" si="3"/>
        <v>4085.8999999999992</v>
      </c>
      <c r="H88" s="240"/>
      <c r="I88" s="7"/>
      <c r="J88" s="7"/>
    </row>
    <row r="89" spans="1:17" ht="18" customHeight="1" x14ac:dyDescent="0.25">
      <c r="A89" s="14">
        <f t="shared" si="2"/>
        <v>81</v>
      </c>
      <c r="B89" s="8"/>
      <c r="C89" s="46" t="s">
        <v>340</v>
      </c>
      <c r="D89" s="214" t="s">
        <v>19</v>
      </c>
      <c r="E89" s="32"/>
      <c r="F89" s="17"/>
      <c r="G89" s="18">
        <f t="shared" si="3"/>
        <v>4085.8999999999992</v>
      </c>
      <c r="H89" s="240"/>
      <c r="I89" s="7"/>
      <c r="J89" s="7"/>
    </row>
    <row r="90" spans="1:17" ht="18" customHeight="1" x14ac:dyDescent="0.25">
      <c r="A90" s="14">
        <f t="shared" si="2"/>
        <v>82</v>
      </c>
      <c r="B90" s="8"/>
      <c r="C90" s="46" t="s">
        <v>340</v>
      </c>
      <c r="D90" s="214" t="s">
        <v>19</v>
      </c>
      <c r="E90" s="32"/>
      <c r="F90" s="17"/>
      <c r="G90" s="18">
        <f t="shared" si="3"/>
        <v>4085.8999999999992</v>
      </c>
      <c r="H90" s="240"/>
      <c r="I90" s="7"/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340</v>
      </c>
      <c r="D91" s="214" t="s">
        <v>19</v>
      </c>
      <c r="E91" s="32"/>
      <c r="F91" s="27"/>
      <c r="G91" s="18">
        <f t="shared" si="3"/>
        <v>4085.8999999999992</v>
      </c>
      <c r="H91" s="240"/>
      <c r="I91" s="7"/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340</v>
      </c>
      <c r="D92" s="214" t="s">
        <v>19</v>
      </c>
      <c r="E92" s="32"/>
      <c r="F92" s="27"/>
      <c r="G92" s="18">
        <f>+G91+E92-F92</f>
        <v>4085.8999999999992</v>
      </c>
      <c r="H92" s="240"/>
      <c r="I92" s="7"/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340</v>
      </c>
      <c r="D93" s="244" t="s">
        <v>19</v>
      </c>
      <c r="E93" s="245"/>
      <c r="F93" s="52"/>
      <c r="G93" s="246">
        <f>+G92+E93-F93</f>
        <v>4085.8999999999992</v>
      </c>
      <c r="H93" s="240"/>
      <c r="I93" s="247"/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340</v>
      </c>
      <c r="D94" s="244" t="s">
        <v>19</v>
      </c>
      <c r="E94" s="245"/>
      <c r="F94" s="52"/>
      <c r="G94" s="246">
        <f t="shared" ref="G94:G106" si="4">+G93+E94-F94</f>
        <v>4085.8999999999992</v>
      </c>
      <c r="H94" s="240"/>
      <c r="I94" s="247"/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340</v>
      </c>
      <c r="D95" s="244" t="s">
        <v>19</v>
      </c>
      <c r="E95" s="245"/>
      <c r="F95" s="52"/>
      <c r="G95" s="246">
        <f t="shared" si="4"/>
        <v>4085.8999999999992</v>
      </c>
      <c r="H95" s="240"/>
      <c r="I95" s="247"/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340</v>
      </c>
      <c r="D96" s="244" t="s">
        <v>19</v>
      </c>
      <c r="E96" s="245"/>
      <c r="F96" s="52"/>
      <c r="G96" s="246">
        <f t="shared" si="4"/>
        <v>4085.8999999999992</v>
      </c>
      <c r="H96" s="240"/>
      <c r="I96" s="247"/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340</v>
      </c>
      <c r="D97" s="244" t="s">
        <v>19</v>
      </c>
      <c r="E97" s="245"/>
      <c r="F97" s="52"/>
      <c r="G97" s="246">
        <f t="shared" si="4"/>
        <v>4085.8999999999992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340</v>
      </c>
      <c r="D98" s="244" t="s">
        <v>19</v>
      </c>
      <c r="E98" s="245"/>
      <c r="F98" s="52"/>
      <c r="G98" s="246">
        <f t="shared" si="4"/>
        <v>4085.8999999999992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340</v>
      </c>
      <c r="D99" s="244" t="s">
        <v>19</v>
      </c>
      <c r="E99" s="245"/>
      <c r="F99" s="52"/>
      <c r="G99" s="246">
        <f t="shared" si="4"/>
        <v>4085.8999999999992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340</v>
      </c>
      <c r="D100" s="244" t="s">
        <v>19</v>
      </c>
      <c r="E100" s="245"/>
      <c r="F100" s="52"/>
      <c r="G100" s="246">
        <f t="shared" si="4"/>
        <v>4085.8999999999992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4085.8999999999992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4085.8999999999992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4085.8999999999992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4085.8999999999992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4085.8999999999992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4085.8999999999992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4085.8999999999992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8944.1</v>
      </c>
      <c r="G108" s="35">
        <f>+E108-F108+G8</f>
        <v>4085.8999999999996</v>
      </c>
      <c r="H108" s="35"/>
      <c r="I108" s="36"/>
      <c r="J108" s="7">
        <f>SUM(J9:J107)</f>
        <v>0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C8A5-BC71-4359-9765-D4B378452E5F}">
  <sheetPr codeName="Sheet78"/>
  <dimension ref="A1:Q119"/>
  <sheetViews>
    <sheetView workbookViewId="0">
      <selection activeCell="C9" sqref="C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4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309</v>
      </c>
    </row>
    <row r="8" spans="1:12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</row>
    <row r="9" spans="1:12" ht="17.25" customHeight="1" x14ac:dyDescent="0.25">
      <c r="A9" s="14">
        <v>1</v>
      </c>
      <c r="B9" s="8">
        <v>45567</v>
      </c>
      <c r="C9" s="46" t="s">
        <v>274</v>
      </c>
      <c r="D9" s="214" t="s">
        <v>19</v>
      </c>
      <c r="E9" s="30">
        <v>2005.4</v>
      </c>
      <c r="F9" s="27">
        <v>2005.4</v>
      </c>
      <c r="G9" s="18">
        <f>+G8+E9-F9</f>
        <v>0</v>
      </c>
      <c r="H9" s="28" t="s">
        <v>91</v>
      </c>
      <c r="I9" s="7"/>
      <c r="J9" s="7">
        <v>2</v>
      </c>
    </row>
    <row r="10" spans="1:12" ht="17.25" customHeight="1" x14ac:dyDescent="0.25">
      <c r="A10" s="14">
        <f t="shared" ref="A10:A73" si="0">+A9+1</f>
        <v>2</v>
      </c>
      <c r="B10" s="8"/>
      <c r="C10" s="46" t="s">
        <v>274</v>
      </c>
      <c r="D10" s="214" t="s">
        <v>19</v>
      </c>
      <c r="E10" s="11"/>
      <c r="F10" s="27"/>
      <c r="G10" s="18">
        <f t="shared" ref="G10:G73" si="1">+G9+E10-F10</f>
        <v>0</v>
      </c>
      <c r="H10" s="28" t="s">
        <v>91</v>
      </c>
      <c r="I10" s="7"/>
      <c r="J10" s="7" t="s">
        <v>275</v>
      </c>
    </row>
    <row r="11" spans="1:12" ht="18" customHeight="1" x14ac:dyDescent="0.25">
      <c r="A11" s="14">
        <f t="shared" si="0"/>
        <v>3</v>
      </c>
      <c r="B11" s="8"/>
      <c r="C11" s="46" t="s">
        <v>274</v>
      </c>
      <c r="D11" s="214" t="s">
        <v>19</v>
      </c>
      <c r="E11" s="16"/>
      <c r="F11" s="27"/>
      <c r="G11" s="18">
        <f t="shared" si="1"/>
        <v>0</v>
      </c>
      <c r="H11" s="28" t="s">
        <v>91</v>
      </c>
      <c r="I11" s="7"/>
      <c r="J11" s="140"/>
      <c r="L11">
        <f>641.4+649.8+583.6+594</f>
        <v>2468.7999999999997</v>
      </c>
    </row>
    <row r="12" spans="1:12" ht="18" customHeight="1" x14ac:dyDescent="0.25">
      <c r="A12" s="14">
        <f t="shared" si="0"/>
        <v>4</v>
      </c>
      <c r="B12" s="8"/>
      <c r="C12" s="46" t="s">
        <v>274</v>
      </c>
      <c r="D12" s="214" t="s">
        <v>19</v>
      </c>
      <c r="E12" s="16"/>
      <c r="F12" s="17"/>
      <c r="G12" s="18">
        <f t="shared" si="1"/>
        <v>0</v>
      </c>
      <c r="H12" s="28" t="s">
        <v>91</v>
      </c>
      <c r="I12" s="7" t="s">
        <v>90</v>
      </c>
      <c r="J12" s="140"/>
      <c r="K12" t="s">
        <v>188</v>
      </c>
    </row>
    <row r="13" spans="1:12" ht="18" customHeight="1" x14ac:dyDescent="0.25">
      <c r="A13" s="14">
        <f t="shared" si="0"/>
        <v>5</v>
      </c>
      <c r="B13" s="205"/>
      <c r="C13" s="46" t="s">
        <v>274</v>
      </c>
      <c r="D13" s="214" t="s">
        <v>19</v>
      </c>
      <c r="E13" s="16"/>
      <c r="F13" s="17"/>
      <c r="G13" s="18">
        <f t="shared" si="1"/>
        <v>0</v>
      </c>
      <c r="H13" s="28" t="s">
        <v>91</v>
      </c>
      <c r="I13" s="7" t="s">
        <v>90</v>
      </c>
      <c r="J13" s="140"/>
    </row>
    <row r="14" spans="1:12" ht="18" customHeight="1" x14ac:dyDescent="0.25">
      <c r="A14" s="14">
        <f t="shared" si="0"/>
        <v>6</v>
      </c>
      <c r="B14" s="8"/>
      <c r="C14" s="46" t="s">
        <v>274</v>
      </c>
      <c r="D14" s="214" t="s">
        <v>19</v>
      </c>
      <c r="E14" s="16"/>
      <c r="F14" s="27"/>
      <c r="G14" s="18">
        <f t="shared" si="1"/>
        <v>0</v>
      </c>
      <c r="H14" s="28" t="s">
        <v>91</v>
      </c>
      <c r="I14" s="7"/>
      <c r="J14" s="7"/>
    </row>
    <row r="15" spans="1:12" ht="18" customHeight="1" x14ac:dyDescent="0.25">
      <c r="A15" s="14">
        <f t="shared" si="0"/>
        <v>7</v>
      </c>
      <c r="B15" s="8"/>
      <c r="C15" s="46" t="s">
        <v>274</v>
      </c>
      <c r="D15" s="214" t="s">
        <v>19</v>
      </c>
      <c r="E15" s="16"/>
      <c r="F15" s="27"/>
      <c r="G15" s="18">
        <f t="shared" si="1"/>
        <v>0</v>
      </c>
      <c r="H15" s="28" t="s">
        <v>91</v>
      </c>
      <c r="I15" s="7"/>
      <c r="J15" s="140"/>
    </row>
    <row r="16" spans="1:12" ht="18" customHeight="1" x14ac:dyDescent="0.25">
      <c r="A16" s="14">
        <f t="shared" si="0"/>
        <v>8</v>
      </c>
      <c r="B16" s="8"/>
      <c r="C16" s="46" t="s">
        <v>274</v>
      </c>
      <c r="D16" s="214" t="s">
        <v>19</v>
      </c>
      <c r="E16" s="16"/>
      <c r="F16" s="27"/>
      <c r="G16" s="18">
        <f t="shared" si="1"/>
        <v>0</v>
      </c>
      <c r="H16" s="28" t="s">
        <v>91</v>
      </c>
      <c r="I16" s="7"/>
      <c r="J16" s="7"/>
    </row>
    <row r="17" spans="1:16" ht="18" customHeight="1" x14ac:dyDescent="0.25">
      <c r="A17" s="14">
        <f t="shared" si="0"/>
        <v>9</v>
      </c>
      <c r="B17" s="8"/>
      <c r="C17" s="46" t="s">
        <v>274</v>
      </c>
      <c r="D17" s="214" t="s">
        <v>19</v>
      </c>
      <c r="E17" s="30"/>
      <c r="F17" s="27"/>
      <c r="G17" s="18">
        <f t="shared" si="1"/>
        <v>0</v>
      </c>
      <c r="H17" s="28" t="s">
        <v>91</v>
      </c>
      <c r="I17" s="7"/>
      <c r="J17" s="7"/>
    </row>
    <row r="18" spans="1:16" s="230" customFormat="1" ht="18" customHeight="1" x14ac:dyDescent="0.25">
      <c r="A18" s="223">
        <f>+A17+1</f>
        <v>10</v>
      </c>
      <c r="B18" s="224"/>
      <c r="C18" s="46" t="s">
        <v>274</v>
      </c>
      <c r="D18" s="226" t="s">
        <v>19</v>
      </c>
      <c r="E18" s="227"/>
      <c r="F18" s="228"/>
      <c r="G18" s="229">
        <f t="shared" si="1"/>
        <v>0</v>
      </c>
      <c r="H18" s="28" t="s">
        <v>91</v>
      </c>
      <c r="I18" s="7"/>
      <c r="J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274</v>
      </c>
      <c r="D19" s="226" t="s">
        <v>19</v>
      </c>
      <c r="E19" s="231"/>
      <c r="F19" s="228"/>
      <c r="G19" s="229">
        <f t="shared" si="1"/>
        <v>0</v>
      </c>
      <c r="H19" s="28" t="s">
        <v>91</v>
      </c>
      <c r="I19" s="7"/>
      <c r="J19" s="348"/>
    </row>
    <row r="20" spans="1:16" ht="18" customHeight="1" x14ac:dyDescent="0.25">
      <c r="A20" s="14">
        <f t="shared" si="0"/>
        <v>12</v>
      </c>
      <c r="B20" s="8"/>
      <c r="C20" s="46" t="s">
        <v>274</v>
      </c>
      <c r="D20" s="214" t="s">
        <v>19</v>
      </c>
      <c r="E20" s="32"/>
      <c r="F20" s="17"/>
      <c r="G20" s="18">
        <f t="shared" si="1"/>
        <v>0</v>
      </c>
      <c r="H20" s="28" t="s">
        <v>91</v>
      </c>
      <c r="I20" s="7"/>
      <c r="J20" s="7"/>
      <c r="P20">
        <f>655.4+618+648+651.2+620+645+649+674+641+652+617+635+623+619</f>
        <v>8947.6</v>
      </c>
    </row>
    <row r="21" spans="1:16" ht="18" customHeight="1" x14ac:dyDescent="0.25">
      <c r="A21" s="14">
        <f t="shared" si="0"/>
        <v>13</v>
      </c>
      <c r="B21" s="8"/>
      <c r="C21" s="46" t="s">
        <v>274</v>
      </c>
      <c r="D21" s="214" t="s">
        <v>19</v>
      </c>
      <c r="E21" s="32"/>
      <c r="F21" s="27"/>
      <c r="G21" s="18">
        <f t="shared" si="1"/>
        <v>0</v>
      </c>
      <c r="H21" s="28" t="s">
        <v>91</v>
      </c>
      <c r="I21" s="7"/>
      <c r="J21" s="7"/>
    </row>
    <row r="22" spans="1:16" ht="18" customHeight="1" x14ac:dyDescent="0.25">
      <c r="A22" s="14">
        <f t="shared" si="0"/>
        <v>14</v>
      </c>
      <c r="B22" s="232"/>
      <c r="C22" s="46" t="s">
        <v>274</v>
      </c>
      <c r="D22" s="234" t="s">
        <v>19</v>
      </c>
      <c r="E22" s="235"/>
      <c r="F22" s="172"/>
      <c r="G22" s="18">
        <f t="shared" si="1"/>
        <v>0</v>
      </c>
      <c r="H22" s="28" t="s">
        <v>129</v>
      </c>
      <c r="I22" s="7"/>
      <c r="J22" s="7"/>
    </row>
    <row r="23" spans="1:16" ht="18" customHeight="1" x14ac:dyDescent="0.25">
      <c r="A23" s="14">
        <f t="shared" si="0"/>
        <v>15</v>
      </c>
      <c r="B23" s="8"/>
      <c r="C23" s="46" t="s">
        <v>274</v>
      </c>
      <c r="D23" s="214" t="s">
        <v>19</v>
      </c>
      <c r="E23" s="32"/>
      <c r="F23" s="17"/>
      <c r="G23" s="18">
        <f t="shared" si="1"/>
        <v>0</v>
      </c>
      <c r="H23" s="28" t="s">
        <v>129</v>
      </c>
      <c r="I23" s="7"/>
      <c r="J23" s="7"/>
    </row>
    <row r="24" spans="1:16" ht="18" customHeight="1" x14ac:dyDescent="0.25">
      <c r="A24" s="14">
        <f t="shared" si="0"/>
        <v>16</v>
      </c>
      <c r="B24" s="8"/>
      <c r="C24" s="46" t="s">
        <v>274</v>
      </c>
      <c r="D24" s="214" t="s">
        <v>19</v>
      </c>
      <c r="E24" s="32"/>
      <c r="F24" s="17"/>
      <c r="G24" s="18">
        <f t="shared" si="1"/>
        <v>0</v>
      </c>
      <c r="H24" s="28" t="s">
        <v>91</v>
      </c>
      <c r="I24" s="7"/>
      <c r="J24" s="7"/>
    </row>
    <row r="25" spans="1:16" ht="18" customHeight="1" x14ac:dyDescent="0.25">
      <c r="A25" s="14">
        <f t="shared" si="0"/>
        <v>17</v>
      </c>
      <c r="B25" s="8"/>
      <c r="C25" s="46" t="s">
        <v>274</v>
      </c>
      <c r="D25" s="214" t="s">
        <v>19</v>
      </c>
      <c r="E25" s="32"/>
      <c r="F25" s="17"/>
      <c r="G25" s="18">
        <f t="shared" si="1"/>
        <v>0</v>
      </c>
      <c r="H25" s="28" t="s">
        <v>91</v>
      </c>
      <c r="I25" s="7"/>
      <c r="J25" s="7"/>
    </row>
    <row r="26" spans="1:16" ht="18" customHeight="1" x14ac:dyDescent="0.25">
      <c r="A26" s="14">
        <f t="shared" si="0"/>
        <v>18</v>
      </c>
      <c r="B26" s="8"/>
      <c r="C26" s="46" t="s">
        <v>274</v>
      </c>
      <c r="D26" s="214" t="s">
        <v>19</v>
      </c>
      <c r="E26" s="32"/>
      <c r="F26" s="17"/>
      <c r="G26" s="18">
        <f t="shared" si="1"/>
        <v>0</v>
      </c>
      <c r="H26" s="28" t="s">
        <v>91</v>
      </c>
      <c r="I26" s="7"/>
      <c r="J26" s="7"/>
    </row>
    <row r="27" spans="1:16" ht="18" customHeight="1" x14ac:dyDescent="0.25">
      <c r="A27" s="14">
        <f>+A26+1</f>
        <v>19</v>
      </c>
      <c r="B27" s="8"/>
      <c r="C27" s="46" t="s">
        <v>274</v>
      </c>
      <c r="D27" s="214" t="s">
        <v>19</v>
      </c>
      <c r="E27" s="32"/>
      <c r="F27" s="125"/>
      <c r="G27" s="18">
        <f t="shared" si="1"/>
        <v>0</v>
      </c>
      <c r="H27" s="28" t="s">
        <v>91</v>
      </c>
      <c r="I27" s="7"/>
      <c r="J27" s="7"/>
    </row>
    <row r="28" spans="1:16" ht="18" customHeight="1" x14ac:dyDescent="0.25">
      <c r="A28" s="14">
        <f t="shared" si="0"/>
        <v>20</v>
      </c>
      <c r="B28" s="8"/>
      <c r="C28" s="46" t="s">
        <v>274</v>
      </c>
      <c r="D28" s="214" t="s">
        <v>19</v>
      </c>
      <c r="E28" s="129"/>
      <c r="F28" s="17"/>
      <c r="G28" s="18">
        <f t="shared" si="1"/>
        <v>0</v>
      </c>
      <c r="H28" s="28" t="s">
        <v>91</v>
      </c>
      <c r="I28" s="7"/>
      <c r="J28" s="7"/>
    </row>
    <row r="29" spans="1:16" ht="18" customHeight="1" x14ac:dyDescent="0.25">
      <c r="A29" s="14">
        <f t="shared" si="0"/>
        <v>21</v>
      </c>
      <c r="B29" s="8"/>
      <c r="C29" s="46" t="s">
        <v>274</v>
      </c>
      <c r="D29" s="214" t="s">
        <v>19</v>
      </c>
      <c r="E29" s="32"/>
      <c r="F29" s="172"/>
      <c r="G29" s="18">
        <f t="shared" si="1"/>
        <v>0</v>
      </c>
      <c r="H29" s="28" t="s">
        <v>91</v>
      </c>
      <c r="I29" s="7"/>
      <c r="J29" s="7"/>
    </row>
    <row r="30" spans="1:16" ht="18" customHeight="1" x14ac:dyDescent="0.25">
      <c r="A30" s="14">
        <f t="shared" si="0"/>
        <v>22</v>
      </c>
      <c r="B30" s="8"/>
      <c r="C30" s="46" t="s">
        <v>274</v>
      </c>
      <c r="D30" s="214" t="s">
        <v>19</v>
      </c>
      <c r="E30" s="32"/>
      <c r="F30" s="125"/>
      <c r="G30" s="18">
        <f t="shared" si="1"/>
        <v>0</v>
      </c>
      <c r="H30" s="28" t="s">
        <v>91</v>
      </c>
      <c r="I30" s="7"/>
      <c r="J30" s="7"/>
    </row>
    <row r="31" spans="1:16" ht="18" customHeight="1" x14ac:dyDescent="0.25">
      <c r="A31" s="14">
        <f t="shared" si="0"/>
        <v>23</v>
      </c>
      <c r="B31" s="8"/>
      <c r="C31" s="46" t="s">
        <v>274</v>
      </c>
      <c r="D31" s="214" t="s">
        <v>19</v>
      </c>
      <c r="E31" s="32"/>
      <c r="F31" s="152"/>
      <c r="G31" s="18">
        <f t="shared" si="1"/>
        <v>0</v>
      </c>
      <c r="H31" s="28" t="s">
        <v>91</v>
      </c>
      <c r="I31" s="7"/>
      <c r="J31" s="7"/>
    </row>
    <row r="32" spans="1:16" ht="17.25" customHeight="1" x14ac:dyDescent="0.25">
      <c r="A32" s="14">
        <f t="shared" si="0"/>
        <v>24</v>
      </c>
      <c r="B32" s="8"/>
      <c r="C32" s="46" t="s">
        <v>274</v>
      </c>
      <c r="D32" s="214" t="s">
        <v>19</v>
      </c>
      <c r="E32" s="13"/>
      <c r="F32" s="17"/>
      <c r="G32" s="18">
        <f t="shared" si="1"/>
        <v>0</v>
      </c>
      <c r="H32" s="28" t="s">
        <v>91</v>
      </c>
      <c r="I32" s="7"/>
      <c r="J32" s="7"/>
    </row>
    <row r="33" spans="1:16" ht="17.25" customHeight="1" x14ac:dyDescent="0.25">
      <c r="A33" s="14">
        <f t="shared" si="0"/>
        <v>25</v>
      </c>
      <c r="B33" s="44"/>
      <c r="C33" s="46" t="s">
        <v>274</v>
      </c>
      <c r="D33" s="214" t="s">
        <v>19</v>
      </c>
      <c r="E33" s="13"/>
      <c r="F33" s="17"/>
      <c r="G33" s="18">
        <f t="shared" si="1"/>
        <v>0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274</v>
      </c>
      <c r="D34" s="214" t="s">
        <v>19</v>
      </c>
      <c r="E34" s="32"/>
      <c r="F34" s="40"/>
      <c r="G34" s="18">
        <f t="shared" si="1"/>
        <v>0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274</v>
      </c>
      <c r="D35" s="214" t="s">
        <v>19</v>
      </c>
      <c r="E35" s="32"/>
      <c r="F35" s="40"/>
      <c r="G35" s="18">
        <f t="shared" si="1"/>
        <v>0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274</v>
      </c>
      <c r="D36" s="214" t="s">
        <v>19</v>
      </c>
      <c r="E36" s="32"/>
      <c r="F36" s="40"/>
      <c r="G36" s="18">
        <f t="shared" si="1"/>
        <v>0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274</v>
      </c>
      <c r="D37" s="214" t="s">
        <v>19</v>
      </c>
      <c r="E37" s="32"/>
      <c r="F37" s="17"/>
      <c r="G37" s="18">
        <f t="shared" si="1"/>
        <v>0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274</v>
      </c>
      <c r="D38" s="214" t="s">
        <v>19</v>
      </c>
      <c r="E38" s="32"/>
      <c r="F38" s="17"/>
      <c r="G38" s="18">
        <f t="shared" si="1"/>
        <v>0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274</v>
      </c>
      <c r="D39" s="214" t="s">
        <v>19</v>
      </c>
      <c r="E39" s="32"/>
      <c r="F39" s="17"/>
      <c r="G39" s="18">
        <f t="shared" si="1"/>
        <v>0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274</v>
      </c>
      <c r="D40" s="214" t="s">
        <v>19</v>
      </c>
      <c r="E40" s="32"/>
      <c r="F40" s="17"/>
      <c r="G40" s="18">
        <f t="shared" si="1"/>
        <v>0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274</v>
      </c>
      <c r="D41" s="214" t="s">
        <v>19</v>
      </c>
      <c r="E41" s="32"/>
      <c r="F41" s="172"/>
      <c r="G41" s="18">
        <f t="shared" si="1"/>
        <v>0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274</v>
      </c>
      <c r="D42" s="214" t="s">
        <v>19</v>
      </c>
      <c r="E42" s="32"/>
      <c r="F42" s="17"/>
      <c r="G42" s="18">
        <f t="shared" si="1"/>
        <v>0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274</v>
      </c>
      <c r="D43" s="214" t="s">
        <v>19</v>
      </c>
      <c r="E43" s="32"/>
      <c r="F43" s="17"/>
      <c r="G43" s="18">
        <f t="shared" si="1"/>
        <v>0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274</v>
      </c>
      <c r="D44" s="214" t="s">
        <v>19</v>
      </c>
      <c r="E44" s="32"/>
      <c r="F44" s="17"/>
      <c r="G44" s="18">
        <f t="shared" si="1"/>
        <v>0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274</v>
      </c>
      <c r="D45" s="214" t="s">
        <v>19</v>
      </c>
      <c r="E45" s="32"/>
      <c r="F45" s="17"/>
      <c r="G45" s="18">
        <f t="shared" si="1"/>
        <v>0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274</v>
      </c>
      <c r="D46" s="214" t="s">
        <v>19</v>
      </c>
      <c r="E46" s="32"/>
      <c r="F46" s="17"/>
      <c r="G46" s="18">
        <f t="shared" si="1"/>
        <v>0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274</v>
      </c>
      <c r="D47" s="214" t="s">
        <v>19</v>
      </c>
      <c r="E47" s="32"/>
      <c r="F47" s="17"/>
      <c r="G47" s="18">
        <f t="shared" si="1"/>
        <v>0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274</v>
      </c>
      <c r="D48" s="214" t="s">
        <v>19</v>
      </c>
      <c r="E48" s="32"/>
      <c r="F48" s="17"/>
      <c r="G48" s="18">
        <f t="shared" si="1"/>
        <v>0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274</v>
      </c>
      <c r="D49" s="214" t="s">
        <v>19</v>
      </c>
      <c r="E49" s="32"/>
      <c r="F49" s="17"/>
      <c r="G49" s="18">
        <f t="shared" si="1"/>
        <v>0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274</v>
      </c>
      <c r="D50" s="237" t="s">
        <v>19</v>
      </c>
      <c r="E50" s="175"/>
      <c r="F50" s="172"/>
      <c r="G50" s="238">
        <f t="shared" si="1"/>
        <v>0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274</v>
      </c>
      <c r="D51" s="214" t="s">
        <v>19</v>
      </c>
      <c r="E51" s="32"/>
      <c r="F51" s="17"/>
      <c r="G51" s="18">
        <f t="shared" si="1"/>
        <v>0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274</v>
      </c>
      <c r="D52" s="214" t="s">
        <v>19</v>
      </c>
      <c r="E52" s="32"/>
      <c r="F52" s="17"/>
      <c r="G52" s="18">
        <f t="shared" si="1"/>
        <v>0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274</v>
      </c>
      <c r="D53" s="214" t="s">
        <v>19</v>
      </c>
      <c r="E53" s="32"/>
      <c r="F53" s="17"/>
      <c r="G53" s="18">
        <f t="shared" si="1"/>
        <v>0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274</v>
      </c>
      <c r="D54" s="214" t="s">
        <v>19</v>
      </c>
      <c r="E54" s="32"/>
      <c r="F54" s="17"/>
      <c r="G54" s="18">
        <f t="shared" si="1"/>
        <v>0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274</v>
      </c>
      <c r="D55" s="214" t="s">
        <v>19</v>
      </c>
      <c r="E55" s="32"/>
      <c r="F55" s="17"/>
      <c r="G55" s="18">
        <f t="shared" si="1"/>
        <v>0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274</v>
      </c>
      <c r="D56" s="214" t="s">
        <v>19</v>
      </c>
      <c r="E56" s="32"/>
      <c r="F56" s="17"/>
      <c r="G56" s="18">
        <f t="shared" si="1"/>
        <v>0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274</v>
      </c>
      <c r="D57" s="214" t="s">
        <v>19</v>
      </c>
      <c r="E57" s="32"/>
      <c r="F57" s="17"/>
      <c r="G57" s="18">
        <f t="shared" si="1"/>
        <v>0</v>
      </c>
      <c r="H57" s="240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274</v>
      </c>
      <c r="D58" s="214" t="s">
        <v>19</v>
      </c>
      <c r="E58" s="32"/>
      <c r="F58" s="17"/>
      <c r="G58" s="18">
        <f t="shared" si="1"/>
        <v>0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274</v>
      </c>
      <c r="D59" s="214" t="s">
        <v>19</v>
      </c>
      <c r="E59" s="32"/>
      <c r="F59" s="17"/>
      <c r="G59" s="18">
        <f t="shared" si="1"/>
        <v>0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274</v>
      </c>
      <c r="D60" s="214" t="s">
        <v>19</v>
      </c>
      <c r="E60" s="32"/>
      <c r="F60" s="17"/>
      <c r="G60" s="18">
        <f t="shared" si="1"/>
        <v>0</v>
      </c>
      <c r="H60" s="240"/>
      <c r="I60" s="7"/>
      <c r="J60" s="7"/>
    </row>
    <row r="61" spans="1:16" ht="18" customHeight="1" x14ac:dyDescent="0.25">
      <c r="A61" s="14">
        <f t="shared" si="0"/>
        <v>53</v>
      </c>
      <c r="B61" s="8"/>
      <c r="C61" s="46" t="s">
        <v>274</v>
      </c>
      <c r="D61" s="214" t="s">
        <v>19</v>
      </c>
      <c r="E61" s="32"/>
      <c r="F61" s="17"/>
      <c r="G61" s="18">
        <f t="shared" si="1"/>
        <v>0</v>
      </c>
      <c r="H61" s="240"/>
      <c r="I61" s="7"/>
      <c r="J61" s="7"/>
    </row>
    <row r="62" spans="1:16" ht="18" customHeight="1" x14ac:dyDescent="0.25">
      <c r="A62" s="14">
        <f t="shared" si="0"/>
        <v>54</v>
      </c>
      <c r="B62" s="8"/>
      <c r="C62" s="46" t="s">
        <v>274</v>
      </c>
      <c r="D62" s="214" t="s">
        <v>19</v>
      </c>
      <c r="E62" s="32"/>
      <c r="F62" s="17"/>
      <c r="G62" s="18">
        <f t="shared" si="1"/>
        <v>0</v>
      </c>
      <c r="H62" s="240"/>
      <c r="I62" s="7"/>
      <c r="J62" s="7"/>
    </row>
    <row r="63" spans="1:16" ht="18" customHeight="1" x14ac:dyDescent="0.25">
      <c r="A63" s="14">
        <f t="shared" si="0"/>
        <v>55</v>
      </c>
      <c r="B63" s="8"/>
      <c r="C63" s="46" t="s">
        <v>274</v>
      </c>
      <c r="D63" s="214" t="s">
        <v>19</v>
      </c>
      <c r="E63" s="32"/>
      <c r="F63" s="17"/>
      <c r="G63" s="18">
        <f t="shared" si="1"/>
        <v>0</v>
      </c>
      <c r="H63" s="240"/>
      <c r="I63" s="7"/>
      <c r="J63" s="7"/>
    </row>
    <row r="64" spans="1:16" ht="18" customHeight="1" x14ac:dyDescent="0.25">
      <c r="A64" s="14">
        <f t="shared" si="0"/>
        <v>56</v>
      </c>
      <c r="B64" s="8"/>
      <c r="C64" s="46" t="s">
        <v>274</v>
      </c>
      <c r="D64" s="214" t="s">
        <v>19</v>
      </c>
      <c r="E64" s="32"/>
      <c r="F64" s="17"/>
      <c r="G64" s="18">
        <f t="shared" si="1"/>
        <v>0</v>
      </c>
      <c r="H64" s="240"/>
      <c r="I64" s="7"/>
      <c r="J64" s="7"/>
    </row>
    <row r="65" spans="1:10" ht="18" customHeight="1" x14ac:dyDescent="0.25">
      <c r="A65" s="14">
        <f t="shared" si="0"/>
        <v>57</v>
      </c>
      <c r="B65" s="8"/>
      <c r="C65" s="46" t="s">
        <v>274</v>
      </c>
      <c r="D65" s="214" t="s">
        <v>19</v>
      </c>
      <c r="E65" s="32"/>
      <c r="F65" s="17"/>
      <c r="G65" s="18">
        <f t="shared" si="1"/>
        <v>0</v>
      </c>
      <c r="H65" s="240"/>
      <c r="I65" s="7"/>
      <c r="J65" s="140"/>
    </row>
    <row r="66" spans="1:10" ht="18" customHeight="1" x14ac:dyDescent="0.25">
      <c r="A66" s="14">
        <f t="shared" si="0"/>
        <v>58</v>
      </c>
      <c r="B66" s="8"/>
      <c r="C66" s="46" t="s">
        <v>274</v>
      </c>
      <c r="D66" s="214" t="s">
        <v>19</v>
      </c>
      <c r="E66" s="32"/>
      <c r="F66" s="17"/>
      <c r="G66" s="18">
        <f t="shared" si="1"/>
        <v>0</v>
      </c>
      <c r="H66" s="240"/>
      <c r="I66" s="7"/>
      <c r="J66" s="7"/>
    </row>
    <row r="67" spans="1:10" ht="18" customHeight="1" x14ac:dyDescent="0.25">
      <c r="A67" s="14">
        <f t="shared" si="0"/>
        <v>59</v>
      </c>
      <c r="B67" s="8"/>
      <c r="C67" s="46" t="s">
        <v>274</v>
      </c>
      <c r="D67" s="214" t="s">
        <v>19</v>
      </c>
      <c r="E67" s="32"/>
      <c r="F67" s="17"/>
      <c r="G67" s="18">
        <f>+G66+E67-F67</f>
        <v>0</v>
      </c>
      <c r="H67" s="240"/>
      <c r="I67" s="7"/>
      <c r="J67" s="7"/>
    </row>
    <row r="68" spans="1:10" ht="18" customHeight="1" x14ac:dyDescent="0.25">
      <c r="A68" s="14">
        <f t="shared" si="0"/>
        <v>60</v>
      </c>
      <c r="B68" s="8"/>
      <c r="C68" s="46" t="s">
        <v>274</v>
      </c>
      <c r="D68" s="214" t="s">
        <v>19</v>
      </c>
      <c r="E68" s="32"/>
      <c r="F68" s="17"/>
      <c r="G68" s="18">
        <f>+G67+E68-F68</f>
        <v>0</v>
      </c>
      <c r="H68" s="240"/>
      <c r="I68" s="7"/>
      <c r="J68" s="7"/>
    </row>
    <row r="69" spans="1:10" ht="18" customHeight="1" x14ac:dyDescent="0.25">
      <c r="A69" s="14">
        <f t="shared" si="0"/>
        <v>61</v>
      </c>
      <c r="B69" s="8"/>
      <c r="C69" s="46" t="s">
        <v>274</v>
      </c>
      <c r="D69" s="214" t="s">
        <v>19</v>
      </c>
      <c r="E69" s="32"/>
      <c r="F69" s="17"/>
      <c r="G69" s="18">
        <f>+G68+E69-F69</f>
        <v>0</v>
      </c>
      <c r="H69" s="240"/>
      <c r="I69" s="7"/>
      <c r="J69" s="7"/>
    </row>
    <row r="70" spans="1:10" ht="18" customHeight="1" x14ac:dyDescent="0.25">
      <c r="A70" s="14">
        <f t="shared" si="0"/>
        <v>62</v>
      </c>
      <c r="B70" s="8"/>
      <c r="C70" s="46" t="s">
        <v>274</v>
      </c>
      <c r="D70" s="214" t="s">
        <v>19</v>
      </c>
      <c r="E70" s="32"/>
      <c r="F70" s="17"/>
      <c r="G70" s="18">
        <f t="shared" si="1"/>
        <v>0</v>
      </c>
      <c r="H70" s="240"/>
      <c r="I70" s="7"/>
      <c r="J70" s="7"/>
    </row>
    <row r="71" spans="1:10" ht="18" customHeight="1" x14ac:dyDescent="0.25">
      <c r="A71" s="14">
        <f t="shared" si="0"/>
        <v>63</v>
      </c>
      <c r="B71" s="8"/>
      <c r="C71" s="46" t="s">
        <v>274</v>
      </c>
      <c r="D71" s="214" t="s">
        <v>19</v>
      </c>
      <c r="E71" s="32"/>
      <c r="F71" s="17"/>
      <c r="G71" s="18">
        <f t="shared" si="1"/>
        <v>0</v>
      </c>
      <c r="H71" s="240"/>
      <c r="I71" s="7"/>
      <c r="J71" s="7"/>
    </row>
    <row r="72" spans="1:10" ht="18" customHeight="1" x14ac:dyDescent="0.25">
      <c r="A72" s="14">
        <f>+A71+1</f>
        <v>64</v>
      </c>
      <c r="B72" s="8"/>
      <c r="C72" s="46" t="s">
        <v>274</v>
      </c>
      <c r="D72" s="214" t="s">
        <v>19</v>
      </c>
      <c r="E72" s="32"/>
      <c r="F72" s="17"/>
      <c r="G72" s="18">
        <f t="shared" si="1"/>
        <v>0</v>
      </c>
      <c r="H72" s="240"/>
      <c r="I72" s="7"/>
      <c r="J72" s="7"/>
    </row>
    <row r="73" spans="1:10" ht="18" customHeight="1" x14ac:dyDescent="0.25">
      <c r="A73" s="14">
        <f t="shared" si="0"/>
        <v>65</v>
      </c>
      <c r="B73" s="8"/>
      <c r="C73" s="46" t="s">
        <v>274</v>
      </c>
      <c r="D73" s="214" t="s">
        <v>19</v>
      </c>
      <c r="E73" s="32"/>
      <c r="F73" s="17"/>
      <c r="G73" s="18">
        <f t="shared" si="1"/>
        <v>0</v>
      </c>
      <c r="H73" s="240"/>
      <c r="I73" s="7"/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274</v>
      </c>
      <c r="D74" s="214" t="s">
        <v>19</v>
      </c>
      <c r="E74" s="32"/>
      <c r="F74" s="17"/>
      <c r="G74" s="18">
        <f t="shared" ref="G74:G91" si="3">+G73+E74-F74</f>
        <v>0</v>
      </c>
      <c r="H74" s="240"/>
      <c r="I74" s="7"/>
      <c r="J74" s="7"/>
    </row>
    <row r="75" spans="1:10" ht="18" customHeight="1" x14ac:dyDescent="0.25">
      <c r="A75" s="14">
        <f t="shared" si="2"/>
        <v>67</v>
      </c>
      <c r="B75" s="8"/>
      <c r="C75" s="46" t="s">
        <v>274</v>
      </c>
      <c r="D75" s="214" t="s">
        <v>19</v>
      </c>
      <c r="E75" s="32"/>
      <c r="F75" s="17"/>
      <c r="G75" s="18">
        <f t="shared" si="3"/>
        <v>0</v>
      </c>
      <c r="H75" s="240"/>
      <c r="I75" s="7"/>
      <c r="J75" s="7"/>
    </row>
    <row r="76" spans="1:10" ht="18" customHeight="1" x14ac:dyDescent="0.25">
      <c r="A76" s="14">
        <f t="shared" si="2"/>
        <v>68</v>
      </c>
      <c r="B76" s="8"/>
      <c r="C76" s="46" t="s">
        <v>274</v>
      </c>
      <c r="D76" s="214" t="s">
        <v>19</v>
      </c>
      <c r="E76" s="32"/>
      <c r="F76" s="17"/>
      <c r="G76" s="18">
        <f t="shared" si="3"/>
        <v>0</v>
      </c>
      <c r="H76" s="240"/>
      <c r="I76" s="7"/>
      <c r="J76" s="7"/>
    </row>
    <row r="77" spans="1:10" ht="18" customHeight="1" x14ac:dyDescent="0.25">
      <c r="A77" s="14">
        <f t="shared" si="2"/>
        <v>69</v>
      </c>
      <c r="B77" s="8"/>
      <c r="C77" s="46" t="s">
        <v>274</v>
      </c>
      <c r="D77" s="214" t="s">
        <v>19</v>
      </c>
      <c r="E77" s="32"/>
      <c r="F77" s="17"/>
      <c r="G77" s="18">
        <f t="shared" si="3"/>
        <v>0</v>
      </c>
      <c r="H77" s="240"/>
      <c r="I77" s="7"/>
      <c r="J77" s="7"/>
    </row>
    <row r="78" spans="1:10" ht="18" customHeight="1" x14ac:dyDescent="0.25">
      <c r="A78" s="14">
        <f t="shared" si="2"/>
        <v>70</v>
      </c>
      <c r="B78" s="8"/>
      <c r="C78" s="46" t="s">
        <v>274</v>
      </c>
      <c r="D78" s="214" t="s">
        <v>19</v>
      </c>
      <c r="E78" s="32"/>
      <c r="F78" s="17"/>
      <c r="G78" s="18">
        <f t="shared" si="3"/>
        <v>0</v>
      </c>
      <c r="H78" s="240"/>
      <c r="I78" s="7"/>
      <c r="J78" s="7"/>
    </row>
    <row r="79" spans="1:10" ht="18" customHeight="1" x14ac:dyDescent="0.25">
      <c r="A79" s="14">
        <f t="shared" si="2"/>
        <v>71</v>
      </c>
      <c r="B79" s="8"/>
      <c r="C79" s="46" t="s">
        <v>274</v>
      </c>
      <c r="D79" s="214" t="s">
        <v>19</v>
      </c>
      <c r="E79" s="32"/>
      <c r="F79" s="17"/>
      <c r="G79" s="18">
        <f t="shared" si="3"/>
        <v>0</v>
      </c>
      <c r="H79" s="240"/>
      <c r="I79" s="7"/>
      <c r="J79" s="7"/>
    </row>
    <row r="80" spans="1:10" ht="18" customHeight="1" x14ac:dyDescent="0.25">
      <c r="A80" s="14">
        <f t="shared" si="2"/>
        <v>72</v>
      </c>
      <c r="B80" s="8"/>
      <c r="C80" s="46" t="s">
        <v>274</v>
      </c>
      <c r="D80" s="214" t="s">
        <v>19</v>
      </c>
      <c r="E80" s="32"/>
      <c r="F80" s="17"/>
      <c r="G80" s="18">
        <f t="shared" si="3"/>
        <v>0</v>
      </c>
      <c r="H80" s="240"/>
      <c r="I80" s="7"/>
      <c r="J80" s="7"/>
    </row>
    <row r="81" spans="1:17" ht="18" customHeight="1" x14ac:dyDescent="0.25">
      <c r="A81" s="14">
        <f t="shared" si="2"/>
        <v>73</v>
      </c>
      <c r="B81" s="8"/>
      <c r="C81" s="46" t="s">
        <v>274</v>
      </c>
      <c r="D81" s="214" t="s">
        <v>19</v>
      </c>
      <c r="E81" s="32"/>
      <c r="F81" s="17"/>
      <c r="G81" s="18">
        <f t="shared" si="3"/>
        <v>0</v>
      </c>
      <c r="H81" s="240"/>
      <c r="I81" s="7"/>
      <c r="J81" s="7"/>
    </row>
    <row r="82" spans="1:17" ht="18" customHeight="1" x14ac:dyDescent="0.25">
      <c r="A82" s="14">
        <f t="shared" si="2"/>
        <v>74</v>
      </c>
      <c r="B82" s="8"/>
      <c r="C82" s="46" t="s">
        <v>274</v>
      </c>
      <c r="D82" s="214" t="s">
        <v>19</v>
      </c>
      <c r="E82" s="32"/>
      <c r="F82" s="17"/>
      <c r="G82" s="18">
        <f t="shared" si="3"/>
        <v>0</v>
      </c>
      <c r="H82" s="240"/>
      <c r="I82" s="7"/>
      <c r="J82" s="7"/>
    </row>
    <row r="83" spans="1:17" ht="18" customHeight="1" x14ac:dyDescent="0.25">
      <c r="A83" s="14">
        <f t="shared" si="2"/>
        <v>75</v>
      </c>
      <c r="B83" s="8"/>
      <c r="C83" s="46" t="s">
        <v>274</v>
      </c>
      <c r="D83" s="214" t="s">
        <v>19</v>
      </c>
      <c r="E83" s="32"/>
      <c r="F83" s="27"/>
      <c r="G83" s="18">
        <f t="shared" si="3"/>
        <v>0</v>
      </c>
      <c r="H83" s="240"/>
      <c r="I83" s="7"/>
      <c r="J83" s="7"/>
    </row>
    <row r="84" spans="1:17" ht="18" customHeight="1" x14ac:dyDescent="0.25">
      <c r="A84" s="14">
        <f t="shared" si="2"/>
        <v>76</v>
      </c>
      <c r="B84" s="8"/>
      <c r="C84" s="46" t="s">
        <v>274</v>
      </c>
      <c r="D84" s="214" t="s">
        <v>19</v>
      </c>
      <c r="E84" s="32"/>
      <c r="F84" s="17"/>
      <c r="G84" s="18">
        <f t="shared" si="3"/>
        <v>0</v>
      </c>
      <c r="H84" s="240"/>
      <c r="I84" s="7"/>
      <c r="J84" s="7"/>
    </row>
    <row r="85" spans="1:17" ht="18" customHeight="1" x14ac:dyDescent="0.25">
      <c r="A85" s="14">
        <f t="shared" si="2"/>
        <v>77</v>
      </c>
      <c r="B85" s="8"/>
      <c r="C85" s="46" t="s">
        <v>274</v>
      </c>
      <c r="D85" s="214" t="s">
        <v>19</v>
      </c>
      <c r="E85" s="32"/>
      <c r="F85" s="17"/>
      <c r="G85" s="18">
        <f t="shared" si="3"/>
        <v>0</v>
      </c>
      <c r="H85" s="240"/>
      <c r="I85" s="7"/>
      <c r="J85" s="7"/>
    </row>
    <row r="86" spans="1:17" ht="18" customHeight="1" x14ac:dyDescent="0.25">
      <c r="A86" s="14">
        <f t="shared" si="2"/>
        <v>78</v>
      </c>
      <c r="B86" s="8"/>
      <c r="C86" s="46" t="s">
        <v>274</v>
      </c>
      <c r="D86" s="214" t="s">
        <v>19</v>
      </c>
      <c r="E86" s="32"/>
      <c r="F86" s="17"/>
      <c r="G86" s="18">
        <f t="shared" si="3"/>
        <v>0</v>
      </c>
      <c r="H86" s="240"/>
      <c r="I86" s="7"/>
      <c r="J86" s="7"/>
    </row>
    <row r="87" spans="1:17" ht="18" customHeight="1" x14ac:dyDescent="0.25">
      <c r="A87" s="14">
        <f t="shared" si="2"/>
        <v>79</v>
      </c>
      <c r="B87" s="8"/>
      <c r="C87" s="46" t="s">
        <v>274</v>
      </c>
      <c r="D87" s="214" t="s">
        <v>19</v>
      </c>
      <c r="E87" s="32"/>
      <c r="F87" s="17"/>
      <c r="G87" s="18">
        <f t="shared" si="3"/>
        <v>0</v>
      </c>
      <c r="H87" s="240"/>
      <c r="I87" s="7"/>
      <c r="J87" s="7"/>
    </row>
    <row r="88" spans="1:17" ht="18" customHeight="1" x14ac:dyDescent="0.25">
      <c r="A88" s="14">
        <f t="shared" si="2"/>
        <v>80</v>
      </c>
      <c r="B88" s="8"/>
      <c r="C88" s="46" t="s">
        <v>274</v>
      </c>
      <c r="D88" s="214" t="s">
        <v>19</v>
      </c>
      <c r="E88" s="32"/>
      <c r="F88" s="17"/>
      <c r="G88" s="18">
        <f t="shared" si="3"/>
        <v>0</v>
      </c>
      <c r="H88" s="240"/>
      <c r="I88" s="7"/>
      <c r="J88" s="7"/>
    </row>
    <row r="89" spans="1:17" ht="18" customHeight="1" x14ac:dyDescent="0.25">
      <c r="A89" s="14">
        <f t="shared" si="2"/>
        <v>81</v>
      </c>
      <c r="B89" s="8"/>
      <c r="C89" s="46" t="s">
        <v>274</v>
      </c>
      <c r="D89" s="214" t="s">
        <v>19</v>
      </c>
      <c r="E89" s="32"/>
      <c r="F89" s="17"/>
      <c r="G89" s="18">
        <f t="shared" si="3"/>
        <v>0</v>
      </c>
      <c r="H89" s="240"/>
      <c r="I89" s="7"/>
      <c r="J89" s="7"/>
    </row>
    <row r="90" spans="1:17" ht="18" customHeight="1" x14ac:dyDescent="0.25">
      <c r="A90" s="14">
        <f t="shared" si="2"/>
        <v>82</v>
      </c>
      <c r="B90" s="8"/>
      <c r="C90" s="46" t="s">
        <v>274</v>
      </c>
      <c r="D90" s="214" t="s">
        <v>19</v>
      </c>
      <c r="E90" s="32"/>
      <c r="F90" s="17"/>
      <c r="G90" s="18">
        <f t="shared" si="3"/>
        <v>0</v>
      </c>
      <c r="H90" s="240"/>
      <c r="I90" s="7"/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274</v>
      </c>
      <c r="D91" s="214" t="s">
        <v>19</v>
      </c>
      <c r="E91" s="32"/>
      <c r="F91" s="27"/>
      <c r="G91" s="18">
        <f t="shared" si="3"/>
        <v>0</v>
      </c>
      <c r="H91" s="240"/>
      <c r="I91" s="7"/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274</v>
      </c>
      <c r="D92" s="214" t="s">
        <v>19</v>
      </c>
      <c r="E92" s="32"/>
      <c r="F92" s="27"/>
      <c r="G92" s="18">
        <f>+G91+E92-F92</f>
        <v>0</v>
      </c>
      <c r="H92" s="240"/>
      <c r="I92" s="7"/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274</v>
      </c>
      <c r="D93" s="244" t="s">
        <v>19</v>
      </c>
      <c r="E93" s="245"/>
      <c r="F93" s="52"/>
      <c r="G93" s="246">
        <f>+G92+E93-F93</f>
        <v>0</v>
      </c>
      <c r="H93" s="240"/>
      <c r="I93" s="247"/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274</v>
      </c>
      <c r="D94" s="244" t="s">
        <v>19</v>
      </c>
      <c r="E94" s="245"/>
      <c r="F94" s="52"/>
      <c r="G94" s="246">
        <f t="shared" ref="G94:G106" si="4">+G93+E94-F94</f>
        <v>0</v>
      </c>
      <c r="H94" s="240"/>
      <c r="I94" s="247"/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274</v>
      </c>
      <c r="D95" s="244" t="s">
        <v>19</v>
      </c>
      <c r="E95" s="245"/>
      <c r="F95" s="52"/>
      <c r="G95" s="246">
        <f t="shared" si="4"/>
        <v>0</v>
      </c>
      <c r="H95" s="240"/>
      <c r="I95" s="247"/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274</v>
      </c>
      <c r="D96" s="244" t="s">
        <v>19</v>
      </c>
      <c r="E96" s="245"/>
      <c r="F96" s="52"/>
      <c r="G96" s="246">
        <f t="shared" si="4"/>
        <v>0</v>
      </c>
      <c r="H96" s="240"/>
      <c r="I96" s="247"/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274</v>
      </c>
      <c r="D97" s="244" t="s">
        <v>19</v>
      </c>
      <c r="E97" s="245"/>
      <c r="F97" s="52"/>
      <c r="G97" s="246">
        <f t="shared" si="4"/>
        <v>0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274</v>
      </c>
      <c r="D98" s="244" t="s">
        <v>19</v>
      </c>
      <c r="E98" s="245"/>
      <c r="F98" s="52"/>
      <c r="G98" s="246">
        <f t="shared" si="4"/>
        <v>0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274</v>
      </c>
      <c r="D99" s="244" t="s">
        <v>19</v>
      </c>
      <c r="E99" s="245"/>
      <c r="F99" s="52"/>
      <c r="G99" s="246">
        <f t="shared" si="4"/>
        <v>0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274</v>
      </c>
      <c r="D100" s="244" t="s">
        <v>19</v>
      </c>
      <c r="E100" s="245"/>
      <c r="F100" s="52"/>
      <c r="G100" s="246">
        <f t="shared" si="4"/>
        <v>0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0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0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0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0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0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0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0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2005.4</v>
      </c>
      <c r="F108" s="35">
        <f>SUM(F8:F107)</f>
        <v>2005.4</v>
      </c>
      <c r="G108" s="35">
        <f>+E108-F108+G8</f>
        <v>0</v>
      </c>
      <c r="H108" s="35"/>
      <c r="I108" s="36"/>
      <c r="J108" s="7">
        <f>SUM(J9:J107)</f>
        <v>2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31FF-DD68-4250-8618-C3B1DAD10101}">
  <sheetPr codeName="Sheet79"/>
  <dimension ref="A1:Q119"/>
  <sheetViews>
    <sheetView workbookViewId="0">
      <selection activeCell="F12" sqref="F1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4826</v>
      </c>
      <c r="H8" s="7"/>
      <c r="I8" s="7"/>
      <c r="J8" s="7"/>
    </row>
    <row r="9" spans="1:12" ht="17.25" customHeight="1" x14ac:dyDescent="0.25">
      <c r="A9" s="14">
        <v>1</v>
      </c>
      <c r="B9" s="8">
        <v>45706</v>
      </c>
      <c r="C9" s="46" t="s">
        <v>203</v>
      </c>
      <c r="D9" s="214" t="s">
        <v>19</v>
      </c>
      <c r="E9" s="30"/>
      <c r="F9" s="27">
        <v>1385.4</v>
      </c>
      <c r="G9" s="18">
        <f>+G8+E9-F9</f>
        <v>3440.6</v>
      </c>
      <c r="H9" s="28"/>
      <c r="I9" s="7"/>
      <c r="J9" s="7"/>
    </row>
    <row r="10" spans="1:12" ht="17.25" customHeight="1" x14ac:dyDescent="0.25">
      <c r="A10" s="14">
        <f t="shared" ref="A10:A73" si="0">+A9+1</f>
        <v>2</v>
      </c>
      <c r="B10" s="8">
        <v>45707</v>
      </c>
      <c r="C10" s="46" t="s">
        <v>203</v>
      </c>
      <c r="D10" s="214" t="s">
        <v>19</v>
      </c>
      <c r="E10" s="11"/>
      <c r="F10" s="118">
        <f>690.4+709.5</f>
        <v>1399.9</v>
      </c>
      <c r="G10" s="18">
        <f t="shared" ref="G10:G73" si="1">+G9+E10-F10</f>
        <v>2040.6999999999998</v>
      </c>
      <c r="H10" s="28" t="s">
        <v>129</v>
      </c>
      <c r="I10" s="7" t="s">
        <v>90</v>
      </c>
      <c r="J10" s="7"/>
    </row>
    <row r="11" spans="1:12" ht="18" customHeight="1" x14ac:dyDescent="0.25">
      <c r="A11" s="14">
        <f t="shared" si="0"/>
        <v>3</v>
      </c>
      <c r="B11" s="8">
        <v>45757</v>
      </c>
      <c r="C11" s="46" t="s">
        <v>203</v>
      </c>
      <c r="D11" s="214" t="s">
        <v>19</v>
      </c>
      <c r="E11" s="16"/>
      <c r="F11" s="27">
        <v>1403.4</v>
      </c>
      <c r="G11" s="18">
        <f t="shared" si="1"/>
        <v>637.29999999999973</v>
      </c>
      <c r="H11" s="28" t="s">
        <v>129</v>
      </c>
      <c r="I11" s="7" t="s">
        <v>90</v>
      </c>
      <c r="J11" s="140"/>
      <c r="L11">
        <f>641.4+649.8+583.6+594</f>
        <v>2468.7999999999997</v>
      </c>
    </row>
    <row r="12" spans="1:12" ht="18" customHeight="1" x14ac:dyDescent="0.25">
      <c r="A12" s="14">
        <f t="shared" si="0"/>
        <v>4</v>
      </c>
      <c r="B12" s="8">
        <v>45809</v>
      </c>
      <c r="C12" s="46" t="s">
        <v>203</v>
      </c>
      <c r="D12" s="214" t="s">
        <v>19</v>
      </c>
      <c r="E12" s="16"/>
      <c r="F12" s="17">
        <v>690.8</v>
      </c>
      <c r="G12" s="18">
        <f t="shared" si="1"/>
        <v>-53.500000000000227</v>
      </c>
      <c r="H12" s="28"/>
      <c r="I12" s="7"/>
      <c r="J12" s="140"/>
    </row>
    <row r="13" spans="1:12" ht="18" customHeight="1" x14ac:dyDescent="0.25">
      <c r="A13" s="14">
        <f t="shared" si="0"/>
        <v>5</v>
      </c>
      <c r="B13" s="205"/>
      <c r="C13" s="46" t="s">
        <v>203</v>
      </c>
      <c r="D13" s="214" t="s">
        <v>19</v>
      </c>
      <c r="E13" s="16"/>
      <c r="F13" s="17"/>
      <c r="G13" s="18">
        <f t="shared" si="1"/>
        <v>-53.500000000000227</v>
      </c>
      <c r="H13" s="28"/>
      <c r="I13" s="7"/>
      <c r="J13" s="140"/>
    </row>
    <row r="14" spans="1:12" ht="18" customHeight="1" x14ac:dyDescent="0.25">
      <c r="A14" s="14">
        <f t="shared" si="0"/>
        <v>6</v>
      </c>
      <c r="B14" s="8"/>
      <c r="C14" s="46" t="s">
        <v>203</v>
      </c>
      <c r="D14" s="214" t="s">
        <v>19</v>
      </c>
      <c r="E14" s="16"/>
      <c r="F14" s="119"/>
      <c r="G14" s="18">
        <f t="shared" si="1"/>
        <v>-53.500000000000227</v>
      </c>
      <c r="H14" s="28"/>
      <c r="I14" s="7"/>
      <c r="J14" s="7"/>
    </row>
    <row r="15" spans="1:12" ht="18" customHeight="1" x14ac:dyDescent="0.25">
      <c r="A15" s="14">
        <f t="shared" si="0"/>
        <v>7</v>
      </c>
      <c r="B15" s="8"/>
      <c r="C15" s="46" t="s">
        <v>203</v>
      </c>
      <c r="D15" s="214" t="s">
        <v>19</v>
      </c>
      <c r="E15" s="16"/>
      <c r="F15" s="27"/>
      <c r="G15" s="18">
        <f t="shared" si="1"/>
        <v>-53.500000000000227</v>
      </c>
      <c r="H15" s="28"/>
      <c r="I15" s="7"/>
      <c r="J15" s="140"/>
    </row>
    <row r="16" spans="1:12" ht="18" customHeight="1" x14ac:dyDescent="0.25">
      <c r="A16" s="14">
        <f t="shared" si="0"/>
        <v>8</v>
      </c>
      <c r="B16" s="8"/>
      <c r="C16" s="46" t="s">
        <v>203</v>
      </c>
      <c r="D16" s="214" t="s">
        <v>19</v>
      </c>
      <c r="E16" s="16"/>
      <c r="F16" s="27"/>
      <c r="G16" s="18">
        <f t="shared" si="1"/>
        <v>-53.500000000000227</v>
      </c>
      <c r="H16" s="28"/>
      <c r="I16" s="7"/>
      <c r="J16" s="7"/>
    </row>
    <row r="17" spans="1:16" ht="18" customHeight="1" x14ac:dyDescent="0.25">
      <c r="A17" s="14">
        <f t="shared" si="0"/>
        <v>9</v>
      </c>
      <c r="B17" s="8"/>
      <c r="C17" s="46" t="s">
        <v>203</v>
      </c>
      <c r="D17" s="214" t="s">
        <v>19</v>
      </c>
      <c r="E17" s="30"/>
      <c r="F17" s="27"/>
      <c r="G17" s="18">
        <f t="shared" si="1"/>
        <v>-53.500000000000227</v>
      </c>
      <c r="H17" s="28"/>
      <c r="I17" s="7"/>
      <c r="J17" s="7"/>
    </row>
    <row r="18" spans="1:16" s="230" customFormat="1" ht="18" customHeight="1" x14ac:dyDescent="0.25">
      <c r="A18" s="223">
        <f>+A17+1</f>
        <v>10</v>
      </c>
      <c r="B18" s="224"/>
      <c r="C18" s="46" t="s">
        <v>203</v>
      </c>
      <c r="D18" s="226" t="s">
        <v>19</v>
      </c>
      <c r="E18" s="227"/>
      <c r="F18" s="228"/>
      <c r="G18" s="229">
        <f t="shared" si="1"/>
        <v>-53.500000000000227</v>
      </c>
      <c r="H18" s="28"/>
      <c r="I18" s="7"/>
      <c r="J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203</v>
      </c>
      <c r="D19" s="226" t="s">
        <v>19</v>
      </c>
      <c r="E19" s="231"/>
      <c r="F19" s="228"/>
      <c r="G19" s="229">
        <f t="shared" si="1"/>
        <v>-53.500000000000227</v>
      </c>
      <c r="H19" s="28"/>
      <c r="I19" s="7"/>
      <c r="J19" s="348"/>
    </row>
    <row r="20" spans="1:16" ht="18" customHeight="1" x14ac:dyDescent="0.25">
      <c r="A20" s="14">
        <f t="shared" si="0"/>
        <v>12</v>
      </c>
      <c r="B20" s="8"/>
      <c r="C20" s="46" t="s">
        <v>203</v>
      </c>
      <c r="D20" s="214" t="s">
        <v>19</v>
      </c>
      <c r="E20" s="32"/>
      <c r="F20" s="17"/>
      <c r="G20" s="18">
        <f t="shared" si="1"/>
        <v>-53.500000000000227</v>
      </c>
      <c r="H20" s="28"/>
      <c r="I20" s="7"/>
      <c r="J20" s="7"/>
      <c r="P20">
        <f>655.4+618+648+651.2+620+645+649+674+641+652+617+635+623+619</f>
        <v>8947.6</v>
      </c>
    </row>
    <row r="21" spans="1:16" ht="18" customHeight="1" x14ac:dyDescent="0.25">
      <c r="A21" s="14">
        <f t="shared" si="0"/>
        <v>13</v>
      </c>
      <c r="B21" s="8"/>
      <c r="C21" s="46" t="s">
        <v>203</v>
      </c>
      <c r="D21" s="214" t="s">
        <v>19</v>
      </c>
      <c r="E21" s="32"/>
      <c r="F21" s="27"/>
      <c r="G21" s="18">
        <f t="shared" si="1"/>
        <v>-53.500000000000227</v>
      </c>
      <c r="H21" s="28"/>
      <c r="I21" s="7"/>
      <c r="J21" s="7"/>
    </row>
    <row r="22" spans="1:16" ht="18" customHeight="1" x14ac:dyDescent="0.25">
      <c r="A22" s="14">
        <f t="shared" si="0"/>
        <v>14</v>
      </c>
      <c r="B22" s="232"/>
      <c r="C22" s="46" t="s">
        <v>203</v>
      </c>
      <c r="D22" s="234" t="s">
        <v>19</v>
      </c>
      <c r="E22" s="235"/>
      <c r="F22" s="172"/>
      <c r="G22" s="18">
        <f t="shared" si="1"/>
        <v>-53.500000000000227</v>
      </c>
      <c r="H22" s="28"/>
      <c r="I22" s="7"/>
      <c r="J22" s="7"/>
    </row>
    <row r="23" spans="1:16" ht="18" customHeight="1" x14ac:dyDescent="0.25">
      <c r="A23" s="14">
        <f t="shared" si="0"/>
        <v>15</v>
      </c>
      <c r="B23" s="8"/>
      <c r="C23" s="46" t="s">
        <v>203</v>
      </c>
      <c r="D23" s="214" t="s">
        <v>19</v>
      </c>
      <c r="E23" s="32"/>
      <c r="F23" s="17"/>
      <c r="G23" s="18">
        <f t="shared" si="1"/>
        <v>-53.500000000000227</v>
      </c>
      <c r="H23" s="28"/>
      <c r="I23" s="7"/>
      <c r="J23" s="7"/>
    </row>
    <row r="24" spans="1:16" ht="18" customHeight="1" x14ac:dyDescent="0.25">
      <c r="A24" s="14">
        <f t="shared" si="0"/>
        <v>16</v>
      </c>
      <c r="B24" s="8"/>
      <c r="C24" s="46" t="s">
        <v>203</v>
      </c>
      <c r="D24" s="214" t="s">
        <v>19</v>
      </c>
      <c r="E24" s="32"/>
      <c r="F24" s="17"/>
      <c r="G24" s="18">
        <f t="shared" si="1"/>
        <v>-53.500000000000227</v>
      </c>
      <c r="H24" s="28"/>
      <c r="I24" s="7"/>
      <c r="J24" s="7"/>
      <c r="M24">
        <f>13-8.3</f>
        <v>4.6999999999999993</v>
      </c>
    </row>
    <row r="25" spans="1:16" ht="18" customHeight="1" x14ac:dyDescent="0.25">
      <c r="A25" s="14">
        <f t="shared" si="0"/>
        <v>17</v>
      </c>
      <c r="B25" s="8"/>
      <c r="C25" s="46" t="s">
        <v>203</v>
      </c>
      <c r="D25" s="214" t="s">
        <v>19</v>
      </c>
      <c r="E25" s="32"/>
      <c r="F25" s="17"/>
      <c r="G25" s="18">
        <f t="shared" si="1"/>
        <v>-53.500000000000227</v>
      </c>
      <c r="H25" s="28"/>
      <c r="I25" s="7"/>
      <c r="J25" s="7"/>
      <c r="M25">
        <f>9-6</f>
        <v>3</v>
      </c>
    </row>
    <row r="26" spans="1:16" ht="18" customHeight="1" x14ac:dyDescent="0.25">
      <c r="A26" s="14">
        <f t="shared" si="0"/>
        <v>18</v>
      </c>
      <c r="B26" s="8"/>
      <c r="C26" s="46" t="s">
        <v>203</v>
      </c>
      <c r="D26" s="214" t="s">
        <v>19</v>
      </c>
      <c r="E26" s="32"/>
      <c r="F26" s="17"/>
      <c r="G26" s="18">
        <f t="shared" si="1"/>
        <v>-53.500000000000227</v>
      </c>
      <c r="H26" s="28"/>
      <c r="I26" s="7"/>
      <c r="J26" s="7"/>
    </row>
    <row r="27" spans="1:16" ht="18" customHeight="1" x14ac:dyDescent="0.25">
      <c r="A27" s="14">
        <f>+A26+1</f>
        <v>19</v>
      </c>
      <c r="B27" s="8"/>
      <c r="C27" s="46" t="s">
        <v>203</v>
      </c>
      <c r="D27" s="214" t="s">
        <v>19</v>
      </c>
      <c r="E27" s="32"/>
      <c r="F27" s="17"/>
      <c r="G27" s="18">
        <f t="shared" si="1"/>
        <v>-53.500000000000227</v>
      </c>
      <c r="H27" s="28"/>
      <c r="I27" s="7"/>
      <c r="J27" s="7"/>
    </row>
    <row r="28" spans="1:16" ht="18" customHeight="1" x14ac:dyDescent="0.25">
      <c r="A28" s="14">
        <f t="shared" si="0"/>
        <v>20</v>
      </c>
      <c r="B28" s="8"/>
      <c r="C28" s="46" t="s">
        <v>203</v>
      </c>
      <c r="D28" s="214" t="s">
        <v>19</v>
      </c>
      <c r="E28" s="129"/>
      <c r="F28" s="17"/>
      <c r="G28" s="18">
        <f t="shared" si="1"/>
        <v>-53.500000000000227</v>
      </c>
      <c r="H28" s="28"/>
      <c r="I28" s="7"/>
      <c r="J28" s="7"/>
    </row>
    <row r="29" spans="1:16" ht="18" customHeight="1" x14ac:dyDescent="0.25">
      <c r="A29" s="14">
        <f t="shared" si="0"/>
        <v>21</v>
      </c>
      <c r="B29" s="8"/>
      <c r="C29" s="46" t="s">
        <v>203</v>
      </c>
      <c r="D29" s="214" t="s">
        <v>19</v>
      </c>
      <c r="E29" s="32"/>
      <c r="F29" s="172"/>
      <c r="G29" s="18">
        <f t="shared" si="1"/>
        <v>-53.500000000000227</v>
      </c>
      <c r="H29" s="28"/>
      <c r="I29" s="7"/>
      <c r="J29" s="7"/>
    </row>
    <row r="30" spans="1:16" ht="18" customHeight="1" x14ac:dyDescent="0.25">
      <c r="A30" s="14">
        <f t="shared" si="0"/>
        <v>22</v>
      </c>
      <c r="B30" s="8"/>
      <c r="C30" s="46" t="s">
        <v>203</v>
      </c>
      <c r="D30" s="214" t="s">
        <v>19</v>
      </c>
      <c r="E30" s="32"/>
      <c r="F30" s="17"/>
      <c r="G30" s="18">
        <f t="shared" si="1"/>
        <v>-53.500000000000227</v>
      </c>
      <c r="H30" s="28"/>
      <c r="I30" s="7"/>
      <c r="J30" s="7"/>
    </row>
    <row r="31" spans="1:16" ht="18" customHeight="1" x14ac:dyDescent="0.25">
      <c r="A31" s="14">
        <f t="shared" si="0"/>
        <v>23</v>
      </c>
      <c r="B31" s="8"/>
      <c r="C31" s="46" t="s">
        <v>203</v>
      </c>
      <c r="D31" s="214" t="s">
        <v>19</v>
      </c>
      <c r="E31" s="32"/>
      <c r="F31" s="17"/>
      <c r="G31" s="18">
        <f t="shared" si="1"/>
        <v>-53.500000000000227</v>
      </c>
      <c r="H31" s="28"/>
      <c r="I31" s="7"/>
      <c r="J31" s="7"/>
    </row>
    <row r="32" spans="1:16" ht="17.25" customHeight="1" x14ac:dyDescent="0.25">
      <c r="A32" s="14">
        <f t="shared" si="0"/>
        <v>24</v>
      </c>
      <c r="B32" s="8"/>
      <c r="C32" s="46" t="s">
        <v>203</v>
      </c>
      <c r="D32" s="214" t="s">
        <v>19</v>
      </c>
      <c r="E32" s="13"/>
      <c r="F32" s="17"/>
      <c r="G32" s="18">
        <f t="shared" si="1"/>
        <v>-53.500000000000227</v>
      </c>
      <c r="H32" s="28"/>
      <c r="I32" s="7"/>
      <c r="J32" s="7"/>
    </row>
    <row r="33" spans="1:16" ht="17.25" customHeight="1" x14ac:dyDescent="0.25">
      <c r="A33" s="14">
        <f t="shared" si="0"/>
        <v>25</v>
      </c>
      <c r="B33" s="44"/>
      <c r="C33" s="46" t="s">
        <v>203</v>
      </c>
      <c r="D33" s="214" t="s">
        <v>19</v>
      </c>
      <c r="E33" s="13"/>
      <c r="F33" s="17"/>
      <c r="G33" s="18">
        <f t="shared" si="1"/>
        <v>-53.500000000000227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203</v>
      </c>
      <c r="D34" s="214" t="s">
        <v>19</v>
      </c>
      <c r="E34" s="32"/>
      <c r="F34" s="40"/>
      <c r="G34" s="18">
        <f t="shared" si="1"/>
        <v>-53.500000000000227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203</v>
      </c>
      <c r="D35" s="214" t="s">
        <v>19</v>
      </c>
      <c r="E35" s="32"/>
      <c r="F35" s="40"/>
      <c r="G35" s="18">
        <f t="shared" si="1"/>
        <v>-53.500000000000227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203</v>
      </c>
      <c r="D36" s="214" t="s">
        <v>19</v>
      </c>
      <c r="E36" s="32"/>
      <c r="F36" s="40"/>
      <c r="G36" s="18">
        <f t="shared" si="1"/>
        <v>-53.500000000000227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203</v>
      </c>
      <c r="D37" s="214" t="s">
        <v>19</v>
      </c>
      <c r="E37" s="32"/>
      <c r="F37" s="17"/>
      <c r="G37" s="18">
        <f t="shared" si="1"/>
        <v>-53.500000000000227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203</v>
      </c>
      <c r="D38" s="214" t="s">
        <v>19</v>
      </c>
      <c r="E38" s="32"/>
      <c r="F38" s="17"/>
      <c r="G38" s="18">
        <f t="shared" si="1"/>
        <v>-53.500000000000227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203</v>
      </c>
      <c r="D39" s="214" t="s">
        <v>19</v>
      </c>
      <c r="E39" s="32"/>
      <c r="F39" s="17"/>
      <c r="G39" s="18">
        <f t="shared" si="1"/>
        <v>-53.500000000000227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203</v>
      </c>
      <c r="D40" s="214" t="s">
        <v>19</v>
      </c>
      <c r="E40" s="32"/>
      <c r="F40" s="17"/>
      <c r="G40" s="18">
        <f t="shared" si="1"/>
        <v>-53.500000000000227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203</v>
      </c>
      <c r="D41" s="214" t="s">
        <v>19</v>
      </c>
      <c r="E41" s="32"/>
      <c r="F41" s="172"/>
      <c r="G41" s="18">
        <f t="shared" si="1"/>
        <v>-53.500000000000227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203</v>
      </c>
      <c r="D42" s="214" t="s">
        <v>19</v>
      </c>
      <c r="E42" s="32"/>
      <c r="F42" s="17"/>
      <c r="G42" s="18">
        <f t="shared" si="1"/>
        <v>-53.500000000000227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203</v>
      </c>
      <c r="D43" s="214" t="s">
        <v>19</v>
      </c>
      <c r="E43" s="32"/>
      <c r="F43" s="17"/>
      <c r="G43" s="18">
        <f t="shared" si="1"/>
        <v>-53.500000000000227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203</v>
      </c>
      <c r="D44" s="214" t="s">
        <v>19</v>
      </c>
      <c r="E44" s="32"/>
      <c r="F44" s="17"/>
      <c r="G44" s="18">
        <f t="shared" si="1"/>
        <v>-53.500000000000227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203</v>
      </c>
      <c r="D45" s="214" t="s">
        <v>19</v>
      </c>
      <c r="E45" s="32"/>
      <c r="F45" s="17"/>
      <c r="G45" s="18">
        <f t="shared" si="1"/>
        <v>-53.500000000000227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203</v>
      </c>
      <c r="D46" s="214" t="s">
        <v>19</v>
      </c>
      <c r="E46" s="32"/>
      <c r="F46" s="17"/>
      <c r="G46" s="18">
        <f t="shared" si="1"/>
        <v>-53.500000000000227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203</v>
      </c>
      <c r="D47" s="214" t="s">
        <v>19</v>
      </c>
      <c r="E47" s="32"/>
      <c r="F47" s="17"/>
      <c r="G47" s="18">
        <f t="shared" si="1"/>
        <v>-53.500000000000227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203</v>
      </c>
      <c r="D48" s="214" t="s">
        <v>19</v>
      </c>
      <c r="E48" s="32"/>
      <c r="F48" s="17"/>
      <c r="G48" s="18">
        <f t="shared" si="1"/>
        <v>-53.500000000000227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203</v>
      </c>
      <c r="D49" s="214" t="s">
        <v>19</v>
      </c>
      <c r="E49" s="32"/>
      <c r="F49" s="17"/>
      <c r="G49" s="18">
        <f t="shared" si="1"/>
        <v>-53.500000000000227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203</v>
      </c>
      <c r="D50" s="237" t="s">
        <v>19</v>
      </c>
      <c r="E50" s="175"/>
      <c r="F50" s="172"/>
      <c r="G50" s="238">
        <f t="shared" si="1"/>
        <v>-53.500000000000227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203</v>
      </c>
      <c r="D51" s="214" t="s">
        <v>19</v>
      </c>
      <c r="E51" s="32"/>
      <c r="F51" s="17"/>
      <c r="G51" s="18">
        <f t="shared" si="1"/>
        <v>-53.500000000000227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203</v>
      </c>
      <c r="D52" s="214" t="s">
        <v>19</v>
      </c>
      <c r="E52" s="32"/>
      <c r="F52" s="17"/>
      <c r="G52" s="18">
        <f t="shared" si="1"/>
        <v>-53.500000000000227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203</v>
      </c>
      <c r="D53" s="214" t="s">
        <v>19</v>
      </c>
      <c r="E53" s="32"/>
      <c r="F53" s="17"/>
      <c r="G53" s="18">
        <f t="shared" si="1"/>
        <v>-53.500000000000227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203</v>
      </c>
      <c r="D54" s="214" t="s">
        <v>19</v>
      </c>
      <c r="E54" s="32"/>
      <c r="F54" s="17"/>
      <c r="G54" s="18">
        <f t="shared" si="1"/>
        <v>-53.500000000000227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203</v>
      </c>
      <c r="D55" s="214" t="s">
        <v>19</v>
      </c>
      <c r="E55" s="32"/>
      <c r="F55" s="17"/>
      <c r="G55" s="18">
        <f t="shared" si="1"/>
        <v>-53.500000000000227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203</v>
      </c>
      <c r="D56" s="214" t="s">
        <v>19</v>
      </c>
      <c r="E56" s="32"/>
      <c r="F56" s="17"/>
      <c r="G56" s="18">
        <f t="shared" si="1"/>
        <v>-53.500000000000227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203</v>
      </c>
      <c r="D57" s="214" t="s">
        <v>19</v>
      </c>
      <c r="E57" s="32"/>
      <c r="F57" s="17"/>
      <c r="G57" s="18">
        <f t="shared" si="1"/>
        <v>-53.500000000000227</v>
      </c>
      <c r="H57" s="240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203</v>
      </c>
      <c r="D58" s="214" t="s">
        <v>19</v>
      </c>
      <c r="E58" s="32"/>
      <c r="F58" s="17"/>
      <c r="G58" s="18">
        <f t="shared" si="1"/>
        <v>-53.500000000000227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203</v>
      </c>
      <c r="D59" s="214" t="s">
        <v>19</v>
      </c>
      <c r="E59" s="32"/>
      <c r="F59" s="17"/>
      <c r="G59" s="18">
        <f t="shared" si="1"/>
        <v>-53.500000000000227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203</v>
      </c>
      <c r="D60" s="214" t="s">
        <v>19</v>
      </c>
      <c r="E60" s="32"/>
      <c r="F60" s="17"/>
      <c r="G60" s="18">
        <f t="shared" si="1"/>
        <v>-53.500000000000227</v>
      </c>
      <c r="H60" s="240"/>
      <c r="I60" s="7"/>
      <c r="J60" s="7"/>
    </row>
    <row r="61" spans="1:16" ht="18" customHeight="1" x14ac:dyDescent="0.25">
      <c r="A61" s="14">
        <f t="shared" si="0"/>
        <v>53</v>
      </c>
      <c r="B61" s="8"/>
      <c r="C61" s="46" t="s">
        <v>203</v>
      </c>
      <c r="D61" s="214" t="s">
        <v>19</v>
      </c>
      <c r="E61" s="32"/>
      <c r="F61" s="17"/>
      <c r="G61" s="18">
        <f t="shared" si="1"/>
        <v>-53.500000000000227</v>
      </c>
      <c r="H61" s="240"/>
      <c r="I61" s="7"/>
      <c r="J61" s="7"/>
    </row>
    <row r="62" spans="1:16" ht="18" customHeight="1" x14ac:dyDescent="0.25">
      <c r="A62" s="14">
        <f t="shared" si="0"/>
        <v>54</v>
      </c>
      <c r="B62" s="8"/>
      <c r="C62" s="46" t="s">
        <v>203</v>
      </c>
      <c r="D62" s="214" t="s">
        <v>19</v>
      </c>
      <c r="E62" s="32"/>
      <c r="F62" s="17"/>
      <c r="G62" s="18">
        <f t="shared" si="1"/>
        <v>-53.500000000000227</v>
      </c>
      <c r="H62" s="240"/>
      <c r="I62" s="7"/>
      <c r="J62" s="7"/>
    </row>
    <row r="63" spans="1:16" ht="18" customHeight="1" x14ac:dyDescent="0.25">
      <c r="A63" s="14">
        <f t="shared" si="0"/>
        <v>55</v>
      </c>
      <c r="B63" s="8"/>
      <c r="C63" s="46" t="s">
        <v>203</v>
      </c>
      <c r="D63" s="214" t="s">
        <v>19</v>
      </c>
      <c r="E63" s="32"/>
      <c r="F63" s="17"/>
      <c r="G63" s="18">
        <f t="shared" si="1"/>
        <v>-53.500000000000227</v>
      </c>
      <c r="H63" s="240"/>
      <c r="I63" s="7"/>
      <c r="J63" s="7"/>
    </row>
    <row r="64" spans="1:16" ht="18" customHeight="1" x14ac:dyDescent="0.25">
      <c r="A64" s="14">
        <f t="shared" si="0"/>
        <v>56</v>
      </c>
      <c r="B64" s="8"/>
      <c r="C64" s="46" t="s">
        <v>203</v>
      </c>
      <c r="D64" s="214" t="s">
        <v>19</v>
      </c>
      <c r="E64" s="32"/>
      <c r="F64" s="17"/>
      <c r="G64" s="18">
        <f t="shared" si="1"/>
        <v>-53.500000000000227</v>
      </c>
      <c r="H64" s="240"/>
      <c r="I64" s="7"/>
      <c r="J64" s="7"/>
    </row>
    <row r="65" spans="1:10" ht="18" customHeight="1" x14ac:dyDescent="0.25">
      <c r="A65" s="14">
        <f t="shared" si="0"/>
        <v>57</v>
      </c>
      <c r="B65" s="8"/>
      <c r="C65" s="46" t="s">
        <v>203</v>
      </c>
      <c r="D65" s="214" t="s">
        <v>19</v>
      </c>
      <c r="E65" s="32"/>
      <c r="F65" s="17"/>
      <c r="G65" s="18">
        <f t="shared" si="1"/>
        <v>-53.500000000000227</v>
      </c>
      <c r="H65" s="240"/>
      <c r="I65" s="7"/>
      <c r="J65" s="140"/>
    </row>
    <row r="66" spans="1:10" ht="18" customHeight="1" x14ac:dyDescent="0.25">
      <c r="A66" s="14">
        <f t="shared" si="0"/>
        <v>58</v>
      </c>
      <c r="B66" s="8"/>
      <c r="C66" s="46" t="s">
        <v>203</v>
      </c>
      <c r="D66" s="214" t="s">
        <v>19</v>
      </c>
      <c r="E66" s="32"/>
      <c r="F66" s="17"/>
      <c r="G66" s="18">
        <f t="shared" si="1"/>
        <v>-53.500000000000227</v>
      </c>
      <c r="H66" s="240"/>
      <c r="I66" s="7"/>
      <c r="J66" s="7"/>
    </row>
    <row r="67" spans="1:10" ht="18" customHeight="1" x14ac:dyDescent="0.25">
      <c r="A67" s="14">
        <f t="shared" si="0"/>
        <v>59</v>
      </c>
      <c r="B67" s="8"/>
      <c r="C67" s="46" t="s">
        <v>203</v>
      </c>
      <c r="D67" s="214" t="s">
        <v>19</v>
      </c>
      <c r="E67" s="32"/>
      <c r="F67" s="17"/>
      <c r="G67" s="18">
        <f>+G66+E67-F67</f>
        <v>-53.500000000000227</v>
      </c>
      <c r="H67" s="240"/>
      <c r="I67" s="7"/>
      <c r="J67" s="7"/>
    </row>
    <row r="68" spans="1:10" ht="18" customHeight="1" x14ac:dyDescent="0.25">
      <c r="A68" s="14">
        <f t="shared" si="0"/>
        <v>60</v>
      </c>
      <c r="B68" s="8"/>
      <c r="C68" s="46" t="s">
        <v>203</v>
      </c>
      <c r="D68" s="214" t="s">
        <v>19</v>
      </c>
      <c r="E68" s="32"/>
      <c r="F68" s="17"/>
      <c r="G68" s="18">
        <f>+G67+E68-F68</f>
        <v>-53.500000000000227</v>
      </c>
      <c r="H68" s="240"/>
      <c r="I68" s="7"/>
      <c r="J68" s="7"/>
    </row>
    <row r="69" spans="1:10" ht="18" customHeight="1" x14ac:dyDescent="0.25">
      <c r="A69" s="14">
        <f t="shared" si="0"/>
        <v>61</v>
      </c>
      <c r="B69" s="8"/>
      <c r="C69" s="46" t="s">
        <v>203</v>
      </c>
      <c r="D69" s="214" t="s">
        <v>19</v>
      </c>
      <c r="E69" s="32"/>
      <c r="F69" s="17"/>
      <c r="G69" s="18">
        <f>+G68+E69-F69</f>
        <v>-53.500000000000227</v>
      </c>
      <c r="H69" s="240"/>
      <c r="I69" s="7"/>
      <c r="J69" s="7"/>
    </row>
    <row r="70" spans="1:10" ht="18" customHeight="1" x14ac:dyDescent="0.25">
      <c r="A70" s="14">
        <f t="shared" si="0"/>
        <v>62</v>
      </c>
      <c r="B70" s="8"/>
      <c r="C70" s="46" t="s">
        <v>203</v>
      </c>
      <c r="D70" s="214" t="s">
        <v>19</v>
      </c>
      <c r="E70" s="32"/>
      <c r="F70" s="17"/>
      <c r="G70" s="18">
        <f t="shared" si="1"/>
        <v>-53.500000000000227</v>
      </c>
      <c r="H70" s="240"/>
      <c r="I70" s="7"/>
      <c r="J70" s="7"/>
    </row>
    <row r="71" spans="1:10" ht="18" customHeight="1" x14ac:dyDescent="0.25">
      <c r="A71" s="14">
        <f t="shared" si="0"/>
        <v>63</v>
      </c>
      <c r="B71" s="8"/>
      <c r="C71" s="46" t="s">
        <v>203</v>
      </c>
      <c r="D71" s="214" t="s">
        <v>19</v>
      </c>
      <c r="E71" s="32"/>
      <c r="F71" s="17"/>
      <c r="G71" s="18">
        <f t="shared" si="1"/>
        <v>-53.500000000000227</v>
      </c>
      <c r="H71" s="240"/>
      <c r="I71" s="7"/>
      <c r="J71" s="7"/>
    </row>
    <row r="72" spans="1:10" ht="18" customHeight="1" x14ac:dyDescent="0.25">
      <c r="A72" s="14">
        <f>+A71+1</f>
        <v>64</v>
      </c>
      <c r="B72" s="8"/>
      <c r="C72" s="46" t="s">
        <v>203</v>
      </c>
      <c r="D72" s="214" t="s">
        <v>19</v>
      </c>
      <c r="E72" s="32"/>
      <c r="F72" s="17"/>
      <c r="G72" s="18">
        <f t="shared" si="1"/>
        <v>-53.500000000000227</v>
      </c>
      <c r="H72" s="240"/>
      <c r="I72" s="7"/>
      <c r="J72" s="7"/>
    </row>
    <row r="73" spans="1:10" ht="18" customHeight="1" x14ac:dyDescent="0.25">
      <c r="A73" s="14">
        <f t="shared" si="0"/>
        <v>65</v>
      </c>
      <c r="B73" s="8"/>
      <c r="C73" s="46" t="s">
        <v>203</v>
      </c>
      <c r="D73" s="214" t="s">
        <v>19</v>
      </c>
      <c r="E73" s="32"/>
      <c r="F73" s="17"/>
      <c r="G73" s="18">
        <f t="shared" si="1"/>
        <v>-53.500000000000227</v>
      </c>
      <c r="H73" s="240"/>
      <c r="I73" s="7"/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203</v>
      </c>
      <c r="D74" s="214" t="s">
        <v>19</v>
      </c>
      <c r="E74" s="32"/>
      <c r="F74" s="17"/>
      <c r="G74" s="18">
        <f t="shared" ref="G74:G91" si="3">+G73+E74-F74</f>
        <v>-53.500000000000227</v>
      </c>
      <c r="H74" s="240"/>
      <c r="I74" s="7"/>
      <c r="J74" s="7"/>
    </row>
    <row r="75" spans="1:10" ht="18" customHeight="1" x14ac:dyDescent="0.25">
      <c r="A75" s="14">
        <f t="shared" si="2"/>
        <v>67</v>
      </c>
      <c r="B75" s="8"/>
      <c r="C75" s="46" t="s">
        <v>203</v>
      </c>
      <c r="D75" s="214" t="s">
        <v>19</v>
      </c>
      <c r="E75" s="32"/>
      <c r="F75" s="17"/>
      <c r="G75" s="18">
        <f t="shared" si="3"/>
        <v>-53.500000000000227</v>
      </c>
      <c r="H75" s="240"/>
      <c r="I75" s="7"/>
      <c r="J75" s="7"/>
    </row>
    <row r="76" spans="1:10" ht="18" customHeight="1" x14ac:dyDescent="0.25">
      <c r="A76" s="14">
        <f t="shared" si="2"/>
        <v>68</v>
      </c>
      <c r="B76" s="8"/>
      <c r="C76" s="46" t="s">
        <v>203</v>
      </c>
      <c r="D76" s="214" t="s">
        <v>19</v>
      </c>
      <c r="E76" s="32"/>
      <c r="F76" s="17"/>
      <c r="G76" s="18">
        <f t="shared" si="3"/>
        <v>-53.500000000000227</v>
      </c>
      <c r="H76" s="240"/>
      <c r="I76" s="7"/>
      <c r="J76" s="7"/>
    </row>
    <row r="77" spans="1:10" ht="18" customHeight="1" x14ac:dyDescent="0.25">
      <c r="A77" s="14">
        <f t="shared" si="2"/>
        <v>69</v>
      </c>
      <c r="B77" s="8"/>
      <c r="C77" s="46" t="s">
        <v>203</v>
      </c>
      <c r="D77" s="214" t="s">
        <v>19</v>
      </c>
      <c r="E77" s="32"/>
      <c r="F77" s="17"/>
      <c r="G77" s="18">
        <f t="shared" si="3"/>
        <v>-53.500000000000227</v>
      </c>
      <c r="H77" s="240"/>
      <c r="I77" s="7"/>
      <c r="J77" s="7"/>
    </row>
    <row r="78" spans="1:10" ht="18" customHeight="1" x14ac:dyDescent="0.25">
      <c r="A78" s="14">
        <f t="shared" si="2"/>
        <v>70</v>
      </c>
      <c r="B78" s="8"/>
      <c r="C78" s="46" t="s">
        <v>203</v>
      </c>
      <c r="D78" s="214" t="s">
        <v>19</v>
      </c>
      <c r="E78" s="32"/>
      <c r="F78" s="17"/>
      <c r="G78" s="18">
        <f t="shared" si="3"/>
        <v>-53.500000000000227</v>
      </c>
      <c r="H78" s="240"/>
      <c r="I78" s="7"/>
      <c r="J78" s="7"/>
    </row>
    <row r="79" spans="1:10" ht="18" customHeight="1" x14ac:dyDescent="0.25">
      <c r="A79" s="14">
        <f t="shared" si="2"/>
        <v>71</v>
      </c>
      <c r="B79" s="8"/>
      <c r="C79" s="46" t="s">
        <v>203</v>
      </c>
      <c r="D79" s="214" t="s">
        <v>19</v>
      </c>
      <c r="E79" s="32"/>
      <c r="F79" s="17"/>
      <c r="G79" s="18">
        <f t="shared" si="3"/>
        <v>-53.500000000000227</v>
      </c>
      <c r="H79" s="240"/>
      <c r="I79" s="7"/>
      <c r="J79" s="7"/>
    </row>
    <row r="80" spans="1:10" ht="18" customHeight="1" x14ac:dyDescent="0.25">
      <c r="A80" s="14">
        <f t="shared" si="2"/>
        <v>72</v>
      </c>
      <c r="B80" s="8"/>
      <c r="C80" s="46" t="s">
        <v>203</v>
      </c>
      <c r="D80" s="214" t="s">
        <v>19</v>
      </c>
      <c r="E80" s="32"/>
      <c r="F80" s="17"/>
      <c r="G80" s="18">
        <f t="shared" si="3"/>
        <v>-53.500000000000227</v>
      </c>
      <c r="H80" s="240"/>
      <c r="I80" s="7"/>
      <c r="J80" s="7"/>
    </row>
    <row r="81" spans="1:17" ht="18" customHeight="1" x14ac:dyDescent="0.25">
      <c r="A81" s="14">
        <f t="shared" si="2"/>
        <v>73</v>
      </c>
      <c r="B81" s="8"/>
      <c r="C81" s="46" t="s">
        <v>203</v>
      </c>
      <c r="D81" s="214" t="s">
        <v>19</v>
      </c>
      <c r="E81" s="32"/>
      <c r="F81" s="17"/>
      <c r="G81" s="18">
        <f t="shared" si="3"/>
        <v>-53.500000000000227</v>
      </c>
      <c r="H81" s="240"/>
      <c r="I81" s="7"/>
      <c r="J81" s="7"/>
    </row>
    <row r="82" spans="1:17" ht="18" customHeight="1" x14ac:dyDescent="0.25">
      <c r="A82" s="14">
        <f t="shared" si="2"/>
        <v>74</v>
      </c>
      <c r="B82" s="8"/>
      <c r="C82" s="46" t="s">
        <v>203</v>
      </c>
      <c r="D82" s="214" t="s">
        <v>19</v>
      </c>
      <c r="E82" s="32"/>
      <c r="F82" s="17"/>
      <c r="G82" s="18">
        <f t="shared" si="3"/>
        <v>-53.500000000000227</v>
      </c>
      <c r="H82" s="240"/>
      <c r="I82" s="7"/>
      <c r="J82" s="7"/>
    </row>
    <row r="83" spans="1:17" ht="18" customHeight="1" x14ac:dyDescent="0.25">
      <c r="A83" s="14">
        <f t="shared" si="2"/>
        <v>75</v>
      </c>
      <c r="B83" s="8"/>
      <c r="C83" s="46" t="s">
        <v>203</v>
      </c>
      <c r="D83" s="214" t="s">
        <v>19</v>
      </c>
      <c r="E83" s="32"/>
      <c r="F83" s="27"/>
      <c r="G83" s="18">
        <f t="shared" si="3"/>
        <v>-53.500000000000227</v>
      </c>
      <c r="H83" s="240"/>
      <c r="I83" s="7"/>
      <c r="J83" s="7"/>
    </row>
    <row r="84" spans="1:17" ht="18" customHeight="1" x14ac:dyDescent="0.25">
      <c r="A84" s="14">
        <f t="shared" si="2"/>
        <v>76</v>
      </c>
      <c r="B84" s="8"/>
      <c r="C84" s="46" t="s">
        <v>203</v>
      </c>
      <c r="D84" s="214" t="s">
        <v>19</v>
      </c>
      <c r="E84" s="32"/>
      <c r="F84" s="17"/>
      <c r="G84" s="18">
        <f t="shared" si="3"/>
        <v>-53.500000000000227</v>
      </c>
      <c r="H84" s="240"/>
      <c r="I84" s="7"/>
      <c r="J84" s="7"/>
    </row>
    <row r="85" spans="1:17" ht="18" customHeight="1" x14ac:dyDescent="0.25">
      <c r="A85" s="14">
        <f t="shared" si="2"/>
        <v>77</v>
      </c>
      <c r="B85" s="8"/>
      <c r="C85" s="46" t="s">
        <v>203</v>
      </c>
      <c r="D85" s="214" t="s">
        <v>19</v>
      </c>
      <c r="E85" s="32"/>
      <c r="F85" s="17"/>
      <c r="G85" s="18">
        <f t="shared" si="3"/>
        <v>-53.500000000000227</v>
      </c>
      <c r="H85" s="240"/>
      <c r="I85" s="7"/>
      <c r="J85" s="7"/>
    </row>
    <row r="86" spans="1:17" ht="18" customHeight="1" x14ac:dyDescent="0.25">
      <c r="A86" s="14">
        <f t="shared" si="2"/>
        <v>78</v>
      </c>
      <c r="B86" s="8"/>
      <c r="C86" s="46" t="s">
        <v>203</v>
      </c>
      <c r="D86" s="214" t="s">
        <v>19</v>
      </c>
      <c r="E86" s="32"/>
      <c r="F86" s="17"/>
      <c r="G86" s="18">
        <f t="shared" si="3"/>
        <v>-53.500000000000227</v>
      </c>
      <c r="H86" s="240"/>
      <c r="I86" s="7"/>
      <c r="J86" s="7"/>
    </row>
    <row r="87" spans="1:17" ht="18" customHeight="1" x14ac:dyDescent="0.25">
      <c r="A87" s="14">
        <f t="shared" si="2"/>
        <v>79</v>
      </c>
      <c r="B87" s="8"/>
      <c r="C87" s="46" t="s">
        <v>203</v>
      </c>
      <c r="D87" s="214" t="s">
        <v>19</v>
      </c>
      <c r="E87" s="32"/>
      <c r="F87" s="17"/>
      <c r="G87" s="18">
        <f t="shared" si="3"/>
        <v>-53.500000000000227</v>
      </c>
      <c r="H87" s="240"/>
      <c r="I87" s="7"/>
      <c r="J87" s="7"/>
    </row>
    <row r="88" spans="1:17" ht="18" customHeight="1" x14ac:dyDescent="0.25">
      <c r="A88" s="14">
        <f t="shared" si="2"/>
        <v>80</v>
      </c>
      <c r="B88" s="8"/>
      <c r="C88" s="46" t="s">
        <v>203</v>
      </c>
      <c r="D88" s="214" t="s">
        <v>19</v>
      </c>
      <c r="E88" s="32"/>
      <c r="F88" s="17"/>
      <c r="G88" s="18">
        <f t="shared" si="3"/>
        <v>-53.500000000000227</v>
      </c>
      <c r="H88" s="240"/>
      <c r="I88" s="7"/>
      <c r="J88" s="7"/>
    </row>
    <row r="89" spans="1:17" ht="18" customHeight="1" x14ac:dyDescent="0.25">
      <c r="A89" s="14">
        <f t="shared" si="2"/>
        <v>81</v>
      </c>
      <c r="B89" s="8"/>
      <c r="C89" s="46" t="s">
        <v>203</v>
      </c>
      <c r="D89" s="214" t="s">
        <v>19</v>
      </c>
      <c r="E89" s="32"/>
      <c r="F89" s="17"/>
      <c r="G89" s="18">
        <f t="shared" si="3"/>
        <v>-53.500000000000227</v>
      </c>
      <c r="H89" s="240"/>
      <c r="I89" s="7"/>
      <c r="J89" s="7"/>
    </row>
    <row r="90" spans="1:17" ht="18" customHeight="1" x14ac:dyDescent="0.25">
      <c r="A90" s="14">
        <f t="shared" si="2"/>
        <v>82</v>
      </c>
      <c r="B90" s="8"/>
      <c r="C90" s="46" t="s">
        <v>203</v>
      </c>
      <c r="D90" s="214" t="s">
        <v>19</v>
      </c>
      <c r="E90" s="32"/>
      <c r="F90" s="17"/>
      <c r="G90" s="18">
        <f t="shared" si="3"/>
        <v>-53.500000000000227</v>
      </c>
      <c r="H90" s="240"/>
      <c r="I90" s="7"/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203</v>
      </c>
      <c r="D91" s="214" t="s">
        <v>19</v>
      </c>
      <c r="E91" s="32"/>
      <c r="F91" s="27"/>
      <c r="G91" s="18">
        <f t="shared" si="3"/>
        <v>-53.500000000000227</v>
      </c>
      <c r="H91" s="240"/>
      <c r="I91" s="7"/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203</v>
      </c>
      <c r="D92" s="214" t="s">
        <v>19</v>
      </c>
      <c r="E92" s="32"/>
      <c r="F92" s="27"/>
      <c r="G92" s="18">
        <f>+G91+E92-F92</f>
        <v>-53.500000000000227</v>
      </c>
      <c r="H92" s="240"/>
      <c r="I92" s="7"/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203</v>
      </c>
      <c r="D93" s="244" t="s">
        <v>19</v>
      </c>
      <c r="E93" s="245"/>
      <c r="F93" s="52"/>
      <c r="G93" s="246">
        <f>+G92+E93-F93</f>
        <v>-53.500000000000227</v>
      </c>
      <c r="H93" s="240"/>
      <c r="I93" s="247"/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203</v>
      </c>
      <c r="D94" s="244" t="s">
        <v>19</v>
      </c>
      <c r="E94" s="245"/>
      <c r="F94" s="52"/>
      <c r="G94" s="246">
        <f t="shared" ref="G94:G106" si="4">+G93+E94-F94</f>
        <v>-53.500000000000227</v>
      </c>
      <c r="H94" s="240"/>
      <c r="I94" s="247"/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203</v>
      </c>
      <c r="D95" s="244" t="s">
        <v>19</v>
      </c>
      <c r="E95" s="245"/>
      <c r="F95" s="52"/>
      <c r="G95" s="246">
        <f t="shared" si="4"/>
        <v>-53.500000000000227</v>
      </c>
      <c r="H95" s="240"/>
      <c r="I95" s="247"/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203</v>
      </c>
      <c r="D96" s="244" t="s">
        <v>19</v>
      </c>
      <c r="E96" s="245"/>
      <c r="F96" s="52"/>
      <c r="G96" s="246">
        <f t="shared" si="4"/>
        <v>-53.500000000000227</v>
      </c>
      <c r="H96" s="240"/>
      <c r="I96" s="247"/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203</v>
      </c>
      <c r="D97" s="244" t="s">
        <v>19</v>
      </c>
      <c r="E97" s="245"/>
      <c r="F97" s="52"/>
      <c r="G97" s="246">
        <f t="shared" si="4"/>
        <v>-53.500000000000227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203</v>
      </c>
      <c r="D98" s="244" t="s">
        <v>19</v>
      </c>
      <c r="E98" s="245"/>
      <c r="F98" s="52"/>
      <c r="G98" s="246">
        <f t="shared" si="4"/>
        <v>-53.500000000000227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203</v>
      </c>
      <c r="D99" s="244" t="s">
        <v>19</v>
      </c>
      <c r="E99" s="245"/>
      <c r="F99" s="52"/>
      <c r="G99" s="246">
        <f t="shared" si="4"/>
        <v>-53.500000000000227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203</v>
      </c>
      <c r="D100" s="244" t="s">
        <v>19</v>
      </c>
      <c r="E100" s="245"/>
      <c r="F100" s="52"/>
      <c r="G100" s="246">
        <f t="shared" si="4"/>
        <v>-53.500000000000227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-53.500000000000227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-53.500000000000227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-53.500000000000227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-53.500000000000227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-53.500000000000227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-53.500000000000227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-53.500000000000227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4879.5000000000009</v>
      </c>
      <c r="G108" s="35">
        <f>+E108-F108+G8</f>
        <v>-53.500000000000909</v>
      </c>
      <c r="H108" s="35"/>
      <c r="I108" s="36"/>
      <c r="J108" s="7">
        <f>SUM(J9:J107)</f>
        <v>0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2B51-B813-477B-B419-FB851BE38EFF}">
  <sheetPr codeName="Sheet80"/>
  <dimension ref="A1:Q119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8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2" x14ac:dyDescent="0.25">
      <c r="A6" t="s">
        <v>163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2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2850</v>
      </c>
      <c r="H8" s="7"/>
      <c r="I8" s="7"/>
      <c r="J8" s="7"/>
    </row>
    <row r="9" spans="1:12" ht="17.25" customHeight="1" x14ac:dyDescent="0.25">
      <c r="A9" s="14">
        <v>1</v>
      </c>
      <c r="B9" s="8">
        <v>45706</v>
      </c>
      <c r="C9" s="46" t="s">
        <v>202</v>
      </c>
      <c r="D9" s="214" t="s">
        <v>19</v>
      </c>
      <c r="E9" s="30"/>
      <c r="F9" s="27">
        <v>939.7</v>
      </c>
      <c r="G9" s="18">
        <f>+G8+E9-F9</f>
        <v>1910.3</v>
      </c>
      <c r="H9" s="28" t="s">
        <v>91</v>
      </c>
      <c r="I9" s="7"/>
      <c r="J9" s="7"/>
    </row>
    <row r="10" spans="1:12" ht="17.25" customHeight="1" x14ac:dyDescent="0.25">
      <c r="A10" s="14">
        <f t="shared" ref="A10:A73" si="0">+A9+1</f>
        <v>2</v>
      </c>
      <c r="B10" s="8">
        <v>45757</v>
      </c>
      <c r="C10" s="46" t="s">
        <v>202</v>
      </c>
      <c r="D10" s="214" t="s">
        <v>19</v>
      </c>
      <c r="E10" s="11"/>
      <c r="F10" s="27">
        <v>641.79999999999995</v>
      </c>
      <c r="G10" s="18">
        <f t="shared" ref="G10:G73" si="1">+G9+E10-F10</f>
        <v>1268.5</v>
      </c>
      <c r="H10" s="28" t="s">
        <v>129</v>
      </c>
      <c r="I10" s="7" t="s">
        <v>213</v>
      </c>
      <c r="J10" s="7"/>
    </row>
    <row r="11" spans="1:12" ht="18" customHeight="1" x14ac:dyDescent="0.25">
      <c r="A11" s="14">
        <f t="shared" si="0"/>
        <v>3</v>
      </c>
      <c r="B11" s="8">
        <v>45809</v>
      </c>
      <c r="C11" s="46" t="s">
        <v>202</v>
      </c>
      <c r="D11" s="214" t="s">
        <v>19</v>
      </c>
      <c r="E11" s="16"/>
      <c r="F11" s="27">
        <v>1268.9000000000001</v>
      </c>
      <c r="G11" s="18">
        <f t="shared" si="1"/>
        <v>-0.40000000000009095</v>
      </c>
      <c r="H11" s="28" t="s">
        <v>129</v>
      </c>
      <c r="I11" s="7" t="s">
        <v>213</v>
      </c>
      <c r="J11" s="140"/>
      <c r="L11">
        <f>641.4+649.8+583.6+594</f>
        <v>2468.7999999999997</v>
      </c>
    </row>
    <row r="12" spans="1:12" ht="18" customHeight="1" x14ac:dyDescent="0.25">
      <c r="A12" s="14">
        <f t="shared" si="0"/>
        <v>4</v>
      </c>
      <c r="B12" s="8"/>
      <c r="C12" s="46" t="s">
        <v>202</v>
      </c>
      <c r="D12" s="214" t="s">
        <v>19</v>
      </c>
      <c r="E12" s="16"/>
      <c r="F12" s="17"/>
      <c r="G12" s="18">
        <f t="shared" si="1"/>
        <v>-0.40000000000009095</v>
      </c>
      <c r="H12" s="28" t="s">
        <v>91</v>
      </c>
      <c r="I12" s="7"/>
      <c r="J12" s="140"/>
    </row>
    <row r="13" spans="1:12" ht="18" customHeight="1" x14ac:dyDescent="0.25">
      <c r="A13" s="14">
        <f t="shared" si="0"/>
        <v>5</v>
      </c>
      <c r="B13" s="205"/>
      <c r="C13" s="46" t="s">
        <v>202</v>
      </c>
      <c r="D13" s="214" t="s">
        <v>19</v>
      </c>
      <c r="E13" s="16"/>
      <c r="F13" s="17"/>
      <c r="G13" s="18">
        <f t="shared" si="1"/>
        <v>-0.40000000000009095</v>
      </c>
      <c r="H13" s="28" t="s">
        <v>91</v>
      </c>
      <c r="I13" s="7"/>
      <c r="J13" s="140"/>
    </row>
    <row r="14" spans="1:12" ht="18" customHeight="1" x14ac:dyDescent="0.25">
      <c r="A14" s="14">
        <f t="shared" si="0"/>
        <v>6</v>
      </c>
      <c r="B14" s="8"/>
      <c r="C14" s="46" t="s">
        <v>202</v>
      </c>
      <c r="D14" s="214" t="s">
        <v>19</v>
      </c>
      <c r="E14" s="16"/>
      <c r="F14" s="27"/>
      <c r="G14" s="18">
        <f t="shared" si="1"/>
        <v>-0.40000000000009095</v>
      </c>
      <c r="H14" s="28" t="s">
        <v>91</v>
      </c>
      <c r="I14" s="7"/>
      <c r="J14" s="7"/>
    </row>
    <row r="15" spans="1:12" ht="18" customHeight="1" x14ac:dyDescent="0.25">
      <c r="A15" s="14">
        <f t="shared" si="0"/>
        <v>7</v>
      </c>
      <c r="B15" s="8"/>
      <c r="C15" s="46" t="s">
        <v>202</v>
      </c>
      <c r="D15" s="214" t="s">
        <v>19</v>
      </c>
      <c r="E15" s="16"/>
      <c r="F15" s="27"/>
      <c r="G15" s="18">
        <f t="shared" si="1"/>
        <v>-0.40000000000009095</v>
      </c>
      <c r="H15" s="28" t="s">
        <v>91</v>
      </c>
      <c r="I15" s="7"/>
      <c r="J15" s="140"/>
    </row>
    <row r="16" spans="1:12" ht="18" customHeight="1" x14ac:dyDescent="0.25">
      <c r="A16" s="14">
        <f t="shared" si="0"/>
        <v>8</v>
      </c>
      <c r="B16" s="8"/>
      <c r="C16" s="46" t="s">
        <v>202</v>
      </c>
      <c r="D16" s="214" t="s">
        <v>19</v>
      </c>
      <c r="E16" s="16"/>
      <c r="F16" s="27"/>
      <c r="G16" s="18">
        <f t="shared" si="1"/>
        <v>-0.40000000000009095</v>
      </c>
      <c r="H16" s="28" t="s">
        <v>91</v>
      </c>
      <c r="I16" s="7"/>
      <c r="J16" s="7"/>
    </row>
    <row r="17" spans="1:16" ht="18" customHeight="1" x14ac:dyDescent="0.25">
      <c r="A17" s="14">
        <f t="shared" si="0"/>
        <v>9</v>
      </c>
      <c r="B17" s="8"/>
      <c r="C17" s="46" t="s">
        <v>202</v>
      </c>
      <c r="D17" s="214" t="s">
        <v>19</v>
      </c>
      <c r="E17" s="30"/>
      <c r="F17" s="27"/>
      <c r="G17" s="18">
        <f t="shared" si="1"/>
        <v>-0.40000000000009095</v>
      </c>
      <c r="H17" s="28" t="s">
        <v>91</v>
      </c>
      <c r="I17" s="7"/>
      <c r="J17" s="7"/>
    </row>
    <row r="18" spans="1:16" s="230" customFormat="1" ht="18" customHeight="1" x14ac:dyDescent="0.25">
      <c r="A18" s="223">
        <f>+A17+1</f>
        <v>10</v>
      </c>
      <c r="B18" s="224"/>
      <c r="C18" s="46" t="s">
        <v>202</v>
      </c>
      <c r="D18" s="226" t="s">
        <v>19</v>
      </c>
      <c r="E18" s="227"/>
      <c r="F18" s="228"/>
      <c r="G18" s="229">
        <f t="shared" si="1"/>
        <v>-0.40000000000009095</v>
      </c>
      <c r="H18" s="28" t="s">
        <v>91</v>
      </c>
      <c r="I18" s="7"/>
      <c r="J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202</v>
      </c>
      <c r="D19" s="226" t="s">
        <v>19</v>
      </c>
      <c r="E19" s="231"/>
      <c r="F19" s="228"/>
      <c r="G19" s="229">
        <f t="shared" si="1"/>
        <v>-0.40000000000009095</v>
      </c>
      <c r="H19" s="28" t="s">
        <v>91</v>
      </c>
      <c r="I19" s="7"/>
      <c r="J19" s="348"/>
    </row>
    <row r="20" spans="1:16" ht="18" customHeight="1" x14ac:dyDescent="0.25">
      <c r="A20" s="14">
        <f t="shared" si="0"/>
        <v>12</v>
      </c>
      <c r="B20" s="8"/>
      <c r="C20" s="46" t="s">
        <v>202</v>
      </c>
      <c r="D20" s="214" t="s">
        <v>19</v>
      </c>
      <c r="E20" s="32"/>
      <c r="F20" s="17"/>
      <c r="G20" s="18">
        <f t="shared" si="1"/>
        <v>-0.40000000000009095</v>
      </c>
      <c r="H20" s="28" t="s">
        <v>91</v>
      </c>
      <c r="I20" s="7"/>
      <c r="J20" s="7"/>
      <c r="P20">
        <f>655.4+618+648+651.2+620+645+649+674+641+652+617+635+623+619</f>
        <v>8947.6</v>
      </c>
    </row>
    <row r="21" spans="1:16" ht="18" customHeight="1" x14ac:dyDescent="0.25">
      <c r="A21" s="14">
        <f t="shared" si="0"/>
        <v>13</v>
      </c>
      <c r="B21" s="8"/>
      <c r="C21" s="46" t="s">
        <v>202</v>
      </c>
      <c r="D21" s="214" t="s">
        <v>19</v>
      </c>
      <c r="E21" s="32"/>
      <c r="F21" s="27"/>
      <c r="G21" s="18">
        <f t="shared" si="1"/>
        <v>-0.40000000000009095</v>
      </c>
      <c r="H21" s="28" t="s">
        <v>91</v>
      </c>
      <c r="I21" s="7"/>
      <c r="J21" s="7"/>
    </row>
    <row r="22" spans="1:16" ht="18" customHeight="1" x14ac:dyDescent="0.25">
      <c r="A22" s="14">
        <f t="shared" si="0"/>
        <v>14</v>
      </c>
      <c r="B22" s="232"/>
      <c r="C22" s="46" t="s">
        <v>202</v>
      </c>
      <c r="D22" s="234" t="s">
        <v>19</v>
      </c>
      <c r="E22" s="235"/>
      <c r="F22" s="172"/>
      <c r="G22" s="18">
        <f t="shared" si="1"/>
        <v>-0.40000000000009095</v>
      </c>
      <c r="H22" s="28" t="s">
        <v>129</v>
      </c>
      <c r="I22" s="7"/>
      <c r="J22" s="7"/>
    </row>
    <row r="23" spans="1:16" ht="18" customHeight="1" x14ac:dyDescent="0.25">
      <c r="A23" s="14">
        <f t="shared" si="0"/>
        <v>15</v>
      </c>
      <c r="B23" s="8"/>
      <c r="C23" s="46" t="s">
        <v>202</v>
      </c>
      <c r="D23" s="214" t="s">
        <v>19</v>
      </c>
      <c r="E23" s="32"/>
      <c r="F23" s="17"/>
      <c r="G23" s="18">
        <f t="shared" si="1"/>
        <v>-0.40000000000009095</v>
      </c>
      <c r="H23" s="28" t="s">
        <v>129</v>
      </c>
      <c r="I23" s="7"/>
      <c r="J23" s="7"/>
    </row>
    <row r="24" spans="1:16" ht="18" customHeight="1" x14ac:dyDescent="0.25">
      <c r="A24" s="14">
        <f t="shared" si="0"/>
        <v>16</v>
      </c>
      <c r="B24" s="8"/>
      <c r="C24" s="46" t="s">
        <v>202</v>
      </c>
      <c r="D24" s="214" t="s">
        <v>19</v>
      </c>
      <c r="E24" s="32"/>
      <c r="F24" s="17"/>
      <c r="G24" s="18">
        <f t="shared" si="1"/>
        <v>-0.40000000000009095</v>
      </c>
      <c r="H24" s="28" t="s">
        <v>91</v>
      </c>
      <c r="I24" s="7"/>
      <c r="J24" s="7"/>
      <c r="M24" t="s">
        <v>363</v>
      </c>
    </row>
    <row r="25" spans="1:16" ht="18" customHeight="1" x14ac:dyDescent="0.25">
      <c r="A25" s="14">
        <f t="shared" si="0"/>
        <v>17</v>
      </c>
      <c r="B25" s="8"/>
      <c r="C25" s="46" t="s">
        <v>202</v>
      </c>
      <c r="D25" s="214" t="s">
        <v>19</v>
      </c>
      <c r="E25" s="32"/>
      <c r="F25" s="17"/>
      <c r="G25" s="18">
        <f t="shared" si="1"/>
        <v>-0.40000000000009095</v>
      </c>
      <c r="H25" s="28" t="s">
        <v>91</v>
      </c>
      <c r="I25" s="7"/>
      <c r="J25" s="7"/>
    </row>
    <row r="26" spans="1:16" ht="18" customHeight="1" x14ac:dyDescent="0.25">
      <c r="A26" s="14">
        <f t="shared" si="0"/>
        <v>18</v>
      </c>
      <c r="B26" s="8"/>
      <c r="C26" s="46" t="s">
        <v>202</v>
      </c>
      <c r="D26" s="214" t="s">
        <v>19</v>
      </c>
      <c r="E26" s="32"/>
      <c r="F26" s="17"/>
      <c r="G26" s="18">
        <f t="shared" si="1"/>
        <v>-0.40000000000009095</v>
      </c>
      <c r="H26" s="28" t="s">
        <v>91</v>
      </c>
      <c r="I26" s="7"/>
      <c r="J26" s="7"/>
    </row>
    <row r="27" spans="1:16" ht="18" customHeight="1" x14ac:dyDescent="0.25">
      <c r="A27" s="14">
        <f>+A26+1</f>
        <v>19</v>
      </c>
      <c r="B27" s="8"/>
      <c r="C27" s="46" t="s">
        <v>202</v>
      </c>
      <c r="D27" s="214" t="s">
        <v>19</v>
      </c>
      <c r="E27" s="32"/>
      <c r="F27" s="17"/>
      <c r="G27" s="18">
        <f t="shared" si="1"/>
        <v>-0.40000000000009095</v>
      </c>
      <c r="H27" s="28" t="s">
        <v>91</v>
      </c>
      <c r="I27" s="7"/>
      <c r="J27" s="7"/>
    </row>
    <row r="28" spans="1:16" ht="18" customHeight="1" x14ac:dyDescent="0.25">
      <c r="A28" s="14">
        <f t="shared" si="0"/>
        <v>20</v>
      </c>
      <c r="B28" s="8"/>
      <c r="C28" s="46" t="s">
        <v>202</v>
      </c>
      <c r="D28" s="214" t="s">
        <v>19</v>
      </c>
      <c r="E28" s="129"/>
      <c r="F28" s="17"/>
      <c r="G28" s="18">
        <f t="shared" si="1"/>
        <v>-0.40000000000009095</v>
      </c>
      <c r="H28" s="28" t="s">
        <v>91</v>
      </c>
      <c r="I28" s="7"/>
      <c r="J28" s="7"/>
    </row>
    <row r="29" spans="1:16" ht="18" customHeight="1" x14ac:dyDescent="0.25">
      <c r="A29" s="14">
        <f t="shared" si="0"/>
        <v>21</v>
      </c>
      <c r="B29" s="8"/>
      <c r="C29" s="46" t="s">
        <v>202</v>
      </c>
      <c r="D29" s="214" t="s">
        <v>19</v>
      </c>
      <c r="E29" s="32"/>
      <c r="F29" s="172"/>
      <c r="G29" s="18">
        <f t="shared" si="1"/>
        <v>-0.40000000000009095</v>
      </c>
      <c r="H29" s="28" t="s">
        <v>91</v>
      </c>
      <c r="I29" s="7"/>
      <c r="J29" s="7"/>
    </row>
    <row r="30" spans="1:16" ht="18" customHeight="1" x14ac:dyDescent="0.25">
      <c r="A30" s="14">
        <f t="shared" si="0"/>
        <v>22</v>
      </c>
      <c r="B30" s="8"/>
      <c r="C30" s="46" t="s">
        <v>202</v>
      </c>
      <c r="D30" s="214" t="s">
        <v>19</v>
      </c>
      <c r="E30" s="32"/>
      <c r="F30" s="17"/>
      <c r="G30" s="18">
        <f t="shared" si="1"/>
        <v>-0.40000000000009095</v>
      </c>
      <c r="H30" s="28" t="s">
        <v>91</v>
      </c>
      <c r="I30" s="7"/>
      <c r="J30" s="7"/>
    </row>
    <row r="31" spans="1:16" ht="18" customHeight="1" x14ac:dyDescent="0.25">
      <c r="A31" s="14">
        <f t="shared" si="0"/>
        <v>23</v>
      </c>
      <c r="B31" s="8"/>
      <c r="C31" s="46" t="s">
        <v>202</v>
      </c>
      <c r="D31" s="214" t="s">
        <v>19</v>
      </c>
      <c r="E31" s="32"/>
      <c r="F31" s="17"/>
      <c r="G31" s="18">
        <f t="shared" si="1"/>
        <v>-0.40000000000009095</v>
      </c>
      <c r="H31" s="28" t="s">
        <v>91</v>
      </c>
      <c r="I31" s="7"/>
      <c r="J31" s="7"/>
    </row>
    <row r="32" spans="1:16" ht="17.25" customHeight="1" x14ac:dyDescent="0.25">
      <c r="A32" s="14">
        <f t="shared" si="0"/>
        <v>24</v>
      </c>
      <c r="B32" s="8"/>
      <c r="C32" s="46" t="s">
        <v>202</v>
      </c>
      <c r="D32" s="214" t="s">
        <v>19</v>
      </c>
      <c r="E32" s="13"/>
      <c r="F32" s="17"/>
      <c r="G32" s="18">
        <f t="shared" si="1"/>
        <v>-0.40000000000009095</v>
      </c>
      <c r="H32" s="28" t="s">
        <v>91</v>
      </c>
      <c r="I32" s="7"/>
      <c r="J32" s="7"/>
    </row>
    <row r="33" spans="1:16" ht="17.25" customHeight="1" x14ac:dyDescent="0.25">
      <c r="A33" s="14">
        <f t="shared" si="0"/>
        <v>25</v>
      </c>
      <c r="B33" s="44"/>
      <c r="C33" s="46" t="s">
        <v>202</v>
      </c>
      <c r="D33" s="214" t="s">
        <v>19</v>
      </c>
      <c r="E33" s="13"/>
      <c r="F33" s="17"/>
      <c r="G33" s="18">
        <f t="shared" si="1"/>
        <v>-0.40000000000009095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202</v>
      </c>
      <c r="D34" s="214" t="s">
        <v>19</v>
      </c>
      <c r="E34" s="32"/>
      <c r="F34" s="40"/>
      <c r="G34" s="18">
        <f t="shared" si="1"/>
        <v>-0.40000000000009095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202</v>
      </c>
      <c r="D35" s="214" t="s">
        <v>19</v>
      </c>
      <c r="E35" s="32"/>
      <c r="F35" s="40"/>
      <c r="G35" s="18">
        <f t="shared" si="1"/>
        <v>-0.40000000000009095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202</v>
      </c>
      <c r="D36" s="214" t="s">
        <v>19</v>
      </c>
      <c r="E36" s="32"/>
      <c r="F36" s="40"/>
      <c r="G36" s="18">
        <f t="shared" si="1"/>
        <v>-0.40000000000009095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202</v>
      </c>
      <c r="D37" s="214" t="s">
        <v>19</v>
      </c>
      <c r="E37" s="32"/>
      <c r="F37" s="17"/>
      <c r="G37" s="18">
        <f t="shared" si="1"/>
        <v>-0.40000000000009095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202</v>
      </c>
      <c r="D38" s="214" t="s">
        <v>19</v>
      </c>
      <c r="E38" s="32"/>
      <c r="F38" s="17"/>
      <c r="G38" s="18">
        <f t="shared" si="1"/>
        <v>-0.40000000000009095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202</v>
      </c>
      <c r="D39" s="214" t="s">
        <v>19</v>
      </c>
      <c r="E39" s="32"/>
      <c r="F39" s="17"/>
      <c r="G39" s="18">
        <f t="shared" si="1"/>
        <v>-0.40000000000009095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202</v>
      </c>
      <c r="D40" s="214" t="s">
        <v>19</v>
      </c>
      <c r="E40" s="32"/>
      <c r="F40" s="17"/>
      <c r="G40" s="18">
        <f t="shared" si="1"/>
        <v>-0.40000000000009095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202</v>
      </c>
      <c r="D41" s="214" t="s">
        <v>19</v>
      </c>
      <c r="E41" s="32"/>
      <c r="F41" s="172"/>
      <c r="G41" s="18">
        <f t="shared" si="1"/>
        <v>-0.40000000000009095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202</v>
      </c>
      <c r="D42" s="214" t="s">
        <v>19</v>
      </c>
      <c r="E42" s="32"/>
      <c r="F42" s="17"/>
      <c r="G42" s="18">
        <f t="shared" si="1"/>
        <v>-0.40000000000009095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202</v>
      </c>
      <c r="D43" s="214" t="s">
        <v>19</v>
      </c>
      <c r="E43" s="32"/>
      <c r="F43" s="17"/>
      <c r="G43" s="18">
        <f t="shared" si="1"/>
        <v>-0.40000000000009095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202</v>
      </c>
      <c r="D44" s="214" t="s">
        <v>19</v>
      </c>
      <c r="E44" s="32"/>
      <c r="F44" s="17"/>
      <c r="G44" s="18">
        <f t="shared" si="1"/>
        <v>-0.40000000000009095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202</v>
      </c>
      <c r="D45" s="214" t="s">
        <v>19</v>
      </c>
      <c r="E45" s="32"/>
      <c r="F45" s="17"/>
      <c r="G45" s="18">
        <f t="shared" si="1"/>
        <v>-0.40000000000009095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202</v>
      </c>
      <c r="D46" s="214" t="s">
        <v>19</v>
      </c>
      <c r="E46" s="32"/>
      <c r="F46" s="17"/>
      <c r="G46" s="18">
        <f t="shared" si="1"/>
        <v>-0.40000000000009095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202</v>
      </c>
      <c r="D47" s="214" t="s">
        <v>19</v>
      </c>
      <c r="E47" s="32"/>
      <c r="F47" s="17"/>
      <c r="G47" s="18">
        <f t="shared" si="1"/>
        <v>-0.40000000000009095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202</v>
      </c>
      <c r="D48" s="214" t="s">
        <v>19</v>
      </c>
      <c r="E48" s="32"/>
      <c r="F48" s="17"/>
      <c r="G48" s="18">
        <f t="shared" si="1"/>
        <v>-0.40000000000009095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202</v>
      </c>
      <c r="D49" s="214" t="s">
        <v>19</v>
      </c>
      <c r="E49" s="32"/>
      <c r="F49" s="17"/>
      <c r="G49" s="18">
        <f t="shared" si="1"/>
        <v>-0.40000000000009095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202</v>
      </c>
      <c r="D50" s="237" t="s">
        <v>19</v>
      </c>
      <c r="E50" s="175"/>
      <c r="F50" s="172"/>
      <c r="G50" s="238">
        <f t="shared" si="1"/>
        <v>-0.40000000000009095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202</v>
      </c>
      <c r="D51" s="214" t="s">
        <v>19</v>
      </c>
      <c r="E51" s="32"/>
      <c r="F51" s="17"/>
      <c r="G51" s="18">
        <f t="shared" si="1"/>
        <v>-0.40000000000009095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202</v>
      </c>
      <c r="D52" s="214" t="s">
        <v>19</v>
      </c>
      <c r="E52" s="32"/>
      <c r="F52" s="17"/>
      <c r="G52" s="18">
        <f t="shared" si="1"/>
        <v>-0.40000000000009095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202</v>
      </c>
      <c r="D53" s="214" t="s">
        <v>19</v>
      </c>
      <c r="E53" s="32"/>
      <c r="F53" s="17"/>
      <c r="G53" s="18">
        <f t="shared" si="1"/>
        <v>-0.40000000000009095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202</v>
      </c>
      <c r="D54" s="214" t="s">
        <v>19</v>
      </c>
      <c r="E54" s="32"/>
      <c r="F54" s="17"/>
      <c r="G54" s="18">
        <f t="shared" si="1"/>
        <v>-0.40000000000009095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202</v>
      </c>
      <c r="D55" s="214" t="s">
        <v>19</v>
      </c>
      <c r="E55" s="32"/>
      <c r="F55" s="17"/>
      <c r="G55" s="18">
        <f t="shared" si="1"/>
        <v>-0.40000000000009095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202</v>
      </c>
      <c r="D56" s="214" t="s">
        <v>19</v>
      </c>
      <c r="E56" s="32"/>
      <c r="F56" s="17"/>
      <c r="G56" s="18">
        <f t="shared" si="1"/>
        <v>-0.40000000000009095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202</v>
      </c>
      <c r="D57" s="214" t="s">
        <v>19</v>
      </c>
      <c r="E57" s="32"/>
      <c r="F57" s="17"/>
      <c r="G57" s="18">
        <f t="shared" si="1"/>
        <v>-0.40000000000009095</v>
      </c>
      <c r="H57" s="240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202</v>
      </c>
      <c r="D58" s="214" t="s">
        <v>19</v>
      </c>
      <c r="E58" s="32"/>
      <c r="F58" s="17"/>
      <c r="G58" s="18">
        <f t="shared" si="1"/>
        <v>-0.40000000000009095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202</v>
      </c>
      <c r="D59" s="214" t="s">
        <v>19</v>
      </c>
      <c r="E59" s="32"/>
      <c r="F59" s="17"/>
      <c r="G59" s="18">
        <f t="shared" si="1"/>
        <v>-0.40000000000009095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202</v>
      </c>
      <c r="D60" s="214" t="s">
        <v>19</v>
      </c>
      <c r="E60" s="32"/>
      <c r="F60" s="17"/>
      <c r="G60" s="18">
        <f t="shared" si="1"/>
        <v>-0.40000000000009095</v>
      </c>
      <c r="H60" s="240"/>
      <c r="I60" s="7"/>
      <c r="J60" s="7"/>
    </row>
    <row r="61" spans="1:16" ht="18" customHeight="1" x14ac:dyDescent="0.25">
      <c r="A61" s="14">
        <f t="shared" si="0"/>
        <v>53</v>
      </c>
      <c r="B61" s="8"/>
      <c r="C61" s="46" t="s">
        <v>202</v>
      </c>
      <c r="D61" s="214" t="s">
        <v>19</v>
      </c>
      <c r="E61" s="32"/>
      <c r="F61" s="17"/>
      <c r="G61" s="18">
        <f t="shared" si="1"/>
        <v>-0.40000000000009095</v>
      </c>
      <c r="H61" s="240"/>
      <c r="I61" s="7"/>
      <c r="J61" s="7"/>
    </row>
    <row r="62" spans="1:16" ht="18" customHeight="1" x14ac:dyDescent="0.25">
      <c r="A62" s="14">
        <f t="shared" si="0"/>
        <v>54</v>
      </c>
      <c r="B62" s="8"/>
      <c r="C62" s="46" t="s">
        <v>202</v>
      </c>
      <c r="D62" s="214" t="s">
        <v>19</v>
      </c>
      <c r="E62" s="32"/>
      <c r="F62" s="17"/>
      <c r="G62" s="18">
        <f t="shared" si="1"/>
        <v>-0.40000000000009095</v>
      </c>
      <c r="H62" s="240"/>
      <c r="I62" s="7"/>
      <c r="J62" s="7"/>
    </row>
    <row r="63" spans="1:16" ht="18" customHeight="1" x14ac:dyDescent="0.25">
      <c r="A63" s="14">
        <f t="shared" si="0"/>
        <v>55</v>
      </c>
      <c r="B63" s="8"/>
      <c r="C63" s="46" t="s">
        <v>202</v>
      </c>
      <c r="D63" s="214" t="s">
        <v>19</v>
      </c>
      <c r="E63" s="32"/>
      <c r="F63" s="17"/>
      <c r="G63" s="18">
        <f t="shared" si="1"/>
        <v>-0.40000000000009095</v>
      </c>
      <c r="H63" s="240"/>
      <c r="I63" s="7"/>
      <c r="J63" s="7"/>
    </row>
    <row r="64" spans="1:16" ht="18" customHeight="1" x14ac:dyDescent="0.25">
      <c r="A64" s="14">
        <f t="shared" si="0"/>
        <v>56</v>
      </c>
      <c r="B64" s="8"/>
      <c r="C64" s="46" t="s">
        <v>202</v>
      </c>
      <c r="D64" s="214" t="s">
        <v>19</v>
      </c>
      <c r="E64" s="32"/>
      <c r="F64" s="17"/>
      <c r="G64" s="18">
        <f t="shared" si="1"/>
        <v>-0.40000000000009095</v>
      </c>
      <c r="H64" s="240"/>
      <c r="I64" s="7"/>
      <c r="J64" s="7"/>
    </row>
    <row r="65" spans="1:10" ht="18" customHeight="1" x14ac:dyDescent="0.25">
      <c r="A65" s="14">
        <f t="shared" si="0"/>
        <v>57</v>
      </c>
      <c r="B65" s="8"/>
      <c r="C65" s="46" t="s">
        <v>202</v>
      </c>
      <c r="D65" s="214" t="s">
        <v>19</v>
      </c>
      <c r="E65" s="32"/>
      <c r="F65" s="17"/>
      <c r="G65" s="18">
        <f t="shared" si="1"/>
        <v>-0.40000000000009095</v>
      </c>
      <c r="H65" s="240"/>
      <c r="I65" s="7"/>
      <c r="J65" s="140"/>
    </row>
    <row r="66" spans="1:10" ht="18" customHeight="1" x14ac:dyDescent="0.25">
      <c r="A66" s="14">
        <f t="shared" si="0"/>
        <v>58</v>
      </c>
      <c r="B66" s="8"/>
      <c r="C66" s="46" t="s">
        <v>202</v>
      </c>
      <c r="D66" s="214" t="s">
        <v>19</v>
      </c>
      <c r="E66" s="32"/>
      <c r="F66" s="17"/>
      <c r="G66" s="18">
        <f t="shared" si="1"/>
        <v>-0.40000000000009095</v>
      </c>
      <c r="H66" s="240"/>
      <c r="I66" s="7"/>
      <c r="J66" s="7"/>
    </row>
    <row r="67" spans="1:10" ht="18" customHeight="1" x14ac:dyDescent="0.25">
      <c r="A67" s="14">
        <f t="shared" si="0"/>
        <v>59</v>
      </c>
      <c r="B67" s="8"/>
      <c r="C67" s="46" t="s">
        <v>202</v>
      </c>
      <c r="D67" s="214" t="s">
        <v>19</v>
      </c>
      <c r="E67" s="32"/>
      <c r="F67" s="17"/>
      <c r="G67" s="18">
        <f>+G66+E67-F67</f>
        <v>-0.40000000000009095</v>
      </c>
      <c r="H67" s="240"/>
      <c r="I67" s="7"/>
      <c r="J67" s="7"/>
    </row>
    <row r="68" spans="1:10" ht="18" customHeight="1" x14ac:dyDescent="0.25">
      <c r="A68" s="14">
        <f t="shared" si="0"/>
        <v>60</v>
      </c>
      <c r="B68" s="8"/>
      <c r="C68" s="46" t="s">
        <v>202</v>
      </c>
      <c r="D68" s="214" t="s">
        <v>19</v>
      </c>
      <c r="E68" s="32"/>
      <c r="F68" s="17"/>
      <c r="G68" s="18">
        <f>+G67+E68-F68</f>
        <v>-0.40000000000009095</v>
      </c>
      <c r="H68" s="240"/>
      <c r="I68" s="7"/>
      <c r="J68" s="7"/>
    </row>
    <row r="69" spans="1:10" ht="18" customHeight="1" x14ac:dyDescent="0.25">
      <c r="A69" s="14">
        <f t="shared" si="0"/>
        <v>61</v>
      </c>
      <c r="B69" s="8"/>
      <c r="C69" s="46" t="s">
        <v>202</v>
      </c>
      <c r="D69" s="214" t="s">
        <v>19</v>
      </c>
      <c r="E69" s="32"/>
      <c r="F69" s="17"/>
      <c r="G69" s="18">
        <f>+G68+E69-F69</f>
        <v>-0.40000000000009095</v>
      </c>
      <c r="H69" s="240"/>
      <c r="I69" s="7"/>
      <c r="J69" s="7"/>
    </row>
    <row r="70" spans="1:10" ht="18" customHeight="1" x14ac:dyDescent="0.25">
      <c r="A70" s="14">
        <f t="shared" si="0"/>
        <v>62</v>
      </c>
      <c r="B70" s="8"/>
      <c r="C70" s="46" t="s">
        <v>202</v>
      </c>
      <c r="D70" s="214" t="s">
        <v>19</v>
      </c>
      <c r="E70" s="32"/>
      <c r="F70" s="17"/>
      <c r="G70" s="18">
        <f t="shared" si="1"/>
        <v>-0.40000000000009095</v>
      </c>
      <c r="H70" s="240"/>
      <c r="I70" s="7"/>
      <c r="J70" s="7"/>
    </row>
    <row r="71" spans="1:10" ht="18" customHeight="1" x14ac:dyDescent="0.25">
      <c r="A71" s="14">
        <f t="shared" si="0"/>
        <v>63</v>
      </c>
      <c r="B71" s="8"/>
      <c r="C71" s="46" t="s">
        <v>202</v>
      </c>
      <c r="D71" s="214" t="s">
        <v>19</v>
      </c>
      <c r="E71" s="32"/>
      <c r="F71" s="17"/>
      <c r="G71" s="18">
        <f t="shared" si="1"/>
        <v>-0.40000000000009095</v>
      </c>
      <c r="H71" s="240"/>
      <c r="I71" s="7"/>
      <c r="J71" s="7"/>
    </row>
    <row r="72" spans="1:10" ht="18" customHeight="1" x14ac:dyDescent="0.25">
      <c r="A72" s="14">
        <f>+A71+1</f>
        <v>64</v>
      </c>
      <c r="B72" s="8"/>
      <c r="C72" s="46" t="s">
        <v>202</v>
      </c>
      <c r="D72" s="214" t="s">
        <v>19</v>
      </c>
      <c r="E72" s="32"/>
      <c r="F72" s="17"/>
      <c r="G72" s="18">
        <f t="shared" si="1"/>
        <v>-0.40000000000009095</v>
      </c>
      <c r="H72" s="240"/>
      <c r="I72" s="7"/>
      <c r="J72" s="7"/>
    </row>
    <row r="73" spans="1:10" ht="18" customHeight="1" x14ac:dyDescent="0.25">
      <c r="A73" s="14">
        <f t="shared" si="0"/>
        <v>65</v>
      </c>
      <c r="B73" s="8"/>
      <c r="C73" s="46" t="s">
        <v>202</v>
      </c>
      <c r="D73" s="214" t="s">
        <v>19</v>
      </c>
      <c r="E73" s="32"/>
      <c r="F73" s="17"/>
      <c r="G73" s="18">
        <f t="shared" si="1"/>
        <v>-0.40000000000009095</v>
      </c>
      <c r="H73" s="240"/>
      <c r="I73" s="7"/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202</v>
      </c>
      <c r="D74" s="214" t="s">
        <v>19</v>
      </c>
      <c r="E74" s="32"/>
      <c r="F74" s="17"/>
      <c r="G74" s="18">
        <f t="shared" ref="G74:G91" si="3">+G73+E74-F74</f>
        <v>-0.40000000000009095</v>
      </c>
      <c r="H74" s="240"/>
      <c r="I74" s="7"/>
      <c r="J74" s="7"/>
    </row>
    <row r="75" spans="1:10" ht="18" customHeight="1" x14ac:dyDescent="0.25">
      <c r="A75" s="14">
        <f t="shared" si="2"/>
        <v>67</v>
      </c>
      <c r="B75" s="8"/>
      <c r="C75" s="46" t="s">
        <v>202</v>
      </c>
      <c r="D75" s="214" t="s">
        <v>19</v>
      </c>
      <c r="E75" s="32"/>
      <c r="F75" s="17"/>
      <c r="G75" s="18">
        <f t="shared" si="3"/>
        <v>-0.40000000000009095</v>
      </c>
      <c r="H75" s="240"/>
      <c r="I75" s="7"/>
      <c r="J75" s="7"/>
    </row>
    <row r="76" spans="1:10" ht="18" customHeight="1" x14ac:dyDescent="0.25">
      <c r="A76" s="14">
        <f t="shared" si="2"/>
        <v>68</v>
      </c>
      <c r="B76" s="8"/>
      <c r="C76" s="46" t="s">
        <v>202</v>
      </c>
      <c r="D76" s="214" t="s">
        <v>19</v>
      </c>
      <c r="E76" s="32"/>
      <c r="F76" s="17"/>
      <c r="G76" s="18">
        <f t="shared" si="3"/>
        <v>-0.40000000000009095</v>
      </c>
      <c r="H76" s="240"/>
      <c r="I76" s="7"/>
      <c r="J76" s="7"/>
    </row>
    <row r="77" spans="1:10" ht="18" customHeight="1" x14ac:dyDescent="0.25">
      <c r="A77" s="14">
        <f t="shared" si="2"/>
        <v>69</v>
      </c>
      <c r="B77" s="8"/>
      <c r="C77" s="46" t="s">
        <v>202</v>
      </c>
      <c r="D77" s="214" t="s">
        <v>19</v>
      </c>
      <c r="E77" s="32"/>
      <c r="F77" s="17"/>
      <c r="G77" s="18">
        <f t="shared" si="3"/>
        <v>-0.40000000000009095</v>
      </c>
      <c r="H77" s="240"/>
      <c r="I77" s="7"/>
      <c r="J77" s="7"/>
    </row>
    <row r="78" spans="1:10" ht="18" customHeight="1" x14ac:dyDescent="0.25">
      <c r="A78" s="14">
        <f t="shared" si="2"/>
        <v>70</v>
      </c>
      <c r="B78" s="8"/>
      <c r="C78" s="46" t="s">
        <v>202</v>
      </c>
      <c r="D78" s="214" t="s">
        <v>19</v>
      </c>
      <c r="E78" s="32"/>
      <c r="F78" s="17"/>
      <c r="G78" s="18">
        <f t="shared" si="3"/>
        <v>-0.40000000000009095</v>
      </c>
      <c r="H78" s="240"/>
      <c r="I78" s="7"/>
      <c r="J78" s="7"/>
    </row>
    <row r="79" spans="1:10" ht="18" customHeight="1" x14ac:dyDescent="0.25">
      <c r="A79" s="14">
        <f t="shared" si="2"/>
        <v>71</v>
      </c>
      <c r="B79" s="8"/>
      <c r="C79" s="46" t="s">
        <v>202</v>
      </c>
      <c r="D79" s="214" t="s">
        <v>19</v>
      </c>
      <c r="E79" s="32"/>
      <c r="F79" s="17"/>
      <c r="G79" s="18">
        <f t="shared" si="3"/>
        <v>-0.40000000000009095</v>
      </c>
      <c r="H79" s="240"/>
      <c r="I79" s="7"/>
      <c r="J79" s="7"/>
    </row>
    <row r="80" spans="1:10" ht="18" customHeight="1" x14ac:dyDescent="0.25">
      <c r="A80" s="14">
        <f t="shared" si="2"/>
        <v>72</v>
      </c>
      <c r="B80" s="8"/>
      <c r="C80" s="46" t="s">
        <v>202</v>
      </c>
      <c r="D80" s="214" t="s">
        <v>19</v>
      </c>
      <c r="E80" s="32"/>
      <c r="F80" s="17"/>
      <c r="G80" s="18">
        <f t="shared" si="3"/>
        <v>-0.40000000000009095</v>
      </c>
      <c r="H80" s="240"/>
      <c r="I80" s="7"/>
      <c r="J80" s="7"/>
    </row>
    <row r="81" spans="1:17" ht="18" customHeight="1" x14ac:dyDescent="0.25">
      <c r="A81" s="14">
        <f t="shared" si="2"/>
        <v>73</v>
      </c>
      <c r="B81" s="8"/>
      <c r="C81" s="46" t="s">
        <v>202</v>
      </c>
      <c r="D81" s="214" t="s">
        <v>19</v>
      </c>
      <c r="E81" s="32"/>
      <c r="F81" s="17"/>
      <c r="G81" s="18">
        <f t="shared" si="3"/>
        <v>-0.40000000000009095</v>
      </c>
      <c r="H81" s="240"/>
      <c r="I81" s="7"/>
      <c r="J81" s="7"/>
    </row>
    <row r="82" spans="1:17" ht="18" customHeight="1" x14ac:dyDescent="0.25">
      <c r="A82" s="14">
        <f t="shared" si="2"/>
        <v>74</v>
      </c>
      <c r="B82" s="8"/>
      <c r="C82" s="46" t="s">
        <v>202</v>
      </c>
      <c r="D82" s="214" t="s">
        <v>19</v>
      </c>
      <c r="E82" s="32"/>
      <c r="F82" s="17"/>
      <c r="G82" s="18">
        <f t="shared" si="3"/>
        <v>-0.40000000000009095</v>
      </c>
      <c r="H82" s="240"/>
      <c r="I82" s="7"/>
      <c r="J82" s="7"/>
    </row>
    <row r="83" spans="1:17" ht="18" customHeight="1" x14ac:dyDescent="0.25">
      <c r="A83" s="14">
        <f t="shared" si="2"/>
        <v>75</v>
      </c>
      <c r="B83" s="8"/>
      <c r="C83" s="46" t="s">
        <v>202</v>
      </c>
      <c r="D83" s="214" t="s">
        <v>19</v>
      </c>
      <c r="E83" s="32"/>
      <c r="F83" s="27"/>
      <c r="G83" s="18">
        <f t="shared" si="3"/>
        <v>-0.40000000000009095</v>
      </c>
      <c r="H83" s="240"/>
      <c r="I83" s="7"/>
      <c r="J83" s="7"/>
    </row>
    <row r="84" spans="1:17" ht="18" customHeight="1" x14ac:dyDescent="0.25">
      <c r="A84" s="14">
        <f t="shared" si="2"/>
        <v>76</v>
      </c>
      <c r="B84" s="8"/>
      <c r="C84" s="46" t="s">
        <v>202</v>
      </c>
      <c r="D84" s="214" t="s">
        <v>19</v>
      </c>
      <c r="E84" s="32"/>
      <c r="F84" s="17"/>
      <c r="G84" s="18">
        <f t="shared" si="3"/>
        <v>-0.40000000000009095</v>
      </c>
      <c r="H84" s="240"/>
      <c r="I84" s="7"/>
      <c r="J84" s="7"/>
    </row>
    <row r="85" spans="1:17" ht="18" customHeight="1" x14ac:dyDescent="0.25">
      <c r="A85" s="14">
        <f t="shared" si="2"/>
        <v>77</v>
      </c>
      <c r="B85" s="8"/>
      <c r="C85" s="46" t="s">
        <v>202</v>
      </c>
      <c r="D85" s="214" t="s">
        <v>19</v>
      </c>
      <c r="E85" s="32"/>
      <c r="F85" s="17"/>
      <c r="G85" s="18">
        <f t="shared" si="3"/>
        <v>-0.40000000000009095</v>
      </c>
      <c r="H85" s="240"/>
      <c r="I85" s="7"/>
      <c r="J85" s="7"/>
    </row>
    <row r="86" spans="1:17" ht="18" customHeight="1" x14ac:dyDescent="0.25">
      <c r="A86" s="14">
        <f t="shared" si="2"/>
        <v>78</v>
      </c>
      <c r="B86" s="8"/>
      <c r="C86" s="46" t="s">
        <v>202</v>
      </c>
      <c r="D86" s="214" t="s">
        <v>19</v>
      </c>
      <c r="E86" s="32"/>
      <c r="F86" s="17"/>
      <c r="G86" s="18">
        <f t="shared" si="3"/>
        <v>-0.40000000000009095</v>
      </c>
      <c r="H86" s="240"/>
      <c r="I86" s="7"/>
      <c r="J86" s="7"/>
    </row>
    <row r="87" spans="1:17" ht="18" customHeight="1" x14ac:dyDescent="0.25">
      <c r="A87" s="14">
        <f t="shared" si="2"/>
        <v>79</v>
      </c>
      <c r="B87" s="8"/>
      <c r="C87" s="46" t="s">
        <v>202</v>
      </c>
      <c r="D87" s="214" t="s">
        <v>19</v>
      </c>
      <c r="E87" s="32"/>
      <c r="F87" s="17"/>
      <c r="G87" s="18">
        <f t="shared" si="3"/>
        <v>-0.40000000000009095</v>
      </c>
      <c r="H87" s="240"/>
      <c r="I87" s="7"/>
      <c r="J87" s="7"/>
    </row>
    <row r="88" spans="1:17" ht="18" customHeight="1" x14ac:dyDescent="0.25">
      <c r="A88" s="14">
        <f t="shared" si="2"/>
        <v>80</v>
      </c>
      <c r="B88" s="8"/>
      <c r="C88" s="46" t="s">
        <v>202</v>
      </c>
      <c r="D88" s="214" t="s">
        <v>19</v>
      </c>
      <c r="E88" s="32"/>
      <c r="F88" s="17"/>
      <c r="G88" s="18">
        <f t="shared" si="3"/>
        <v>-0.40000000000009095</v>
      </c>
      <c r="H88" s="240"/>
      <c r="I88" s="7"/>
      <c r="J88" s="7"/>
    </row>
    <row r="89" spans="1:17" ht="18" customHeight="1" x14ac:dyDescent="0.25">
      <c r="A89" s="14">
        <f t="shared" si="2"/>
        <v>81</v>
      </c>
      <c r="B89" s="8"/>
      <c r="C89" s="46" t="s">
        <v>202</v>
      </c>
      <c r="D89" s="214" t="s">
        <v>19</v>
      </c>
      <c r="E89" s="32"/>
      <c r="F89" s="17"/>
      <c r="G89" s="18">
        <f t="shared" si="3"/>
        <v>-0.40000000000009095</v>
      </c>
      <c r="H89" s="240"/>
      <c r="I89" s="7"/>
      <c r="J89" s="7"/>
    </row>
    <row r="90" spans="1:17" ht="18" customHeight="1" x14ac:dyDescent="0.25">
      <c r="A90" s="14">
        <f t="shared" si="2"/>
        <v>82</v>
      </c>
      <c r="B90" s="8"/>
      <c r="C90" s="46" t="s">
        <v>202</v>
      </c>
      <c r="D90" s="214" t="s">
        <v>19</v>
      </c>
      <c r="E90" s="32"/>
      <c r="F90" s="17"/>
      <c r="G90" s="18">
        <f t="shared" si="3"/>
        <v>-0.40000000000009095</v>
      </c>
      <c r="H90" s="240"/>
      <c r="I90" s="7"/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202</v>
      </c>
      <c r="D91" s="214" t="s">
        <v>19</v>
      </c>
      <c r="E91" s="32"/>
      <c r="F91" s="27"/>
      <c r="G91" s="18">
        <f t="shared" si="3"/>
        <v>-0.40000000000009095</v>
      </c>
      <c r="H91" s="240"/>
      <c r="I91" s="7"/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202</v>
      </c>
      <c r="D92" s="214" t="s">
        <v>19</v>
      </c>
      <c r="E92" s="32"/>
      <c r="F92" s="27"/>
      <c r="G92" s="18">
        <f>+G91+E92-F92</f>
        <v>-0.40000000000009095</v>
      </c>
      <c r="H92" s="240"/>
      <c r="I92" s="7"/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202</v>
      </c>
      <c r="D93" s="244" t="s">
        <v>19</v>
      </c>
      <c r="E93" s="245"/>
      <c r="F93" s="52"/>
      <c r="G93" s="246">
        <f>+G92+E93-F93</f>
        <v>-0.40000000000009095</v>
      </c>
      <c r="H93" s="240"/>
      <c r="I93" s="247"/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202</v>
      </c>
      <c r="D94" s="244" t="s">
        <v>19</v>
      </c>
      <c r="E94" s="245"/>
      <c r="F94" s="52"/>
      <c r="G94" s="246">
        <f t="shared" ref="G94:G106" si="4">+G93+E94-F94</f>
        <v>-0.40000000000009095</v>
      </c>
      <c r="H94" s="240"/>
      <c r="I94" s="247"/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202</v>
      </c>
      <c r="D95" s="244" t="s">
        <v>19</v>
      </c>
      <c r="E95" s="245"/>
      <c r="F95" s="52"/>
      <c r="G95" s="246">
        <f t="shared" si="4"/>
        <v>-0.40000000000009095</v>
      </c>
      <c r="H95" s="240"/>
      <c r="I95" s="247"/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202</v>
      </c>
      <c r="D96" s="244" t="s">
        <v>19</v>
      </c>
      <c r="E96" s="245"/>
      <c r="F96" s="52"/>
      <c r="G96" s="246">
        <f t="shared" si="4"/>
        <v>-0.40000000000009095</v>
      </c>
      <c r="H96" s="240"/>
      <c r="I96" s="247"/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202</v>
      </c>
      <c r="D97" s="244" t="s">
        <v>19</v>
      </c>
      <c r="E97" s="245"/>
      <c r="F97" s="52"/>
      <c r="G97" s="246">
        <f t="shared" si="4"/>
        <v>-0.40000000000009095</v>
      </c>
      <c r="H97" s="240"/>
      <c r="I97" s="247"/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202</v>
      </c>
      <c r="D98" s="244" t="s">
        <v>19</v>
      </c>
      <c r="E98" s="245"/>
      <c r="F98" s="52"/>
      <c r="G98" s="246">
        <f t="shared" si="4"/>
        <v>-0.40000000000009095</v>
      </c>
      <c r="H98" s="240"/>
      <c r="I98" s="247"/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202</v>
      </c>
      <c r="D99" s="244" t="s">
        <v>19</v>
      </c>
      <c r="E99" s="245"/>
      <c r="F99" s="52"/>
      <c r="G99" s="246">
        <f t="shared" si="4"/>
        <v>-0.40000000000009095</v>
      </c>
      <c r="H99" s="240"/>
      <c r="I99" s="247"/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202</v>
      </c>
      <c r="D100" s="244" t="s">
        <v>19</v>
      </c>
      <c r="E100" s="245"/>
      <c r="F100" s="52"/>
      <c r="G100" s="246">
        <f t="shared" si="4"/>
        <v>-0.40000000000009095</v>
      </c>
      <c r="H100" s="240"/>
      <c r="I100" s="247"/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-0.40000000000009095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-0.40000000000009095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-0.40000000000009095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-0.40000000000009095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-0.40000000000009095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-0.40000000000009095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-0.40000000000009095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2850.4</v>
      </c>
      <c r="G108" s="35">
        <f>+E108-F108+G8</f>
        <v>-0.40000000000009095</v>
      </c>
      <c r="H108" s="35"/>
      <c r="I108" s="36"/>
      <c r="J108" s="7">
        <f>SUM(J9:J107)</f>
        <v>0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B94B-7199-4B99-927F-AA68BBB94220}">
  <sheetPr codeName="Sheet81"/>
  <dimension ref="A1:Q119"/>
  <sheetViews>
    <sheetView topLeftCell="A82" workbookViewId="0">
      <selection activeCell="F17" sqref="F17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style="149" customWidth="1"/>
    <col min="7" max="7" width="11.7109375" style="149" customWidth="1"/>
    <col min="8" max="8" width="17.42578125" customWidth="1"/>
    <col min="9" max="9" width="14.85546875" customWidth="1"/>
    <col min="10" max="10" width="1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t="s">
        <v>162</v>
      </c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150" t="s">
        <v>7</v>
      </c>
      <c r="G7" s="150" t="s">
        <v>8</v>
      </c>
      <c r="H7" s="6" t="s">
        <v>9</v>
      </c>
      <c r="I7" s="4" t="s">
        <v>10</v>
      </c>
      <c r="J7" s="4" t="s">
        <v>172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51"/>
      <c r="G8" s="378">
        <v>3005.3</v>
      </c>
      <c r="H8" s="7"/>
      <c r="I8" s="7"/>
      <c r="J8" s="7"/>
    </row>
    <row r="9" spans="1:10" ht="17.25" customHeight="1" x14ac:dyDescent="0.25">
      <c r="A9" s="14">
        <v>1</v>
      </c>
      <c r="B9" s="8">
        <v>45663</v>
      </c>
      <c r="C9" s="46" t="s">
        <v>171</v>
      </c>
      <c r="D9" s="214" t="s">
        <v>19</v>
      </c>
      <c r="E9" s="30"/>
      <c r="F9" s="119">
        <v>769.1</v>
      </c>
      <c r="G9" s="377">
        <f>+G8+E9-F9</f>
        <v>2236.2000000000003</v>
      </c>
      <c r="H9" s="28"/>
      <c r="I9" s="7" t="s">
        <v>90</v>
      </c>
      <c r="J9" s="7"/>
    </row>
    <row r="10" spans="1:10" ht="17.25" customHeight="1" x14ac:dyDescent="0.25">
      <c r="A10" s="14">
        <f t="shared" ref="A10:A74" si="0">+A9+1</f>
        <v>2</v>
      </c>
      <c r="B10" s="8">
        <v>45695</v>
      </c>
      <c r="C10" s="46" t="s">
        <v>171</v>
      </c>
      <c r="D10" s="214" t="s">
        <v>19</v>
      </c>
      <c r="E10" s="30"/>
      <c r="F10" s="119">
        <v>746.8</v>
      </c>
      <c r="G10" s="377">
        <f t="shared" ref="G10:G73" si="1">+G9+E10-F10</f>
        <v>1489.4000000000003</v>
      </c>
      <c r="H10" s="28"/>
      <c r="I10" s="7" t="s">
        <v>90</v>
      </c>
      <c r="J10" s="7"/>
    </row>
    <row r="11" spans="1:10" ht="18" customHeight="1" x14ac:dyDescent="0.25">
      <c r="A11" s="14">
        <f t="shared" si="0"/>
        <v>3</v>
      </c>
      <c r="B11" s="8">
        <v>45696</v>
      </c>
      <c r="C11" s="46" t="s">
        <v>171</v>
      </c>
      <c r="D11" s="214" t="s">
        <v>19</v>
      </c>
      <c r="E11" s="16">
        <v>5752.1</v>
      </c>
      <c r="F11" s="119"/>
      <c r="G11" s="377">
        <f t="shared" si="1"/>
        <v>7241.5000000000009</v>
      </c>
      <c r="H11" s="28"/>
      <c r="I11" s="7"/>
      <c r="J11" s="140">
        <v>18</v>
      </c>
    </row>
    <row r="12" spans="1:10" ht="18" customHeight="1" x14ac:dyDescent="0.25">
      <c r="A12" s="14">
        <f t="shared" si="0"/>
        <v>4</v>
      </c>
      <c r="B12" s="8">
        <v>45696</v>
      </c>
      <c r="C12" s="46" t="s">
        <v>171</v>
      </c>
      <c r="D12" s="214" t="s">
        <v>19</v>
      </c>
      <c r="E12" s="16">
        <v>530.29999999999995</v>
      </c>
      <c r="F12" s="152"/>
      <c r="G12" s="377">
        <f t="shared" si="1"/>
        <v>7771.8000000000011</v>
      </c>
      <c r="H12" s="28" t="s">
        <v>129</v>
      </c>
      <c r="I12" s="7" t="s">
        <v>90</v>
      </c>
      <c r="J12" s="140">
        <v>2</v>
      </c>
    </row>
    <row r="13" spans="1:10" ht="18" customHeight="1" x14ac:dyDescent="0.25">
      <c r="A13" s="14">
        <f t="shared" si="0"/>
        <v>5</v>
      </c>
      <c r="B13" s="205">
        <v>45757</v>
      </c>
      <c r="C13" s="46" t="s">
        <v>171</v>
      </c>
      <c r="D13" s="214" t="s">
        <v>19</v>
      </c>
      <c r="E13" s="16"/>
      <c r="F13" s="152">
        <v>530.29999999999995</v>
      </c>
      <c r="G13" s="377">
        <f t="shared" si="1"/>
        <v>7241.5000000000009</v>
      </c>
      <c r="H13" s="28" t="s">
        <v>129</v>
      </c>
      <c r="I13" s="7" t="s">
        <v>90</v>
      </c>
      <c r="J13" s="140"/>
    </row>
    <row r="14" spans="1:10" ht="18" customHeight="1" x14ac:dyDescent="0.25">
      <c r="A14" s="14">
        <f t="shared" si="0"/>
        <v>6</v>
      </c>
      <c r="B14" s="8">
        <v>45762</v>
      </c>
      <c r="C14" s="46" t="s">
        <v>171</v>
      </c>
      <c r="D14" s="214" t="s">
        <v>19</v>
      </c>
      <c r="E14" s="16"/>
      <c r="F14" s="119">
        <v>641.70000000000005</v>
      </c>
      <c r="G14" s="377">
        <f t="shared" si="1"/>
        <v>6599.8000000000011</v>
      </c>
      <c r="H14" s="28" t="s">
        <v>91</v>
      </c>
      <c r="I14" s="7" t="s">
        <v>90</v>
      </c>
      <c r="J14" s="7"/>
    </row>
    <row r="15" spans="1:10" ht="18" customHeight="1" x14ac:dyDescent="0.25">
      <c r="A15" s="14"/>
      <c r="B15" s="8">
        <v>45804</v>
      </c>
      <c r="C15" s="46" t="s">
        <v>171</v>
      </c>
      <c r="D15" s="214"/>
      <c r="E15" s="16"/>
      <c r="F15" s="119">
        <v>746.4</v>
      </c>
      <c r="G15" s="377">
        <f t="shared" si="1"/>
        <v>5853.4000000000015</v>
      </c>
      <c r="H15" s="28" t="s">
        <v>91</v>
      </c>
      <c r="I15" s="7" t="s">
        <v>90</v>
      </c>
      <c r="J15" s="7"/>
    </row>
    <row r="16" spans="1:10" ht="18" customHeight="1" x14ac:dyDescent="0.25">
      <c r="A16" s="14">
        <f>+A14+1</f>
        <v>7</v>
      </c>
      <c r="B16" s="8">
        <v>45895</v>
      </c>
      <c r="C16" s="46" t="s">
        <v>171</v>
      </c>
      <c r="D16" s="214" t="s">
        <v>19</v>
      </c>
      <c r="E16" s="16"/>
      <c r="F16" s="119">
        <v>1282.8</v>
      </c>
      <c r="G16" s="377">
        <f t="shared" si="1"/>
        <v>4570.6000000000013</v>
      </c>
      <c r="H16" s="28" t="s">
        <v>91</v>
      </c>
      <c r="I16" s="7" t="s">
        <v>90</v>
      </c>
      <c r="J16" s="140"/>
    </row>
    <row r="17" spans="1:14" ht="18" customHeight="1" x14ac:dyDescent="0.25">
      <c r="A17" s="14">
        <f t="shared" si="0"/>
        <v>8</v>
      </c>
      <c r="B17" s="8">
        <v>45939</v>
      </c>
      <c r="C17" s="46" t="s">
        <v>171</v>
      </c>
      <c r="D17" s="214" t="s">
        <v>19</v>
      </c>
      <c r="E17" s="16"/>
      <c r="F17" s="119">
        <v>643.4</v>
      </c>
      <c r="G17" s="377">
        <f t="shared" si="1"/>
        <v>3927.2000000000012</v>
      </c>
      <c r="H17" s="28" t="s">
        <v>91</v>
      </c>
      <c r="I17" s="7" t="s">
        <v>90</v>
      </c>
      <c r="J17" s="7"/>
    </row>
    <row r="18" spans="1:14" ht="18" customHeight="1" x14ac:dyDescent="0.25">
      <c r="A18" s="14">
        <f t="shared" si="0"/>
        <v>9</v>
      </c>
      <c r="B18" s="8"/>
      <c r="C18" s="46" t="s">
        <v>171</v>
      </c>
      <c r="D18" s="214" t="s">
        <v>19</v>
      </c>
      <c r="E18" s="30"/>
      <c r="F18" s="119"/>
      <c r="G18" s="377">
        <f t="shared" si="1"/>
        <v>3927.2000000000012</v>
      </c>
      <c r="H18" s="28" t="s">
        <v>91</v>
      </c>
      <c r="I18" s="7" t="s">
        <v>90</v>
      </c>
      <c r="J18" s="7"/>
    </row>
    <row r="19" spans="1:14" s="230" customFormat="1" ht="18" customHeight="1" x14ac:dyDescent="0.25">
      <c r="A19" s="14">
        <f t="shared" si="0"/>
        <v>10</v>
      </c>
      <c r="B19" s="224"/>
      <c r="C19" s="46" t="s">
        <v>171</v>
      </c>
      <c r="D19" s="226" t="s">
        <v>19</v>
      </c>
      <c r="E19" s="227"/>
      <c r="F19" s="379"/>
      <c r="G19" s="391">
        <f t="shared" si="1"/>
        <v>3927.2000000000012</v>
      </c>
      <c r="H19" s="28" t="s">
        <v>91</v>
      </c>
      <c r="I19" s="7" t="s">
        <v>290</v>
      </c>
      <c r="J19" s="348"/>
    </row>
    <row r="20" spans="1:14" s="230" customFormat="1" ht="18" customHeight="1" x14ac:dyDescent="0.25">
      <c r="A20" s="14">
        <f t="shared" si="0"/>
        <v>11</v>
      </c>
      <c r="B20" s="224"/>
      <c r="C20" s="46" t="s">
        <v>171</v>
      </c>
      <c r="D20" s="226" t="s">
        <v>19</v>
      </c>
      <c r="E20" s="231"/>
      <c r="F20" s="379"/>
      <c r="G20" s="377">
        <f t="shared" si="1"/>
        <v>3927.2000000000012</v>
      </c>
      <c r="H20" s="28" t="s">
        <v>91</v>
      </c>
      <c r="I20" s="7" t="s">
        <v>290</v>
      </c>
      <c r="J20" s="348"/>
    </row>
    <row r="21" spans="1:14" ht="18" customHeight="1" x14ac:dyDescent="0.25">
      <c r="A21" s="14">
        <f t="shared" si="0"/>
        <v>12</v>
      </c>
      <c r="B21" s="8"/>
      <c r="C21" s="46" t="s">
        <v>171</v>
      </c>
      <c r="D21" s="214" t="s">
        <v>19</v>
      </c>
      <c r="E21" s="32"/>
      <c r="F21" s="152"/>
      <c r="G21" s="377">
        <f t="shared" si="1"/>
        <v>3927.2000000000012</v>
      </c>
      <c r="H21" s="28" t="s">
        <v>91</v>
      </c>
      <c r="I21" s="7" t="s">
        <v>90</v>
      </c>
      <c r="J21" s="7"/>
      <c r="L21" s="149"/>
      <c r="N21" s="26"/>
    </row>
    <row r="22" spans="1:14" ht="18" customHeight="1" x14ac:dyDescent="0.25">
      <c r="A22" s="14">
        <f t="shared" si="0"/>
        <v>13</v>
      </c>
      <c r="B22" s="8"/>
      <c r="C22" s="46" t="s">
        <v>171</v>
      </c>
      <c r="D22" s="214" t="s">
        <v>19</v>
      </c>
      <c r="E22" s="32"/>
      <c r="F22" s="119"/>
      <c r="G22" s="377">
        <f t="shared" si="1"/>
        <v>3927.2000000000012</v>
      </c>
      <c r="H22" s="28" t="s">
        <v>91</v>
      </c>
      <c r="I22" s="7" t="s">
        <v>289</v>
      </c>
      <c r="J22" s="7"/>
    </row>
    <row r="23" spans="1:14" ht="18" customHeight="1" x14ac:dyDescent="0.25">
      <c r="A23" s="14">
        <f t="shared" si="0"/>
        <v>14</v>
      </c>
      <c r="B23" s="232"/>
      <c r="C23" s="46" t="s">
        <v>171</v>
      </c>
      <c r="D23" s="234" t="s">
        <v>19</v>
      </c>
      <c r="E23" s="235"/>
      <c r="F23" s="155"/>
      <c r="G23" s="377">
        <f t="shared" si="1"/>
        <v>3927.2000000000012</v>
      </c>
      <c r="H23" s="28" t="s">
        <v>129</v>
      </c>
      <c r="I23" s="7" t="s">
        <v>289</v>
      </c>
      <c r="J23" s="7"/>
    </row>
    <row r="24" spans="1:14" ht="18" customHeight="1" x14ac:dyDescent="0.25">
      <c r="A24" s="14">
        <f t="shared" si="0"/>
        <v>15</v>
      </c>
      <c r="B24" s="8"/>
      <c r="C24" s="46" t="s">
        <v>171</v>
      </c>
      <c r="D24" s="214" t="s">
        <v>19</v>
      </c>
      <c r="E24" s="32"/>
      <c r="F24" s="152"/>
      <c r="G24" s="377">
        <f t="shared" si="1"/>
        <v>3927.2000000000012</v>
      </c>
      <c r="H24" s="28" t="s">
        <v>129</v>
      </c>
      <c r="I24" s="7" t="s">
        <v>142</v>
      </c>
      <c r="J24" s="7"/>
    </row>
    <row r="25" spans="1:14" ht="18" customHeight="1" x14ac:dyDescent="0.25">
      <c r="A25" s="14">
        <f t="shared" si="0"/>
        <v>16</v>
      </c>
      <c r="B25" s="8"/>
      <c r="C25" s="46" t="s">
        <v>171</v>
      </c>
      <c r="D25" s="214" t="s">
        <v>19</v>
      </c>
      <c r="E25" s="32"/>
      <c r="F25" s="152"/>
      <c r="G25" s="377">
        <f t="shared" si="1"/>
        <v>3927.2000000000012</v>
      </c>
      <c r="H25" s="28" t="s">
        <v>91</v>
      </c>
      <c r="I25" s="7" t="s">
        <v>90</v>
      </c>
      <c r="J25" s="7"/>
    </row>
    <row r="26" spans="1:14" ht="18" customHeight="1" x14ac:dyDescent="0.25">
      <c r="A26" s="14">
        <f t="shared" si="0"/>
        <v>17</v>
      </c>
      <c r="B26" s="8"/>
      <c r="C26" s="46" t="s">
        <v>171</v>
      </c>
      <c r="D26" s="214" t="s">
        <v>19</v>
      </c>
      <c r="E26" s="32"/>
      <c r="F26" s="152"/>
      <c r="G26" s="377">
        <f t="shared" si="1"/>
        <v>3927.2000000000012</v>
      </c>
      <c r="H26" s="28" t="s">
        <v>91</v>
      </c>
      <c r="I26" s="7" t="s">
        <v>90</v>
      </c>
      <c r="J26" s="7"/>
    </row>
    <row r="27" spans="1:14" ht="18" customHeight="1" x14ac:dyDescent="0.25">
      <c r="A27" s="14">
        <f t="shared" si="0"/>
        <v>18</v>
      </c>
      <c r="B27" s="8"/>
      <c r="C27" s="46" t="s">
        <v>171</v>
      </c>
      <c r="D27" s="214" t="s">
        <v>19</v>
      </c>
      <c r="E27" s="32"/>
      <c r="F27" s="152"/>
      <c r="G27" s="377">
        <f t="shared" si="1"/>
        <v>3927.2000000000012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19</v>
      </c>
      <c r="B28" s="8"/>
      <c r="C28" s="46" t="s">
        <v>171</v>
      </c>
      <c r="D28" s="214" t="s">
        <v>19</v>
      </c>
      <c r="E28" s="32"/>
      <c r="F28" s="152"/>
      <c r="G28" s="377">
        <f t="shared" si="1"/>
        <v>3927.2000000000012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20</v>
      </c>
      <c r="B29" s="8"/>
      <c r="C29" s="46" t="s">
        <v>171</v>
      </c>
      <c r="D29" s="214" t="s">
        <v>19</v>
      </c>
      <c r="E29" s="129"/>
      <c r="F29" s="152"/>
      <c r="G29" s="377">
        <f t="shared" si="1"/>
        <v>3927.2000000000012</v>
      </c>
      <c r="H29" s="28" t="s">
        <v>91</v>
      </c>
      <c r="I29" s="7" t="s">
        <v>90</v>
      </c>
      <c r="J29" s="7"/>
    </row>
    <row r="30" spans="1:14" ht="18" customHeight="1" x14ac:dyDescent="0.25">
      <c r="A30" s="14">
        <f t="shared" si="0"/>
        <v>21</v>
      </c>
      <c r="B30" s="8"/>
      <c r="C30" s="46" t="s">
        <v>171</v>
      </c>
      <c r="D30" s="214" t="s">
        <v>19</v>
      </c>
      <c r="E30" s="32"/>
      <c r="F30" s="155"/>
      <c r="G30" s="377">
        <f t="shared" si="1"/>
        <v>3927.2000000000012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22</v>
      </c>
      <c r="B31" s="8"/>
      <c r="C31" s="46" t="s">
        <v>171</v>
      </c>
      <c r="D31" s="214" t="s">
        <v>19</v>
      </c>
      <c r="E31" s="32"/>
      <c r="F31" s="152"/>
      <c r="G31" s="377">
        <f t="shared" si="1"/>
        <v>3927.2000000000012</v>
      </c>
      <c r="H31" s="28" t="s">
        <v>91</v>
      </c>
      <c r="I31" s="7" t="s">
        <v>90</v>
      </c>
      <c r="J31" s="7"/>
    </row>
    <row r="32" spans="1:14" ht="18" customHeight="1" x14ac:dyDescent="0.25">
      <c r="A32" s="14">
        <f t="shared" si="0"/>
        <v>23</v>
      </c>
      <c r="B32" s="8"/>
      <c r="C32" s="46" t="s">
        <v>171</v>
      </c>
      <c r="D32" s="214" t="s">
        <v>19</v>
      </c>
      <c r="E32" s="32"/>
      <c r="F32" s="152"/>
      <c r="G32" s="377">
        <f t="shared" si="1"/>
        <v>3927.2000000000012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24</v>
      </c>
      <c r="B33" s="8"/>
      <c r="C33" s="46" t="s">
        <v>171</v>
      </c>
      <c r="D33" s="214" t="s">
        <v>19</v>
      </c>
      <c r="E33" s="13"/>
      <c r="F33" s="152"/>
      <c r="G33" s="377">
        <f t="shared" si="1"/>
        <v>3927.2000000000012</v>
      </c>
      <c r="H33" s="28" t="s">
        <v>91</v>
      </c>
      <c r="I33" s="7" t="s">
        <v>90</v>
      </c>
      <c r="J33" s="7"/>
    </row>
    <row r="34" spans="1:16" ht="17.25" customHeight="1" x14ac:dyDescent="0.25">
      <c r="A34" s="14">
        <f t="shared" si="0"/>
        <v>25</v>
      </c>
      <c r="B34" s="44"/>
      <c r="C34" s="46" t="s">
        <v>171</v>
      </c>
      <c r="D34" s="214" t="s">
        <v>19</v>
      </c>
      <c r="E34" s="13"/>
      <c r="F34" s="152"/>
      <c r="G34" s="377">
        <f t="shared" si="1"/>
        <v>3927.2000000000012</v>
      </c>
      <c r="H34" s="178"/>
      <c r="I34" s="7"/>
      <c r="J34" s="7"/>
    </row>
    <row r="35" spans="1:16" ht="18" customHeight="1" x14ac:dyDescent="0.25">
      <c r="A35" s="14">
        <f t="shared" si="0"/>
        <v>26</v>
      </c>
      <c r="B35" s="8"/>
      <c r="C35" s="46" t="s">
        <v>171</v>
      </c>
      <c r="D35" s="214" t="s">
        <v>19</v>
      </c>
      <c r="E35" s="32"/>
      <c r="F35" s="380"/>
      <c r="G35" s="377">
        <f t="shared" si="1"/>
        <v>3927.2000000000012</v>
      </c>
      <c r="H35" s="178"/>
      <c r="I35" s="7"/>
      <c r="J35" s="7"/>
    </row>
    <row r="36" spans="1:16" ht="18" customHeight="1" x14ac:dyDescent="0.25">
      <c r="A36" s="14">
        <f t="shared" si="0"/>
        <v>27</v>
      </c>
      <c r="B36" s="45"/>
      <c r="C36" s="46" t="s">
        <v>171</v>
      </c>
      <c r="D36" s="214" t="s">
        <v>19</v>
      </c>
      <c r="E36" s="32"/>
      <c r="F36" s="380"/>
      <c r="G36" s="377">
        <f t="shared" si="1"/>
        <v>3927.2000000000012</v>
      </c>
      <c r="H36" s="178"/>
      <c r="I36" s="7"/>
      <c r="J36" s="7"/>
    </row>
    <row r="37" spans="1:16" ht="18" customHeight="1" x14ac:dyDescent="0.25">
      <c r="A37" s="14">
        <f t="shared" si="0"/>
        <v>28</v>
      </c>
      <c r="B37" s="8"/>
      <c r="C37" s="46" t="s">
        <v>171</v>
      </c>
      <c r="D37" s="214" t="s">
        <v>19</v>
      </c>
      <c r="E37" s="32"/>
      <c r="F37" s="380"/>
      <c r="G37" s="377">
        <f t="shared" si="1"/>
        <v>3927.2000000000012</v>
      </c>
      <c r="H37" s="178"/>
      <c r="I37" s="7"/>
      <c r="J37" s="7"/>
    </row>
    <row r="38" spans="1:16" ht="18" customHeight="1" x14ac:dyDescent="0.25">
      <c r="A38" s="14">
        <f t="shared" si="0"/>
        <v>29</v>
      </c>
      <c r="B38" s="8"/>
      <c r="C38" s="46" t="s">
        <v>171</v>
      </c>
      <c r="D38" s="214" t="s">
        <v>19</v>
      </c>
      <c r="E38" s="32"/>
      <c r="F38" s="152"/>
      <c r="G38" s="377">
        <f t="shared" si="1"/>
        <v>3927.2000000000012</v>
      </c>
      <c r="H38" s="178"/>
      <c r="I38" s="7"/>
      <c r="J38" s="7"/>
    </row>
    <row r="39" spans="1:16" ht="18" customHeight="1" x14ac:dyDescent="0.25">
      <c r="A39" s="14">
        <f t="shared" si="0"/>
        <v>30</v>
      </c>
      <c r="B39" s="8"/>
      <c r="C39" s="46" t="s">
        <v>171</v>
      </c>
      <c r="D39" s="214" t="s">
        <v>19</v>
      </c>
      <c r="E39" s="32"/>
      <c r="F39" s="152"/>
      <c r="G39" s="377">
        <f t="shared" si="1"/>
        <v>3927.2000000000012</v>
      </c>
      <c r="H39" s="178"/>
      <c r="I39" s="7"/>
      <c r="J39" s="7"/>
    </row>
    <row r="40" spans="1:16" ht="18" customHeight="1" x14ac:dyDescent="0.25">
      <c r="A40" s="14">
        <f t="shared" si="0"/>
        <v>31</v>
      </c>
      <c r="B40" s="8"/>
      <c r="C40" s="46" t="s">
        <v>171</v>
      </c>
      <c r="D40" s="214" t="s">
        <v>19</v>
      </c>
      <c r="E40" s="32"/>
      <c r="F40" s="152"/>
      <c r="G40" s="377">
        <f t="shared" si="1"/>
        <v>3927.2000000000012</v>
      </c>
      <c r="H40" s="178"/>
      <c r="I40" s="7"/>
      <c r="J40" s="7"/>
    </row>
    <row r="41" spans="1:16" ht="18" customHeight="1" x14ac:dyDescent="0.25">
      <c r="A41" s="14">
        <f t="shared" si="0"/>
        <v>32</v>
      </c>
      <c r="B41" s="8"/>
      <c r="C41" s="46" t="s">
        <v>171</v>
      </c>
      <c r="D41" s="214" t="s">
        <v>19</v>
      </c>
      <c r="E41" s="32"/>
      <c r="F41" s="152"/>
      <c r="G41" s="377">
        <f t="shared" si="1"/>
        <v>3927.2000000000012</v>
      </c>
      <c r="H41" s="178"/>
      <c r="I41" s="7"/>
      <c r="J41" s="7"/>
    </row>
    <row r="42" spans="1:16" ht="18" customHeight="1" x14ac:dyDescent="0.25">
      <c r="A42" s="14">
        <f t="shared" si="0"/>
        <v>33</v>
      </c>
      <c r="B42" s="8"/>
      <c r="C42" s="46" t="s">
        <v>171</v>
      </c>
      <c r="D42" s="214" t="s">
        <v>19</v>
      </c>
      <c r="E42" s="32"/>
      <c r="F42" s="155"/>
      <c r="G42" s="377">
        <f t="shared" si="1"/>
        <v>3927.2000000000012</v>
      </c>
      <c r="H42" s="178"/>
      <c r="I42" s="7"/>
      <c r="J42" s="7"/>
      <c r="P42" s="162"/>
    </row>
    <row r="43" spans="1:16" ht="18" customHeight="1" x14ac:dyDescent="0.25">
      <c r="A43" s="14">
        <f t="shared" si="0"/>
        <v>34</v>
      </c>
      <c r="B43" s="8"/>
      <c r="C43" s="46" t="s">
        <v>171</v>
      </c>
      <c r="D43" s="214" t="s">
        <v>19</v>
      </c>
      <c r="E43" s="32"/>
      <c r="F43" s="152"/>
      <c r="G43" s="377">
        <f t="shared" si="1"/>
        <v>3927.2000000000012</v>
      </c>
      <c r="H43" s="178"/>
      <c r="I43" s="7"/>
      <c r="J43" s="7"/>
    </row>
    <row r="44" spans="1:16" ht="18" customHeight="1" x14ac:dyDescent="0.25">
      <c r="A44" s="14">
        <f t="shared" si="0"/>
        <v>35</v>
      </c>
      <c r="B44" s="8"/>
      <c r="C44" s="46" t="s">
        <v>171</v>
      </c>
      <c r="D44" s="214" t="s">
        <v>19</v>
      </c>
      <c r="E44" s="32"/>
      <c r="F44" s="152"/>
      <c r="G44" s="377">
        <f t="shared" si="1"/>
        <v>3927.2000000000012</v>
      </c>
      <c r="H44" s="178"/>
      <c r="I44" s="7"/>
      <c r="J44" s="7"/>
    </row>
    <row r="45" spans="1:16" ht="18" customHeight="1" x14ac:dyDescent="0.25">
      <c r="A45" s="14">
        <f t="shared" si="0"/>
        <v>36</v>
      </c>
      <c r="B45" s="8"/>
      <c r="C45" s="46" t="s">
        <v>171</v>
      </c>
      <c r="D45" s="214" t="s">
        <v>19</v>
      </c>
      <c r="E45" s="32"/>
      <c r="F45" s="152"/>
      <c r="G45" s="377">
        <f t="shared" si="1"/>
        <v>3927.2000000000012</v>
      </c>
      <c r="H45" s="178"/>
      <c r="I45" s="7"/>
      <c r="J45" s="7"/>
    </row>
    <row r="46" spans="1:16" ht="18" customHeight="1" x14ac:dyDescent="0.25">
      <c r="A46" s="14">
        <f t="shared" si="0"/>
        <v>37</v>
      </c>
      <c r="B46" s="8"/>
      <c r="C46" s="46" t="s">
        <v>171</v>
      </c>
      <c r="D46" s="214" t="s">
        <v>19</v>
      </c>
      <c r="E46" s="32"/>
      <c r="F46" s="152"/>
      <c r="G46" s="377">
        <f t="shared" si="1"/>
        <v>3927.2000000000012</v>
      </c>
      <c r="H46" s="178"/>
      <c r="I46" s="29"/>
      <c r="J46" s="7"/>
    </row>
    <row r="47" spans="1:16" ht="18" customHeight="1" x14ac:dyDescent="0.25">
      <c r="A47" s="14">
        <f t="shared" si="0"/>
        <v>38</v>
      </c>
      <c r="B47" s="8"/>
      <c r="C47" s="46" t="s">
        <v>171</v>
      </c>
      <c r="D47" s="214" t="s">
        <v>19</v>
      </c>
      <c r="E47" s="32"/>
      <c r="F47" s="152"/>
      <c r="G47" s="377">
        <f t="shared" si="1"/>
        <v>3927.2000000000012</v>
      </c>
      <c r="H47" s="178"/>
      <c r="I47" s="29"/>
      <c r="J47" s="7"/>
    </row>
    <row r="48" spans="1:16" ht="18" customHeight="1" x14ac:dyDescent="0.25">
      <c r="A48" s="14">
        <f t="shared" si="0"/>
        <v>39</v>
      </c>
      <c r="B48" s="8"/>
      <c r="C48" s="46" t="s">
        <v>171</v>
      </c>
      <c r="D48" s="214" t="s">
        <v>19</v>
      </c>
      <c r="E48" s="32"/>
      <c r="F48" s="152"/>
      <c r="G48" s="377">
        <f t="shared" si="1"/>
        <v>3927.2000000000012</v>
      </c>
      <c r="H48" s="178"/>
      <c r="I48" s="29"/>
      <c r="J48" s="7"/>
    </row>
    <row r="49" spans="1:16" ht="18" customHeight="1" x14ac:dyDescent="0.25">
      <c r="A49" s="14">
        <f t="shared" si="0"/>
        <v>40</v>
      </c>
      <c r="B49" s="8"/>
      <c r="C49" s="46" t="s">
        <v>171</v>
      </c>
      <c r="D49" s="214" t="s">
        <v>19</v>
      </c>
      <c r="E49" s="32"/>
      <c r="F49" s="152"/>
      <c r="G49" s="377">
        <f t="shared" si="1"/>
        <v>3927.2000000000012</v>
      </c>
      <c r="H49" s="178"/>
      <c r="I49" s="29"/>
      <c r="J49" s="7"/>
    </row>
    <row r="50" spans="1:16" ht="18" customHeight="1" x14ac:dyDescent="0.25">
      <c r="A50" s="14">
        <f t="shared" si="0"/>
        <v>41</v>
      </c>
      <c r="B50" s="8"/>
      <c r="C50" s="46" t="s">
        <v>171</v>
      </c>
      <c r="D50" s="214" t="s">
        <v>19</v>
      </c>
      <c r="E50" s="32"/>
      <c r="F50" s="152"/>
      <c r="G50" s="377">
        <f t="shared" si="1"/>
        <v>3927.2000000000012</v>
      </c>
      <c r="H50" s="178"/>
      <c r="I50" s="7"/>
      <c r="J50" s="7"/>
    </row>
    <row r="51" spans="1:16" s="162" customFormat="1" ht="18" customHeight="1" x14ac:dyDescent="0.25">
      <c r="A51" s="14">
        <f t="shared" si="0"/>
        <v>42</v>
      </c>
      <c r="B51" s="174"/>
      <c r="C51" s="46" t="s">
        <v>171</v>
      </c>
      <c r="D51" s="237" t="s">
        <v>19</v>
      </c>
      <c r="E51" s="175"/>
      <c r="F51" s="155"/>
      <c r="G51" s="377">
        <f t="shared" si="1"/>
        <v>3927.2000000000012</v>
      </c>
      <c r="H51" s="178"/>
      <c r="I51" s="7"/>
      <c r="J51" s="271"/>
      <c r="P51"/>
    </row>
    <row r="52" spans="1:16" ht="18" customHeight="1" x14ac:dyDescent="0.25">
      <c r="A52" s="14">
        <f t="shared" si="0"/>
        <v>43</v>
      </c>
      <c r="B52" s="8"/>
      <c r="C52" s="46" t="s">
        <v>171</v>
      </c>
      <c r="D52" s="214" t="s">
        <v>19</v>
      </c>
      <c r="E52" s="32"/>
      <c r="F52" s="152"/>
      <c r="G52" s="377">
        <f t="shared" si="1"/>
        <v>3927.2000000000012</v>
      </c>
      <c r="H52" s="239"/>
      <c r="I52" s="7"/>
      <c r="J52" s="7"/>
    </row>
    <row r="53" spans="1:16" ht="18" customHeight="1" x14ac:dyDescent="0.25">
      <c r="A53" s="14">
        <f t="shared" si="0"/>
        <v>44</v>
      </c>
      <c r="B53" s="8"/>
      <c r="C53" s="46" t="s">
        <v>171</v>
      </c>
      <c r="D53" s="214" t="s">
        <v>19</v>
      </c>
      <c r="E53" s="32"/>
      <c r="F53" s="152"/>
      <c r="G53" s="377">
        <f t="shared" si="1"/>
        <v>3927.2000000000012</v>
      </c>
      <c r="H53" s="239"/>
      <c r="I53" s="7"/>
      <c r="J53" s="7"/>
    </row>
    <row r="54" spans="1:16" ht="18" customHeight="1" x14ac:dyDescent="0.25">
      <c r="A54" s="14">
        <f t="shared" si="0"/>
        <v>45</v>
      </c>
      <c r="B54" s="8"/>
      <c r="C54" s="46" t="s">
        <v>171</v>
      </c>
      <c r="D54" s="214" t="s">
        <v>19</v>
      </c>
      <c r="E54" s="32"/>
      <c r="F54" s="152"/>
      <c r="G54" s="377">
        <f t="shared" si="1"/>
        <v>3927.2000000000012</v>
      </c>
      <c r="H54" s="239"/>
      <c r="I54" s="7"/>
      <c r="J54" s="7"/>
    </row>
    <row r="55" spans="1:16" ht="18" customHeight="1" x14ac:dyDescent="0.25">
      <c r="A55" s="14">
        <f t="shared" si="0"/>
        <v>46</v>
      </c>
      <c r="B55" s="8"/>
      <c r="C55" s="46" t="s">
        <v>171</v>
      </c>
      <c r="D55" s="214" t="s">
        <v>19</v>
      </c>
      <c r="E55" s="32"/>
      <c r="F55" s="152"/>
      <c r="G55" s="377">
        <f t="shared" si="1"/>
        <v>3927.2000000000012</v>
      </c>
      <c r="H55" s="28"/>
      <c r="I55" s="7"/>
      <c r="J55" s="7"/>
    </row>
    <row r="56" spans="1:16" ht="18" customHeight="1" x14ac:dyDescent="0.25">
      <c r="A56" s="14">
        <f t="shared" si="0"/>
        <v>47</v>
      </c>
      <c r="B56" s="8"/>
      <c r="C56" s="46" t="s">
        <v>171</v>
      </c>
      <c r="D56" s="214" t="s">
        <v>19</v>
      </c>
      <c r="E56" s="32"/>
      <c r="F56" s="152"/>
      <c r="G56" s="377">
        <f t="shared" si="1"/>
        <v>3927.2000000000012</v>
      </c>
      <c r="H56" s="240"/>
      <c r="I56" s="7"/>
      <c r="J56" s="7"/>
    </row>
    <row r="57" spans="1:16" ht="18" customHeight="1" x14ac:dyDescent="0.25">
      <c r="A57" s="14">
        <f t="shared" si="0"/>
        <v>48</v>
      </c>
      <c r="B57" s="8"/>
      <c r="C57" s="46" t="s">
        <v>171</v>
      </c>
      <c r="D57" s="214" t="s">
        <v>19</v>
      </c>
      <c r="E57" s="32"/>
      <c r="F57" s="152"/>
      <c r="G57" s="377">
        <f t="shared" si="1"/>
        <v>3927.2000000000012</v>
      </c>
      <c r="H57" s="240"/>
      <c r="I57" s="7"/>
      <c r="J57" s="7"/>
    </row>
    <row r="58" spans="1:16" ht="18" customHeight="1" x14ac:dyDescent="0.25">
      <c r="A58" s="14">
        <f t="shared" si="0"/>
        <v>49</v>
      </c>
      <c r="B58" s="8"/>
      <c r="C58" s="46" t="s">
        <v>171</v>
      </c>
      <c r="D58" s="214" t="s">
        <v>19</v>
      </c>
      <c r="E58" s="32"/>
      <c r="F58" s="152"/>
      <c r="G58" s="377">
        <f t="shared" si="1"/>
        <v>3927.2000000000012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50</v>
      </c>
      <c r="B59" s="8"/>
      <c r="C59" s="46" t="s">
        <v>171</v>
      </c>
      <c r="D59" s="214" t="s">
        <v>19</v>
      </c>
      <c r="E59" s="32"/>
      <c r="F59" s="152"/>
      <c r="G59" s="377">
        <f t="shared" si="1"/>
        <v>3927.2000000000012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51</v>
      </c>
      <c r="B60" s="8"/>
      <c r="C60" s="46" t="s">
        <v>171</v>
      </c>
      <c r="D60" s="214" t="s">
        <v>19</v>
      </c>
      <c r="E60" s="32"/>
      <c r="F60" s="152"/>
      <c r="G60" s="377">
        <f t="shared" si="1"/>
        <v>3927.2000000000012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52</v>
      </c>
      <c r="B61" s="8"/>
      <c r="C61" s="46" t="s">
        <v>171</v>
      </c>
      <c r="D61" s="214" t="s">
        <v>19</v>
      </c>
      <c r="E61" s="32"/>
      <c r="F61" s="152"/>
      <c r="G61" s="377">
        <f t="shared" si="1"/>
        <v>3927.2000000000012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53</v>
      </c>
      <c r="B62" s="8"/>
      <c r="C62" s="46" t="s">
        <v>171</v>
      </c>
      <c r="D62" s="214" t="s">
        <v>19</v>
      </c>
      <c r="E62" s="32"/>
      <c r="F62" s="152"/>
      <c r="G62" s="377">
        <f t="shared" si="1"/>
        <v>3927.2000000000012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54</v>
      </c>
      <c r="B63" s="8"/>
      <c r="C63" s="46" t="s">
        <v>171</v>
      </c>
      <c r="D63" s="214" t="s">
        <v>19</v>
      </c>
      <c r="E63" s="32"/>
      <c r="F63" s="152"/>
      <c r="G63" s="377">
        <f t="shared" si="1"/>
        <v>3927.2000000000012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55</v>
      </c>
      <c r="B64" s="8"/>
      <c r="C64" s="46" t="s">
        <v>171</v>
      </c>
      <c r="D64" s="214" t="s">
        <v>19</v>
      </c>
      <c r="E64" s="32"/>
      <c r="F64" s="152"/>
      <c r="G64" s="377">
        <f t="shared" si="1"/>
        <v>3927.2000000000012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56</v>
      </c>
      <c r="B65" s="8"/>
      <c r="C65" s="46" t="s">
        <v>171</v>
      </c>
      <c r="D65" s="214" t="s">
        <v>19</v>
      </c>
      <c r="E65" s="32"/>
      <c r="F65" s="152"/>
      <c r="G65" s="377">
        <f t="shared" si="1"/>
        <v>3927.2000000000012</v>
      </c>
      <c r="H65" s="240"/>
      <c r="I65" s="7" t="s">
        <v>14</v>
      </c>
      <c r="J65" s="7"/>
    </row>
    <row r="66" spans="1:10" ht="18" customHeight="1" x14ac:dyDescent="0.25">
      <c r="A66" s="14">
        <f t="shared" si="0"/>
        <v>57</v>
      </c>
      <c r="B66" s="8"/>
      <c r="C66" s="46" t="s">
        <v>171</v>
      </c>
      <c r="D66" s="214" t="s">
        <v>19</v>
      </c>
      <c r="E66" s="32"/>
      <c r="F66" s="152"/>
      <c r="G66" s="377">
        <f t="shared" si="1"/>
        <v>3927.2000000000012</v>
      </c>
      <c r="H66" s="240"/>
      <c r="I66" s="7" t="s">
        <v>14</v>
      </c>
      <c r="J66" s="140"/>
    </row>
    <row r="67" spans="1:10" ht="18" customHeight="1" x14ac:dyDescent="0.25">
      <c r="A67" s="14">
        <f t="shared" si="0"/>
        <v>58</v>
      </c>
      <c r="B67" s="8"/>
      <c r="C67" s="46" t="s">
        <v>171</v>
      </c>
      <c r="D67" s="214" t="s">
        <v>19</v>
      </c>
      <c r="E67" s="32"/>
      <c r="F67" s="152"/>
      <c r="G67" s="377">
        <f t="shared" si="1"/>
        <v>3927.2000000000012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59</v>
      </c>
      <c r="B68" s="8"/>
      <c r="C68" s="46" t="s">
        <v>171</v>
      </c>
      <c r="D68" s="214" t="s">
        <v>19</v>
      </c>
      <c r="E68" s="32"/>
      <c r="F68" s="152"/>
      <c r="G68" s="377">
        <f t="shared" si="1"/>
        <v>3927.2000000000012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60</v>
      </c>
      <c r="B69" s="8"/>
      <c r="C69" s="46" t="s">
        <v>171</v>
      </c>
      <c r="D69" s="214" t="s">
        <v>19</v>
      </c>
      <c r="E69" s="32"/>
      <c r="F69" s="152"/>
      <c r="G69" s="377">
        <f t="shared" si="1"/>
        <v>3927.2000000000012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61</v>
      </c>
      <c r="B70" s="8"/>
      <c r="C70" s="46" t="s">
        <v>171</v>
      </c>
      <c r="D70" s="214" t="s">
        <v>19</v>
      </c>
      <c r="E70" s="32"/>
      <c r="F70" s="152"/>
      <c r="G70" s="377">
        <f t="shared" si="1"/>
        <v>3927.2000000000012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62</v>
      </c>
      <c r="B71" s="8"/>
      <c r="C71" s="46" t="s">
        <v>171</v>
      </c>
      <c r="D71" s="214" t="s">
        <v>19</v>
      </c>
      <c r="E71" s="32"/>
      <c r="F71" s="152"/>
      <c r="G71" s="377">
        <f t="shared" si="1"/>
        <v>3927.2000000000012</v>
      </c>
      <c r="H71" s="240"/>
      <c r="I71" s="7" t="s">
        <v>14</v>
      </c>
      <c r="J71" s="7"/>
    </row>
    <row r="72" spans="1:10" ht="18" customHeight="1" x14ac:dyDescent="0.25">
      <c r="A72" s="14">
        <f t="shared" si="0"/>
        <v>63</v>
      </c>
      <c r="B72" s="8"/>
      <c r="C72" s="46" t="s">
        <v>171</v>
      </c>
      <c r="D72" s="214" t="s">
        <v>19</v>
      </c>
      <c r="E72" s="32"/>
      <c r="F72" s="152"/>
      <c r="G72" s="377">
        <f t="shared" si="1"/>
        <v>3927.2000000000012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64</v>
      </c>
      <c r="B73" s="8"/>
      <c r="C73" s="46" t="s">
        <v>171</v>
      </c>
      <c r="D73" s="214" t="s">
        <v>19</v>
      </c>
      <c r="E73" s="32"/>
      <c r="F73" s="152"/>
      <c r="G73" s="377">
        <f t="shared" si="1"/>
        <v>3927.2000000000012</v>
      </c>
      <c r="H73" s="240"/>
      <c r="I73" s="7" t="s">
        <v>14</v>
      </c>
      <c r="J73" s="7"/>
    </row>
    <row r="74" spans="1:10" ht="18" customHeight="1" x14ac:dyDescent="0.25">
      <c r="A74" s="14">
        <f t="shared" si="0"/>
        <v>65</v>
      </c>
      <c r="B74" s="8"/>
      <c r="C74" s="46" t="s">
        <v>171</v>
      </c>
      <c r="D74" s="214" t="s">
        <v>19</v>
      </c>
      <c r="E74" s="32"/>
      <c r="F74" s="152"/>
      <c r="G74" s="377">
        <f t="shared" ref="G74:G108" si="2">+G73+E74-F74</f>
        <v>3927.2000000000012</v>
      </c>
      <c r="H74" s="240"/>
      <c r="I74" s="7" t="s">
        <v>14</v>
      </c>
      <c r="J74" s="7"/>
    </row>
    <row r="75" spans="1:10" ht="18" customHeight="1" x14ac:dyDescent="0.25">
      <c r="A75" s="14">
        <f t="shared" ref="A75:A108" si="3">+A74+1</f>
        <v>66</v>
      </c>
      <c r="B75" s="8"/>
      <c r="C75" s="46" t="s">
        <v>171</v>
      </c>
      <c r="D75" s="214" t="s">
        <v>19</v>
      </c>
      <c r="E75" s="32"/>
      <c r="F75" s="152"/>
      <c r="G75" s="377">
        <f t="shared" si="2"/>
        <v>3927.2000000000012</v>
      </c>
      <c r="H75" s="240"/>
      <c r="I75" s="7" t="s">
        <v>14</v>
      </c>
      <c r="J75" s="7"/>
    </row>
    <row r="76" spans="1:10" ht="18" customHeight="1" x14ac:dyDescent="0.25">
      <c r="A76" s="14">
        <f t="shared" si="3"/>
        <v>67</v>
      </c>
      <c r="B76" s="8"/>
      <c r="C76" s="46" t="s">
        <v>171</v>
      </c>
      <c r="D76" s="214" t="s">
        <v>19</v>
      </c>
      <c r="E76" s="32"/>
      <c r="F76" s="152"/>
      <c r="G76" s="377">
        <f t="shared" si="2"/>
        <v>3927.2000000000012</v>
      </c>
      <c r="H76" s="240"/>
      <c r="I76" s="7" t="s">
        <v>14</v>
      </c>
      <c r="J76" s="7"/>
    </row>
    <row r="77" spans="1:10" ht="18" customHeight="1" x14ac:dyDescent="0.25">
      <c r="A77" s="14">
        <f t="shared" si="3"/>
        <v>68</v>
      </c>
      <c r="B77" s="8"/>
      <c r="C77" s="46" t="s">
        <v>171</v>
      </c>
      <c r="D77" s="214" t="s">
        <v>19</v>
      </c>
      <c r="E77" s="32"/>
      <c r="F77" s="152"/>
      <c r="G77" s="377">
        <f t="shared" si="2"/>
        <v>3927.2000000000012</v>
      </c>
      <c r="H77" s="240"/>
      <c r="I77" s="7" t="s">
        <v>14</v>
      </c>
      <c r="J77" s="7"/>
    </row>
    <row r="78" spans="1:10" ht="18" customHeight="1" x14ac:dyDescent="0.25">
      <c r="A78" s="14">
        <f t="shared" si="3"/>
        <v>69</v>
      </c>
      <c r="B78" s="8"/>
      <c r="C78" s="46" t="s">
        <v>171</v>
      </c>
      <c r="D78" s="214" t="s">
        <v>19</v>
      </c>
      <c r="E78" s="32"/>
      <c r="F78" s="152"/>
      <c r="G78" s="377">
        <f t="shared" si="2"/>
        <v>3927.2000000000012</v>
      </c>
      <c r="H78" s="240"/>
      <c r="I78" s="7" t="s">
        <v>14</v>
      </c>
      <c r="J78" s="7"/>
    </row>
    <row r="79" spans="1:10" ht="18" customHeight="1" x14ac:dyDescent="0.25">
      <c r="A79" s="14">
        <f t="shared" si="3"/>
        <v>70</v>
      </c>
      <c r="B79" s="8"/>
      <c r="C79" s="46" t="s">
        <v>171</v>
      </c>
      <c r="D79" s="214" t="s">
        <v>19</v>
      </c>
      <c r="E79" s="32"/>
      <c r="F79" s="152"/>
      <c r="G79" s="377">
        <f t="shared" si="2"/>
        <v>3927.2000000000012</v>
      </c>
      <c r="H79" s="240"/>
      <c r="I79" s="7" t="s">
        <v>14</v>
      </c>
      <c r="J79" s="7"/>
    </row>
    <row r="80" spans="1:10" ht="18" customHeight="1" x14ac:dyDescent="0.25">
      <c r="A80" s="14">
        <f t="shared" si="3"/>
        <v>71</v>
      </c>
      <c r="B80" s="8"/>
      <c r="C80" s="46" t="s">
        <v>171</v>
      </c>
      <c r="D80" s="214" t="s">
        <v>19</v>
      </c>
      <c r="E80" s="32"/>
      <c r="F80" s="152"/>
      <c r="G80" s="377">
        <f t="shared" si="2"/>
        <v>3927.2000000000012</v>
      </c>
      <c r="H80" s="240"/>
      <c r="I80" s="7" t="s">
        <v>14</v>
      </c>
      <c r="J80" s="7"/>
    </row>
    <row r="81" spans="1:17" ht="18" customHeight="1" x14ac:dyDescent="0.25">
      <c r="A81" s="14">
        <f t="shared" si="3"/>
        <v>72</v>
      </c>
      <c r="B81" s="8"/>
      <c r="C81" s="46" t="s">
        <v>171</v>
      </c>
      <c r="D81" s="214" t="s">
        <v>19</v>
      </c>
      <c r="E81" s="32"/>
      <c r="F81" s="152"/>
      <c r="G81" s="377">
        <f t="shared" si="2"/>
        <v>3927.2000000000012</v>
      </c>
      <c r="H81" s="240"/>
      <c r="I81" s="7" t="s">
        <v>14</v>
      </c>
      <c r="J81" s="7"/>
    </row>
    <row r="82" spans="1:17" ht="18" customHeight="1" x14ac:dyDescent="0.25">
      <c r="A82" s="14">
        <f t="shared" si="3"/>
        <v>73</v>
      </c>
      <c r="B82" s="8"/>
      <c r="C82" s="46" t="s">
        <v>171</v>
      </c>
      <c r="D82" s="214" t="s">
        <v>19</v>
      </c>
      <c r="E82" s="32"/>
      <c r="F82" s="152"/>
      <c r="G82" s="377">
        <f t="shared" si="2"/>
        <v>3927.2000000000012</v>
      </c>
      <c r="H82" s="240"/>
      <c r="I82" s="7" t="s">
        <v>14</v>
      </c>
      <c r="J82" s="7"/>
    </row>
    <row r="83" spans="1:17" ht="18" customHeight="1" x14ac:dyDescent="0.25">
      <c r="A83" s="14">
        <f t="shared" si="3"/>
        <v>74</v>
      </c>
      <c r="B83" s="8"/>
      <c r="C83" s="46" t="s">
        <v>171</v>
      </c>
      <c r="D83" s="214" t="s">
        <v>19</v>
      </c>
      <c r="E83" s="32"/>
      <c r="F83" s="152"/>
      <c r="G83" s="377">
        <f t="shared" si="2"/>
        <v>3927.2000000000012</v>
      </c>
      <c r="H83" s="240"/>
      <c r="I83" s="7" t="s">
        <v>14</v>
      </c>
      <c r="J83" s="7"/>
    </row>
    <row r="84" spans="1:17" ht="18" customHeight="1" x14ac:dyDescent="0.25">
      <c r="A84" s="14">
        <f t="shared" si="3"/>
        <v>75</v>
      </c>
      <c r="B84" s="8"/>
      <c r="C84" s="46" t="s">
        <v>171</v>
      </c>
      <c r="D84" s="214" t="s">
        <v>19</v>
      </c>
      <c r="E84" s="32"/>
      <c r="F84" s="119"/>
      <c r="G84" s="377">
        <f t="shared" si="2"/>
        <v>3927.2000000000012</v>
      </c>
      <c r="H84" s="240"/>
      <c r="I84" s="7" t="s">
        <v>14</v>
      </c>
      <c r="J84" s="7"/>
    </row>
    <row r="85" spans="1:17" ht="18" customHeight="1" x14ac:dyDescent="0.25">
      <c r="A85" s="14">
        <f t="shared" si="3"/>
        <v>76</v>
      </c>
      <c r="B85" s="8"/>
      <c r="C85" s="46" t="s">
        <v>171</v>
      </c>
      <c r="D85" s="214" t="s">
        <v>19</v>
      </c>
      <c r="E85" s="32"/>
      <c r="F85" s="152"/>
      <c r="G85" s="377">
        <f t="shared" si="2"/>
        <v>3927.2000000000012</v>
      </c>
      <c r="H85" s="240"/>
      <c r="I85" s="7" t="s">
        <v>14</v>
      </c>
      <c r="J85" s="7"/>
    </row>
    <row r="86" spans="1:17" ht="18" customHeight="1" x14ac:dyDescent="0.25">
      <c r="A86" s="14">
        <f t="shared" si="3"/>
        <v>77</v>
      </c>
      <c r="B86" s="8"/>
      <c r="C86" s="46" t="s">
        <v>171</v>
      </c>
      <c r="D86" s="214" t="s">
        <v>19</v>
      </c>
      <c r="E86" s="32"/>
      <c r="F86" s="152"/>
      <c r="G86" s="377">
        <f t="shared" si="2"/>
        <v>3927.2000000000012</v>
      </c>
      <c r="H86" s="240"/>
      <c r="I86" s="7" t="s">
        <v>14</v>
      </c>
      <c r="J86" s="7"/>
    </row>
    <row r="87" spans="1:17" ht="18" customHeight="1" x14ac:dyDescent="0.25">
      <c r="A87" s="14">
        <f t="shared" si="3"/>
        <v>78</v>
      </c>
      <c r="B87" s="8"/>
      <c r="C87" s="46" t="s">
        <v>171</v>
      </c>
      <c r="D87" s="214" t="s">
        <v>19</v>
      </c>
      <c r="E87" s="32"/>
      <c r="F87" s="152"/>
      <c r="G87" s="377">
        <f t="shared" si="2"/>
        <v>3927.2000000000012</v>
      </c>
      <c r="H87" s="240"/>
      <c r="I87" s="7" t="s">
        <v>14</v>
      </c>
      <c r="J87" s="7"/>
    </row>
    <row r="88" spans="1:17" ht="18" customHeight="1" x14ac:dyDescent="0.25">
      <c r="A88" s="14">
        <f t="shared" si="3"/>
        <v>79</v>
      </c>
      <c r="B88" s="8"/>
      <c r="C88" s="46" t="s">
        <v>171</v>
      </c>
      <c r="D88" s="214" t="s">
        <v>19</v>
      </c>
      <c r="E88" s="32"/>
      <c r="F88" s="152"/>
      <c r="G88" s="377">
        <f t="shared" si="2"/>
        <v>3927.2000000000012</v>
      </c>
      <c r="H88" s="240"/>
      <c r="I88" s="7" t="s">
        <v>14</v>
      </c>
      <c r="J88" s="7"/>
    </row>
    <row r="89" spans="1:17" ht="18" customHeight="1" x14ac:dyDescent="0.25">
      <c r="A89" s="14">
        <f t="shared" si="3"/>
        <v>80</v>
      </c>
      <c r="B89" s="8"/>
      <c r="C89" s="46" t="s">
        <v>171</v>
      </c>
      <c r="D89" s="214" t="s">
        <v>19</v>
      </c>
      <c r="E89" s="32"/>
      <c r="F89" s="152"/>
      <c r="G89" s="377">
        <f t="shared" si="2"/>
        <v>3927.2000000000012</v>
      </c>
      <c r="H89" s="240"/>
      <c r="I89" s="7" t="s">
        <v>14</v>
      </c>
      <c r="J89" s="7"/>
    </row>
    <row r="90" spans="1:17" ht="18" customHeight="1" x14ac:dyDescent="0.25">
      <c r="A90" s="14">
        <f t="shared" si="3"/>
        <v>81</v>
      </c>
      <c r="B90" s="8"/>
      <c r="C90" s="46" t="s">
        <v>171</v>
      </c>
      <c r="D90" s="214" t="s">
        <v>19</v>
      </c>
      <c r="E90" s="32"/>
      <c r="F90" s="152"/>
      <c r="G90" s="377">
        <f t="shared" si="2"/>
        <v>3927.2000000000012</v>
      </c>
      <c r="H90" s="240"/>
      <c r="I90" s="7" t="s">
        <v>14</v>
      </c>
      <c r="J90" s="7"/>
    </row>
    <row r="91" spans="1:17" ht="18" customHeight="1" x14ac:dyDescent="0.25">
      <c r="A91" s="14">
        <f t="shared" si="3"/>
        <v>82</v>
      </c>
      <c r="B91" s="8"/>
      <c r="C91" s="46" t="s">
        <v>171</v>
      </c>
      <c r="D91" s="214" t="s">
        <v>19</v>
      </c>
      <c r="E91" s="32"/>
      <c r="F91" s="152"/>
      <c r="G91" s="377">
        <f t="shared" si="2"/>
        <v>3927.2000000000012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3"/>
        <v>83</v>
      </c>
      <c r="B92" s="8"/>
      <c r="C92" s="46" t="s">
        <v>171</v>
      </c>
      <c r="D92" s="214" t="s">
        <v>19</v>
      </c>
      <c r="E92" s="32"/>
      <c r="F92" s="119"/>
      <c r="G92" s="377">
        <f t="shared" si="2"/>
        <v>3927.2000000000012</v>
      </c>
      <c r="H92" s="240"/>
      <c r="I92" s="7" t="s">
        <v>14</v>
      </c>
      <c r="J92" s="7"/>
      <c r="L92" s="199"/>
      <c r="Q92" s="199"/>
    </row>
    <row r="93" spans="1:17" ht="18" customHeight="1" x14ac:dyDescent="0.25">
      <c r="A93" s="14">
        <f t="shared" si="3"/>
        <v>84</v>
      </c>
      <c r="B93" s="8"/>
      <c r="C93" s="46" t="s">
        <v>171</v>
      </c>
      <c r="D93" s="214" t="s">
        <v>19</v>
      </c>
      <c r="E93" s="32"/>
      <c r="F93" s="119"/>
      <c r="G93" s="377">
        <f t="shared" si="2"/>
        <v>3927.2000000000012</v>
      </c>
      <c r="H93" s="240"/>
      <c r="I93" s="7" t="s">
        <v>14</v>
      </c>
      <c r="J93" s="7"/>
      <c r="L93" s="199"/>
      <c r="Q93" s="199"/>
    </row>
    <row r="94" spans="1:17" s="179" customFormat="1" ht="18" customHeight="1" x14ac:dyDescent="0.25">
      <c r="A94" s="14">
        <f t="shared" si="3"/>
        <v>85</v>
      </c>
      <c r="B94" s="242"/>
      <c r="C94" s="46" t="s">
        <v>171</v>
      </c>
      <c r="D94" s="244" t="s">
        <v>19</v>
      </c>
      <c r="E94" s="245"/>
      <c r="F94" s="381"/>
      <c r="G94" s="377">
        <f t="shared" si="2"/>
        <v>3927.2000000000012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14">
        <f t="shared" si="3"/>
        <v>86</v>
      </c>
      <c r="B95" s="242"/>
      <c r="C95" s="46" t="s">
        <v>171</v>
      </c>
      <c r="D95" s="244" t="s">
        <v>19</v>
      </c>
      <c r="E95" s="245"/>
      <c r="F95" s="381"/>
      <c r="G95" s="377">
        <f t="shared" si="2"/>
        <v>3927.2000000000012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14">
        <f t="shared" si="3"/>
        <v>87</v>
      </c>
      <c r="B96" s="242"/>
      <c r="C96" s="46" t="s">
        <v>171</v>
      </c>
      <c r="D96" s="244" t="s">
        <v>19</v>
      </c>
      <c r="E96" s="245"/>
      <c r="F96" s="381"/>
      <c r="G96" s="377">
        <f t="shared" si="2"/>
        <v>3927.2000000000012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14">
        <f t="shared" si="3"/>
        <v>88</v>
      </c>
      <c r="B97" s="242"/>
      <c r="C97" s="46" t="s">
        <v>171</v>
      </c>
      <c r="D97" s="244" t="s">
        <v>19</v>
      </c>
      <c r="E97" s="245"/>
      <c r="F97" s="381"/>
      <c r="G97" s="377">
        <f t="shared" si="2"/>
        <v>3927.2000000000012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14">
        <f t="shared" si="3"/>
        <v>89</v>
      </c>
      <c r="B98" s="242"/>
      <c r="C98" s="46" t="s">
        <v>171</v>
      </c>
      <c r="D98" s="244" t="s">
        <v>19</v>
      </c>
      <c r="E98" s="245"/>
      <c r="F98" s="381"/>
      <c r="G98" s="377">
        <f t="shared" si="2"/>
        <v>3927.2000000000012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14">
        <f t="shared" si="3"/>
        <v>90</v>
      </c>
      <c r="B99" s="242"/>
      <c r="C99" s="46" t="s">
        <v>171</v>
      </c>
      <c r="D99" s="244" t="s">
        <v>19</v>
      </c>
      <c r="E99" s="245"/>
      <c r="F99" s="381"/>
      <c r="G99" s="377">
        <f t="shared" si="2"/>
        <v>3927.2000000000012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14">
        <f t="shared" si="3"/>
        <v>91</v>
      </c>
      <c r="B100" s="242"/>
      <c r="C100" s="46" t="s">
        <v>171</v>
      </c>
      <c r="D100" s="244" t="s">
        <v>19</v>
      </c>
      <c r="E100" s="245"/>
      <c r="F100" s="381"/>
      <c r="G100" s="377">
        <f t="shared" si="2"/>
        <v>3927.2000000000012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14">
        <f t="shared" si="3"/>
        <v>92</v>
      </c>
      <c r="B101" s="242"/>
      <c r="C101" s="46" t="s">
        <v>171</v>
      </c>
      <c r="D101" s="244" t="s">
        <v>19</v>
      </c>
      <c r="E101" s="245"/>
      <c r="F101" s="381"/>
      <c r="G101" s="377">
        <f t="shared" si="2"/>
        <v>3927.2000000000012</v>
      </c>
      <c r="H101" s="240"/>
      <c r="I101" s="247" t="s">
        <v>14</v>
      </c>
      <c r="J101" s="247"/>
      <c r="L101" s="248"/>
      <c r="Q101" s="248"/>
    </row>
    <row r="102" spans="1:17" s="179" customFormat="1" ht="18" customHeight="1" x14ac:dyDescent="0.25">
      <c r="A102" s="14">
        <f t="shared" si="3"/>
        <v>93</v>
      </c>
      <c r="B102" s="242"/>
      <c r="C102" s="243"/>
      <c r="D102" s="244"/>
      <c r="E102" s="245"/>
      <c r="F102" s="381"/>
      <c r="G102" s="377">
        <f t="shared" si="2"/>
        <v>3927.2000000000012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14">
        <f t="shared" si="3"/>
        <v>94</v>
      </c>
      <c r="B103" s="242"/>
      <c r="C103" s="243"/>
      <c r="D103" s="244"/>
      <c r="E103" s="245"/>
      <c r="F103" s="381"/>
      <c r="G103" s="377">
        <f t="shared" si="2"/>
        <v>3927.2000000000012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14">
        <f t="shared" si="3"/>
        <v>95</v>
      </c>
      <c r="B104" s="242"/>
      <c r="C104" s="243"/>
      <c r="D104" s="244"/>
      <c r="E104" s="245"/>
      <c r="F104" s="381"/>
      <c r="G104" s="377">
        <f t="shared" si="2"/>
        <v>3927.2000000000012</v>
      </c>
      <c r="H104" s="240"/>
      <c r="I104" s="247"/>
      <c r="J104" s="247"/>
      <c r="L104" s="248"/>
      <c r="Q104" s="248"/>
    </row>
    <row r="105" spans="1:17" s="179" customFormat="1" ht="18" customHeight="1" x14ac:dyDescent="0.25">
      <c r="A105" s="14">
        <f t="shared" si="3"/>
        <v>96</v>
      </c>
      <c r="B105" s="242"/>
      <c r="C105" s="243"/>
      <c r="D105" s="244"/>
      <c r="E105" s="245"/>
      <c r="F105" s="381"/>
      <c r="G105" s="377">
        <f t="shared" si="2"/>
        <v>3927.2000000000012</v>
      </c>
      <c r="H105" s="240"/>
      <c r="I105" s="247"/>
      <c r="J105" s="247"/>
      <c r="L105" s="248"/>
      <c r="Q105" s="248"/>
    </row>
    <row r="106" spans="1:17" ht="18" customHeight="1" x14ac:dyDescent="0.25">
      <c r="A106" s="14">
        <f t="shared" si="3"/>
        <v>97</v>
      </c>
      <c r="B106" s="8"/>
      <c r="C106" s="46"/>
      <c r="D106" s="214"/>
      <c r="E106" s="32"/>
      <c r="F106" s="119"/>
      <c r="G106" s="377">
        <f t="shared" si="2"/>
        <v>3927.2000000000012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3"/>
        <v>98</v>
      </c>
      <c r="B107" s="8"/>
      <c r="C107" s="46"/>
      <c r="D107" s="214"/>
      <c r="E107" s="32"/>
      <c r="F107" s="119"/>
      <c r="G107" s="377">
        <f t="shared" si="2"/>
        <v>3927.2000000000012</v>
      </c>
      <c r="H107" s="28"/>
      <c r="I107" s="7"/>
      <c r="J107" s="7"/>
      <c r="L107" s="199"/>
      <c r="Q107" s="199"/>
    </row>
    <row r="108" spans="1:17" ht="18" customHeight="1" x14ac:dyDescent="0.25">
      <c r="A108" s="14">
        <f t="shared" si="3"/>
        <v>99</v>
      </c>
      <c r="B108" s="37"/>
      <c r="C108" s="46"/>
      <c r="D108" s="10"/>
      <c r="E108" s="32"/>
      <c r="F108" s="119"/>
      <c r="G108" s="377">
        <f t="shared" si="2"/>
        <v>3927.2000000000012</v>
      </c>
      <c r="H108" s="28"/>
      <c r="I108" s="7"/>
      <c r="J108" s="7"/>
      <c r="L108" s="199"/>
      <c r="Q108" s="199"/>
    </row>
    <row r="109" spans="1:17" ht="18" customHeight="1" x14ac:dyDescent="0.25">
      <c r="A109" s="14">
        <f t="shared" ref="A109" si="4">+A108+1</f>
        <v>100</v>
      </c>
      <c r="B109" s="7"/>
      <c r="C109" s="34" t="s">
        <v>13</v>
      </c>
      <c r="D109" s="14"/>
      <c r="E109" s="35">
        <f>SUM(E8:E108)</f>
        <v>6282.4000000000005</v>
      </c>
      <c r="F109" s="165">
        <f>SUM(F8:F108)</f>
        <v>5360.5</v>
      </c>
      <c r="G109" s="165">
        <f>+E109-F109+G8</f>
        <v>3927.2000000000007</v>
      </c>
      <c r="H109" s="35"/>
      <c r="I109" s="36"/>
      <c r="J109" s="7">
        <f>SUM(J9:J108)</f>
        <v>20</v>
      </c>
    </row>
    <row r="110" spans="1:17" ht="18" customHeight="1" x14ac:dyDescent="0.25"/>
    <row r="113" spans="5:9" x14ac:dyDescent="0.25">
      <c r="E113" s="201"/>
      <c r="H113" s="201"/>
    </row>
    <row r="115" spans="5:9" x14ac:dyDescent="0.25">
      <c r="E115" s="26"/>
      <c r="H115" s="26"/>
      <c r="I115" s="26"/>
    </row>
    <row r="116" spans="5:9" x14ac:dyDescent="0.25">
      <c r="I116" s="202"/>
    </row>
    <row r="117" spans="5:9" x14ac:dyDescent="0.25">
      <c r="E117" s="199"/>
    </row>
    <row r="118" spans="5:9" x14ac:dyDescent="0.25">
      <c r="E118" s="26"/>
    </row>
    <row r="119" spans="5:9" x14ac:dyDescent="0.25">
      <c r="E119" s="203"/>
      <c r="F119" s="204"/>
      <c r="H119" s="203"/>
    </row>
  </sheetData>
  <mergeCells count="1">
    <mergeCell ref="A4:I5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97BD-32D4-4A04-BAA3-C0B3E01306B2}">
  <sheetPr codeName="Sheet82"/>
  <dimension ref="A1:Q119"/>
  <sheetViews>
    <sheetView workbookViewId="0">
      <selection activeCell="J9" sqref="J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t="s">
        <v>162</v>
      </c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3442</v>
      </c>
      <c r="H8" s="7"/>
      <c r="I8" s="7"/>
      <c r="J8" s="7"/>
    </row>
    <row r="9" spans="1:10" ht="17.25" customHeight="1" x14ac:dyDescent="0.25">
      <c r="A9" s="14">
        <v>1</v>
      </c>
      <c r="B9" s="8">
        <v>45696</v>
      </c>
      <c r="C9" s="46" t="s">
        <v>299</v>
      </c>
      <c r="D9" s="214" t="s">
        <v>19</v>
      </c>
      <c r="E9" s="30">
        <v>1351.9</v>
      </c>
      <c r="F9" s="27"/>
      <c r="G9" s="18">
        <f>+G8+E9-F9</f>
        <v>4793.8999999999996</v>
      </c>
      <c r="H9" s="28"/>
      <c r="I9" s="7" t="s">
        <v>90</v>
      </c>
      <c r="J9" s="7">
        <v>4</v>
      </c>
    </row>
    <row r="10" spans="1:10" ht="17.25" customHeight="1" x14ac:dyDescent="0.25">
      <c r="A10" s="14">
        <f t="shared" ref="A10:A73" si="0">+A9+1</f>
        <v>2</v>
      </c>
      <c r="B10" s="8">
        <v>45696</v>
      </c>
      <c r="C10" s="46" t="s">
        <v>299</v>
      </c>
      <c r="D10" s="214" t="s">
        <v>19</v>
      </c>
      <c r="E10" s="30">
        <v>5348.7</v>
      </c>
      <c r="F10" s="27"/>
      <c r="G10" s="18">
        <f t="shared" ref="G10:G73" si="1">+G9+E10-F10</f>
        <v>10142.599999999999</v>
      </c>
      <c r="H10" s="28"/>
      <c r="I10" s="7" t="s">
        <v>90</v>
      </c>
      <c r="J10" s="7">
        <v>16</v>
      </c>
    </row>
    <row r="11" spans="1:10" ht="18" customHeight="1" x14ac:dyDescent="0.25">
      <c r="A11" s="14">
        <f t="shared" si="0"/>
        <v>3</v>
      </c>
      <c r="B11" s="8"/>
      <c r="C11" s="46" t="s">
        <v>299</v>
      </c>
      <c r="D11" s="214" t="s">
        <v>19</v>
      </c>
      <c r="E11" s="16"/>
      <c r="F11" s="27"/>
      <c r="G11" s="18">
        <f t="shared" si="1"/>
        <v>10142.599999999999</v>
      </c>
      <c r="H11" s="28"/>
      <c r="I11" s="7"/>
      <c r="J11" s="140"/>
    </row>
    <row r="12" spans="1:10" ht="18" customHeight="1" x14ac:dyDescent="0.25">
      <c r="A12" s="14">
        <f t="shared" si="0"/>
        <v>4</v>
      </c>
      <c r="B12" s="8"/>
      <c r="C12" s="46" t="s">
        <v>299</v>
      </c>
      <c r="D12" s="214" t="s">
        <v>19</v>
      </c>
      <c r="E12" s="16"/>
      <c r="F12" s="17"/>
      <c r="G12" s="18">
        <f t="shared" si="1"/>
        <v>10142.599999999999</v>
      </c>
      <c r="H12" s="28" t="s">
        <v>129</v>
      </c>
      <c r="I12" s="7" t="s">
        <v>90</v>
      </c>
      <c r="J12" s="140"/>
    </row>
    <row r="13" spans="1:10" ht="18" customHeight="1" x14ac:dyDescent="0.25">
      <c r="A13" s="14">
        <f t="shared" si="0"/>
        <v>5</v>
      </c>
      <c r="B13" s="205"/>
      <c r="C13" s="46" t="s">
        <v>299</v>
      </c>
      <c r="D13" s="214" t="s">
        <v>19</v>
      </c>
      <c r="E13" s="16"/>
      <c r="F13" s="17"/>
      <c r="G13" s="18">
        <f t="shared" si="1"/>
        <v>10142.599999999999</v>
      </c>
      <c r="H13" s="28" t="s">
        <v>129</v>
      </c>
      <c r="I13" s="7" t="s">
        <v>90</v>
      </c>
      <c r="J13" s="140"/>
    </row>
    <row r="14" spans="1:10" ht="18" customHeight="1" x14ac:dyDescent="0.25">
      <c r="A14" s="14">
        <f t="shared" si="0"/>
        <v>6</v>
      </c>
      <c r="B14" s="8"/>
      <c r="C14" s="46" t="s">
        <v>299</v>
      </c>
      <c r="D14" s="214" t="s">
        <v>19</v>
      </c>
      <c r="E14" s="16"/>
      <c r="F14" s="119"/>
      <c r="G14" s="18">
        <f t="shared" si="1"/>
        <v>10142.599999999999</v>
      </c>
      <c r="H14" s="28" t="s">
        <v>91</v>
      </c>
      <c r="I14" s="7" t="s">
        <v>90</v>
      </c>
      <c r="J14" s="7"/>
    </row>
    <row r="15" spans="1:10" ht="18" customHeight="1" x14ac:dyDescent="0.25">
      <c r="A15" s="14">
        <f t="shared" si="0"/>
        <v>7</v>
      </c>
      <c r="B15" s="8"/>
      <c r="C15" s="46" t="s">
        <v>299</v>
      </c>
      <c r="D15" s="214" t="s">
        <v>19</v>
      </c>
      <c r="E15" s="16"/>
      <c r="F15" s="27"/>
      <c r="G15" s="18">
        <f t="shared" si="1"/>
        <v>10142.599999999999</v>
      </c>
      <c r="H15" s="28" t="s">
        <v>91</v>
      </c>
      <c r="I15" s="7" t="s">
        <v>90</v>
      </c>
      <c r="J15" s="140"/>
    </row>
    <row r="16" spans="1:10" ht="18" customHeight="1" x14ac:dyDescent="0.25">
      <c r="A16" s="14">
        <f t="shared" si="0"/>
        <v>8</v>
      </c>
      <c r="B16" s="8"/>
      <c r="C16" s="46" t="s">
        <v>299</v>
      </c>
      <c r="D16" s="214" t="s">
        <v>19</v>
      </c>
      <c r="E16" s="16"/>
      <c r="F16" s="27"/>
      <c r="G16" s="18">
        <f t="shared" si="1"/>
        <v>10142.599999999999</v>
      </c>
      <c r="H16" s="28" t="s">
        <v>91</v>
      </c>
      <c r="I16" s="7" t="s">
        <v>90</v>
      </c>
      <c r="J16" s="7"/>
    </row>
    <row r="17" spans="1:14" ht="18" customHeight="1" x14ac:dyDescent="0.25">
      <c r="A17" s="14">
        <f t="shared" si="0"/>
        <v>9</v>
      </c>
      <c r="B17" s="8"/>
      <c r="C17" s="46" t="s">
        <v>299</v>
      </c>
      <c r="D17" s="214" t="s">
        <v>19</v>
      </c>
      <c r="E17" s="30"/>
      <c r="F17" s="27"/>
      <c r="G17" s="18">
        <f t="shared" si="1"/>
        <v>10142.599999999999</v>
      </c>
      <c r="H17" s="28" t="s">
        <v>91</v>
      </c>
      <c r="I17" s="7" t="s">
        <v>90</v>
      </c>
      <c r="J17" s="7"/>
    </row>
    <row r="18" spans="1:14" s="230" customFormat="1" ht="18" customHeight="1" x14ac:dyDescent="0.25">
      <c r="A18" s="14">
        <f t="shared" si="0"/>
        <v>10</v>
      </c>
      <c r="B18" s="224"/>
      <c r="C18" s="46" t="s">
        <v>299</v>
      </c>
      <c r="D18" s="226" t="s">
        <v>19</v>
      </c>
      <c r="E18" s="227"/>
      <c r="F18" s="228"/>
      <c r="G18" s="18">
        <f t="shared" si="1"/>
        <v>10142.599999999999</v>
      </c>
      <c r="H18" s="28" t="s">
        <v>91</v>
      </c>
      <c r="I18" s="7" t="s">
        <v>290</v>
      </c>
      <c r="J18" s="348"/>
    </row>
    <row r="19" spans="1:14" s="230" customFormat="1" ht="18" customHeight="1" x14ac:dyDescent="0.25">
      <c r="A19" s="14">
        <f t="shared" si="0"/>
        <v>11</v>
      </c>
      <c r="B19" s="224"/>
      <c r="C19" s="46" t="s">
        <v>299</v>
      </c>
      <c r="D19" s="226" t="s">
        <v>19</v>
      </c>
      <c r="E19" s="231"/>
      <c r="F19" s="228"/>
      <c r="G19" s="18">
        <f t="shared" si="1"/>
        <v>10142.599999999999</v>
      </c>
      <c r="H19" s="28" t="s">
        <v>91</v>
      </c>
      <c r="I19" s="7" t="s">
        <v>90</v>
      </c>
      <c r="J19" s="348"/>
    </row>
    <row r="20" spans="1:14" ht="18" customHeight="1" x14ac:dyDescent="0.25">
      <c r="A20" s="14">
        <f t="shared" si="0"/>
        <v>12</v>
      </c>
      <c r="B20" s="8"/>
      <c r="C20" s="46" t="s">
        <v>299</v>
      </c>
      <c r="D20" s="214" t="s">
        <v>19</v>
      </c>
      <c r="E20" s="32"/>
      <c r="F20" s="17"/>
      <c r="G20" s="18">
        <f t="shared" si="1"/>
        <v>10142.599999999999</v>
      </c>
      <c r="H20" s="28" t="s">
        <v>91</v>
      </c>
      <c r="I20" s="7" t="s">
        <v>90</v>
      </c>
      <c r="J20" s="7"/>
      <c r="N20" s="26"/>
    </row>
    <row r="21" spans="1:14" ht="18" customHeight="1" x14ac:dyDescent="0.25">
      <c r="A21" s="14">
        <f t="shared" si="0"/>
        <v>13</v>
      </c>
      <c r="B21" s="8"/>
      <c r="C21" s="46" t="s">
        <v>299</v>
      </c>
      <c r="D21" s="214" t="s">
        <v>19</v>
      </c>
      <c r="E21" s="32"/>
      <c r="F21" s="27"/>
      <c r="G21" s="18">
        <f t="shared" si="1"/>
        <v>10142.599999999999</v>
      </c>
      <c r="H21" s="28" t="s">
        <v>91</v>
      </c>
      <c r="I21" s="7" t="s">
        <v>90</v>
      </c>
      <c r="J21" s="7"/>
    </row>
    <row r="22" spans="1:14" ht="18" customHeight="1" x14ac:dyDescent="0.25">
      <c r="A22" s="14">
        <f t="shared" si="0"/>
        <v>14</v>
      </c>
      <c r="B22" s="232"/>
      <c r="C22" s="46" t="s">
        <v>299</v>
      </c>
      <c r="D22" s="234" t="s">
        <v>19</v>
      </c>
      <c r="E22" s="235"/>
      <c r="F22" s="172"/>
      <c r="G22" s="18">
        <f t="shared" si="1"/>
        <v>10142.599999999999</v>
      </c>
      <c r="H22" s="28" t="s">
        <v>129</v>
      </c>
      <c r="I22" s="7" t="s">
        <v>90</v>
      </c>
      <c r="J22" s="7"/>
    </row>
    <row r="23" spans="1:14" ht="18" customHeight="1" x14ac:dyDescent="0.25">
      <c r="A23" s="14">
        <f t="shared" si="0"/>
        <v>15</v>
      </c>
      <c r="B23" s="8"/>
      <c r="C23" s="46" t="s">
        <v>299</v>
      </c>
      <c r="D23" s="214" t="s">
        <v>19</v>
      </c>
      <c r="E23" s="32"/>
      <c r="F23" s="17"/>
      <c r="G23" s="18">
        <f t="shared" si="1"/>
        <v>10142.599999999999</v>
      </c>
      <c r="H23" s="28" t="s">
        <v>129</v>
      </c>
      <c r="I23" s="7" t="s">
        <v>142</v>
      </c>
      <c r="J23" s="7"/>
      <c r="M23">
        <f>335.8+337.2+383.3+375.8+375.8+384</f>
        <v>2191.8999999999996</v>
      </c>
    </row>
    <row r="24" spans="1:14" ht="18" customHeight="1" x14ac:dyDescent="0.25">
      <c r="A24" s="14">
        <f t="shared" si="0"/>
        <v>16</v>
      </c>
      <c r="B24" s="8"/>
      <c r="C24" s="46" t="s">
        <v>299</v>
      </c>
      <c r="D24" s="214" t="s">
        <v>19</v>
      </c>
      <c r="E24" s="32"/>
      <c r="F24" s="17"/>
      <c r="G24" s="18">
        <f t="shared" si="1"/>
        <v>10142.599999999999</v>
      </c>
      <c r="H24" s="28" t="s">
        <v>91</v>
      </c>
      <c r="I24" s="7" t="s">
        <v>90</v>
      </c>
      <c r="J24" s="7"/>
    </row>
    <row r="25" spans="1:14" ht="18" customHeight="1" x14ac:dyDescent="0.25">
      <c r="A25" s="14">
        <f t="shared" si="0"/>
        <v>17</v>
      </c>
      <c r="B25" s="8"/>
      <c r="C25" s="46" t="s">
        <v>299</v>
      </c>
      <c r="D25" s="214" t="s">
        <v>19</v>
      </c>
      <c r="E25" s="32"/>
      <c r="F25" s="17"/>
      <c r="G25" s="18">
        <f t="shared" si="1"/>
        <v>10142.599999999999</v>
      </c>
      <c r="H25" s="28" t="s">
        <v>91</v>
      </c>
      <c r="I25" s="7" t="s">
        <v>90</v>
      </c>
      <c r="J25" s="7"/>
    </row>
    <row r="26" spans="1:14" ht="18" customHeight="1" x14ac:dyDescent="0.25">
      <c r="A26" s="14">
        <f t="shared" si="0"/>
        <v>18</v>
      </c>
      <c r="B26" s="8"/>
      <c r="C26" s="46" t="s">
        <v>299</v>
      </c>
      <c r="D26" s="214" t="s">
        <v>19</v>
      </c>
      <c r="E26" s="32"/>
      <c r="F26" s="17"/>
      <c r="G26" s="18">
        <f t="shared" si="1"/>
        <v>10142.599999999999</v>
      </c>
      <c r="H26" s="28" t="s">
        <v>91</v>
      </c>
      <c r="I26" s="7" t="s">
        <v>90</v>
      </c>
      <c r="J26" s="7"/>
    </row>
    <row r="27" spans="1:14" ht="18" customHeight="1" x14ac:dyDescent="0.25">
      <c r="A27" s="14">
        <f t="shared" si="0"/>
        <v>19</v>
      </c>
      <c r="B27" s="8"/>
      <c r="C27" s="46" t="s">
        <v>299</v>
      </c>
      <c r="D27" s="214" t="s">
        <v>19</v>
      </c>
      <c r="E27" s="32"/>
      <c r="F27" s="17"/>
      <c r="G27" s="18">
        <f t="shared" si="1"/>
        <v>10142.599999999999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20</v>
      </c>
      <c r="B28" s="8"/>
      <c r="C28" s="46" t="s">
        <v>299</v>
      </c>
      <c r="D28" s="214" t="s">
        <v>19</v>
      </c>
      <c r="E28" s="129"/>
      <c r="F28" s="17"/>
      <c r="G28" s="18">
        <f t="shared" si="1"/>
        <v>10142.599999999999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21</v>
      </c>
      <c r="B29" s="8"/>
      <c r="C29" s="46" t="s">
        <v>299</v>
      </c>
      <c r="D29" s="214" t="s">
        <v>19</v>
      </c>
      <c r="E29" s="32"/>
      <c r="F29" s="172"/>
      <c r="G29" s="18">
        <f t="shared" si="1"/>
        <v>10142.599999999999</v>
      </c>
      <c r="H29" s="28" t="s">
        <v>91</v>
      </c>
      <c r="I29" s="7" t="s">
        <v>90</v>
      </c>
      <c r="J29" s="7"/>
    </row>
    <row r="30" spans="1:14" ht="18" customHeight="1" x14ac:dyDescent="0.25">
      <c r="A30" s="14">
        <f t="shared" si="0"/>
        <v>22</v>
      </c>
      <c r="B30" s="8"/>
      <c r="C30" s="46" t="s">
        <v>299</v>
      </c>
      <c r="D30" s="214" t="s">
        <v>19</v>
      </c>
      <c r="E30" s="32"/>
      <c r="F30" s="17"/>
      <c r="G30" s="18">
        <f t="shared" si="1"/>
        <v>10142.599999999999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23</v>
      </c>
      <c r="B31" s="8"/>
      <c r="C31" s="46" t="s">
        <v>299</v>
      </c>
      <c r="D31" s="214" t="s">
        <v>19</v>
      </c>
      <c r="E31" s="32"/>
      <c r="F31" s="17"/>
      <c r="G31" s="18">
        <f t="shared" si="1"/>
        <v>10142.599999999999</v>
      </c>
      <c r="H31" s="28" t="s">
        <v>91</v>
      </c>
      <c r="I31" s="7" t="s">
        <v>90</v>
      </c>
      <c r="J31" s="7"/>
    </row>
    <row r="32" spans="1:14" ht="17.25" customHeight="1" x14ac:dyDescent="0.25">
      <c r="A32" s="14">
        <f t="shared" si="0"/>
        <v>24</v>
      </c>
      <c r="B32" s="8"/>
      <c r="C32" s="46" t="s">
        <v>299</v>
      </c>
      <c r="D32" s="214" t="s">
        <v>19</v>
      </c>
      <c r="E32" s="13"/>
      <c r="F32" s="17"/>
      <c r="G32" s="18">
        <f t="shared" si="1"/>
        <v>10142.599999999999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25</v>
      </c>
      <c r="B33" s="44"/>
      <c r="C33" s="46" t="s">
        <v>299</v>
      </c>
      <c r="D33" s="214" t="s">
        <v>19</v>
      </c>
      <c r="E33" s="13"/>
      <c r="F33" s="17"/>
      <c r="G33" s="18">
        <f t="shared" si="1"/>
        <v>10142.599999999999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299</v>
      </c>
      <c r="D34" s="214" t="s">
        <v>19</v>
      </c>
      <c r="E34" s="32"/>
      <c r="F34" s="40"/>
      <c r="G34" s="18">
        <f t="shared" si="1"/>
        <v>10142.599999999999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299</v>
      </c>
      <c r="D35" s="214" t="s">
        <v>19</v>
      </c>
      <c r="E35" s="32"/>
      <c r="F35" s="40"/>
      <c r="G35" s="18">
        <f t="shared" si="1"/>
        <v>10142.599999999999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299</v>
      </c>
      <c r="D36" s="214" t="s">
        <v>19</v>
      </c>
      <c r="E36" s="32"/>
      <c r="F36" s="40"/>
      <c r="G36" s="18">
        <f t="shared" si="1"/>
        <v>10142.599999999999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299</v>
      </c>
      <c r="D37" s="214" t="s">
        <v>19</v>
      </c>
      <c r="E37" s="32"/>
      <c r="F37" s="17"/>
      <c r="G37" s="18">
        <f t="shared" si="1"/>
        <v>10142.599999999999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299</v>
      </c>
      <c r="D38" s="214" t="s">
        <v>19</v>
      </c>
      <c r="E38" s="32"/>
      <c r="F38" s="17"/>
      <c r="G38" s="18">
        <f t="shared" si="1"/>
        <v>10142.599999999999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299</v>
      </c>
      <c r="D39" s="214" t="s">
        <v>19</v>
      </c>
      <c r="E39" s="32"/>
      <c r="F39" s="17"/>
      <c r="G39" s="18">
        <f t="shared" si="1"/>
        <v>10142.599999999999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299</v>
      </c>
      <c r="D40" s="214" t="s">
        <v>19</v>
      </c>
      <c r="E40" s="32"/>
      <c r="F40" s="17"/>
      <c r="G40" s="18">
        <f t="shared" si="1"/>
        <v>10142.599999999999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299</v>
      </c>
      <c r="D41" s="214" t="s">
        <v>19</v>
      </c>
      <c r="E41" s="32"/>
      <c r="F41" s="172"/>
      <c r="G41" s="18">
        <f t="shared" si="1"/>
        <v>10142.599999999999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299</v>
      </c>
      <c r="D42" s="214" t="s">
        <v>19</v>
      </c>
      <c r="E42" s="32"/>
      <c r="F42" s="17"/>
      <c r="G42" s="18">
        <f t="shared" si="1"/>
        <v>10142.599999999999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299</v>
      </c>
      <c r="D43" s="214" t="s">
        <v>19</v>
      </c>
      <c r="E43" s="32"/>
      <c r="F43" s="17"/>
      <c r="G43" s="18">
        <f t="shared" si="1"/>
        <v>10142.599999999999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299</v>
      </c>
      <c r="D44" s="214" t="s">
        <v>19</v>
      </c>
      <c r="E44" s="32"/>
      <c r="F44" s="17"/>
      <c r="G44" s="18">
        <f t="shared" si="1"/>
        <v>10142.599999999999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299</v>
      </c>
      <c r="D45" s="214" t="s">
        <v>19</v>
      </c>
      <c r="E45" s="32"/>
      <c r="F45" s="17"/>
      <c r="G45" s="18">
        <f t="shared" si="1"/>
        <v>10142.599999999999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299</v>
      </c>
      <c r="D46" s="214" t="s">
        <v>19</v>
      </c>
      <c r="E46" s="32"/>
      <c r="F46" s="17"/>
      <c r="G46" s="18">
        <f t="shared" si="1"/>
        <v>10142.599999999999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299</v>
      </c>
      <c r="D47" s="214" t="s">
        <v>19</v>
      </c>
      <c r="E47" s="32"/>
      <c r="F47" s="17"/>
      <c r="G47" s="18">
        <f t="shared" si="1"/>
        <v>10142.599999999999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299</v>
      </c>
      <c r="D48" s="214" t="s">
        <v>19</v>
      </c>
      <c r="E48" s="32"/>
      <c r="F48" s="17"/>
      <c r="G48" s="18">
        <f t="shared" si="1"/>
        <v>10142.599999999999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299</v>
      </c>
      <c r="D49" s="214" t="s">
        <v>19</v>
      </c>
      <c r="E49" s="32"/>
      <c r="F49" s="17"/>
      <c r="G49" s="18">
        <f t="shared" si="1"/>
        <v>10142.599999999999</v>
      </c>
      <c r="H49" s="178"/>
      <c r="I49" s="7"/>
      <c r="J49" s="7"/>
    </row>
    <row r="50" spans="1:16" s="162" customFormat="1" ht="18" customHeight="1" x14ac:dyDescent="0.25">
      <c r="A50" s="14">
        <f t="shared" si="0"/>
        <v>42</v>
      </c>
      <c r="B50" s="174"/>
      <c r="C50" s="46" t="s">
        <v>299</v>
      </c>
      <c r="D50" s="237" t="s">
        <v>19</v>
      </c>
      <c r="E50" s="175"/>
      <c r="F50" s="172"/>
      <c r="G50" s="18">
        <f t="shared" si="1"/>
        <v>10142.599999999999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299</v>
      </c>
      <c r="D51" s="214" t="s">
        <v>19</v>
      </c>
      <c r="E51" s="32"/>
      <c r="F51" s="17"/>
      <c r="G51" s="18">
        <f t="shared" si="1"/>
        <v>10142.599999999999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299</v>
      </c>
      <c r="D52" s="214" t="s">
        <v>19</v>
      </c>
      <c r="E52" s="32"/>
      <c r="F52" s="17"/>
      <c r="G52" s="18">
        <f t="shared" si="1"/>
        <v>10142.599999999999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299</v>
      </c>
      <c r="D53" s="214" t="s">
        <v>19</v>
      </c>
      <c r="E53" s="32"/>
      <c r="F53" s="17"/>
      <c r="G53" s="18">
        <f t="shared" si="1"/>
        <v>10142.599999999999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299</v>
      </c>
      <c r="D54" s="214" t="s">
        <v>19</v>
      </c>
      <c r="E54" s="32"/>
      <c r="F54" s="17"/>
      <c r="G54" s="18">
        <f t="shared" si="1"/>
        <v>10142.599999999999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299</v>
      </c>
      <c r="D55" s="214" t="s">
        <v>19</v>
      </c>
      <c r="E55" s="32"/>
      <c r="F55" s="17"/>
      <c r="G55" s="18">
        <f t="shared" si="1"/>
        <v>10142.599999999999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299</v>
      </c>
      <c r="D56" s="214" t="s">
        <v>19</v>
      </c>
      <c r="E56" s="32"/>
      <c r="F56" s="17"/>
      <c r="G56" s="18">
        <f t="shared" si="1"/>
        <v>10142.599999999999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299</v>
      </c>
      <c r="D57" s="214" t="s">
        <v>19</v>
      </c>
      <c r="E57" s="32"/>
      <c r="F57" s="17"/>
      <c r="G57" s="18">
        <f t="shared" si="1"/>
        <v>10142.599999999999</v>
      </c>
      <c r="H57" s="240"/>
      <c r="I57" s="7" t="s">
        <v>14</v>
      </c>
      <c r="J57" s="7"/>
    </row>
    <row r="58" spans="1:16" ht="18" customHeight="1" x14ac:dyDescent="0.25">
      <c r="A58" s="14">
        <f t="shared" si="0"/>
        <v>50</v>
      </c>
      <c r="B58" s="8"/>
      <c r="C58" s="46" t="s">
        <v>299</v>
      </c>
      <c r="D58" s="214" t="s">
        <v>19</v>
      </c>
      <c r="E58" s="32"/>
      <c r="F58" s="17"/>
      <c r="G58" s="18">
        <f t="shared" si="1"/>
        <v>10142.599999999999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51</v>
      </c>
      <c r="B59" s="8"/>
      <c r="C59" s="46" t="s">
        <v>299</v>
      </c>
      <c r="D59" s="214" t="s">
        <v>19</v>
      </c>
      <c r="E59" s="32"/>
      <c r="F59" s="17"/>
      <c r="G59" s="18">
        <f t="shared" si="1"/>
        <v>10142.599999999999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52</v>
      </c>
      <c r="B60" s="8"/>
      <c r="C60" s="46" t="s">
        <v>299</v>
      </c>
      <c r="D60" s="214" t="s">
        <v>19</v>
      </c>
      <c r="E60" s="32"/>
      <c r="F60" s="17"/>
      <c r="G60" s="18">
        <f t="shared" si="1"/>
        <v>10142.599999999999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299</v>
      </c>
      <c r="D61" s="214" t="s">
        <v>19</v>
      </c>
      <c r="E61" s="32"/>
      <c r="F61" s="17"/>
      <c r="G61" s="18">
        <f t="shared" si="1"/>
        <v>10142.599999999999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299</v>
      </c>
      <c r="D62" s="214" t="s">
        <v>19</v>
      </c>
      <c r="E62" s="32"/>
      <c r="F62" s="17"/>
      <c r="G62" s="18">
        <f t="shared" si="1"/>
        <v>10142.599999999999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299</v>
      </c>
      <c r="D63" s="214" t="s">
        <v>19</v>
      </c>
      <c r="E63" s="32"/>
      <c r="F63" s="17"/>
      <c r="G63" s="18">
        <f t="shared" si="1"/>
        <v>10142.599999999999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299</v>
      </c>
      <c r="D64" s="214" t="s">
        <v>19</v>
      </c>
      <c r="E64" s="32"/>
      <c r="F64" s="17"/>
      <c r="G64" s="18">
        <f t="shared" si="1"/>
        <v>10142.599999999999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299</v>
      </c>
      <c r="D65" s="214" t="s">
        <v>19</v>
      </c>
      <c r="E65" s="32"/>
      <c r="F65" s="17"/>
      <c r="G65" s="18">
        <f t="shared" si="1"/>
        <v>10142.599999999999</v>
      </c>
      <c r="H65" s="240"/>
      <c r="I65" s="7" t="s">
        <v>14</v>
      </c>
      <c r="J65" s="140"/>
    </row>
    <row r="66" spans="1:10" ht="18" customHeight="1" x14ac:dyDescent="0.25">
      <c r="A66" s="14">
        <f t="shared" si="0"/>
        <v>58</v>
      </c>
      <c r="B66" s="8"/>
      <c r="C66" s="46" t="s">
        <v>299</v>
      </c>
      <c r="D66" s="214" t="s">
        <v>19</v>
      </c>
      <c r="E66" s="32"/>
      <c r="F66" s="17"/>
      <c r="G66" s="18">
        <f t="shared" si="1"/>
        <v>10142.599999999999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299</v>
      </c>
      <c r="D67" s="214" t="s">
        <v>19</v>
      </c>
      <c r="E67" s="32"/>
      <c r="F67" s="17"/>
      <c r="G67" s="18">
        <f t="shared" si="1"/>
        <v>10142.599999999999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299</v>
      </c>
      <c r="D68" s="214" t="s">
        <v>19</v>
      </c>
      <c r="E68" s="32"/>
      <c r="F68" s="17"/>
      <c r="G68" s="18">
        <f t="shared" si="1"/>
        <v>10142.599999999999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61</v>
      </c>
      <c r="B69" s="8"/>
      <c r="C69" s="46" t="s">
        <v>299</v>
      </c>
      <c r="D69" s="214" t="s">
        <v>19</v>
      </c>
      <c r="E69" s="32"/>
      <c r="F69" s="17"/>
      <c r="G69" s="18">
        <f t="shared" si="1"/>
        <v>10142.599999999999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299</v>
      </c>
      <c r="D70" s="214" t="s">
        <v>19</v>
      </c>
      <c r="E70" s="32"/>
      <c r="F70" s="17"/>
      <c r="G70" s="18">
        <f t="shared" si="1"/>
        <v>10142.599999999999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299</v>
      </c>
      <c r="D71" s="214" t="s">
        <v>19</v>
      </c>
      <c r="E71" s="32"/>
      <c r="F71" s="17"/>
      <c r="G71" s="18">
        <f t="shared" si="1"/>
        <v>10142.599999999999</v>
      </c>
      <c r="H71" s="240"/>
      <c r="I71" s="7" t="s">
        <v>14</v>
      </c>
      <c r="J71" s="7"/>
    </row>
    <row r="72" spans="1:10" ht="18" customHeight="1" x14ac:dyDescent="0.25">
      <c r="A72" s="14">
        <f t="shared" si="0"/>
        <v>64</v>
      </c>
      <c r="B72" s="8"/>
      <c r="C72" s="46" t="s">
        <v>299</v>
      </c>
      <c r="D72" s="214" t="s">
        <v>19</v>
      </c>
      <c r="E72" s="32"/>
      <c r="F72" s="17"/>
      <c r="G72" s="18">
        <f t="shared" si="1"/>
        <v>10142.599999999999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299</v>
      </c>
      <c r="D73" s="214" t="s">
        <v>19</v>
      </c>
      <c r="E73" s="32"/>
      <c r="F73" s="17"/>
      <c r="G73" s="18">
        <f t="shared" si="1"/>
        <v>10142.599999999999</v>
      </c>
      <c r="H73" s="240"/>
      <c r="I73" s="7" t="s">
        <v>14</v>
      </c>
      <c r="J73" s="7"/>
    </row>
    <row r="74" spans="1:10" ht="18" customHeight="1" x14ac:dyDescent="0.25">
      <c r="A74" s="14">
        <f t="shared" ref="A74:A108" si="2">+A73+1</f>
        <v>66</v>
      </c>
      <c r="B74" s="8"/>
      <c r="C74" s="46" t="s">
        <v>299</v>
      </c>
      <c r="D74" s="214" t="s">
        <v>19</v>
      </c>
      <c r="E74" s="32"/>
      <c r="F74" s="17"/>
      <c r="G74" s="18">
        <f t="shared" ref="G74:G107" si="3">+G73+E74-F74</f>
        <v>10142.599999999999</v>
      </c>
      <c r="H74" s="240"/>
      <c r="I74" s="7" t="s">
        <v>14</v>
      </c>
      <c r="J74" s="7"/>
    </row>
    <row r="75" spans="1:10" ht="18" customHeight="1" x14ac:dyDescent="0.25">
      <c r="A75" s="14">
        <f t="shared" si="2"/>
        <v>67</v>
      </c>
      <c r="B75" s="8"/>
      <c r="C75" s="46" t="s">
        <v>299</v>
      </c>
      <c r="D75" s="214" t="s">
        <v>19</v>
      </c>
      <c r="E75" s="32"/>
      <c r="F75" s="17"/>
      <c r="G75" s="18">
        <f t="shared" si="3"/>
        <v>10142.599999999999</v>
      </c>
      <c r="H75" s="240"/>
      <c r="I75" s="7" t="s">
        <v>14</v>
      </c>
      <c r="J75" s="7"/>
    </row>
    <row r="76" spans="1:10" ht="18" customHeight="1" x14ac:dyDescent="0.25">
      <c r="A76" s="14">
        <f t="shared" si="2"/>
        <v>68</v>
      </c>
      <c r="B76" s="8"/>
      <c r="C76" s="46" t="s">
        <v>299</v>
      </c>
      <c r="D76" s="214" t="s">
        <v>19</v>
      </c>
      <c r="E76" s="32"/>
      <c r="F76" s="17"/>
      <c r="G76" s="18">
        <f t="shared" si="3"/>
        <v>10142.599999999999</v>
      </c>
      <c r="H76" s="240"/>
      <c r="I76" s="7" t="s">
        <v>14</v>
      </c>
      <c r="J76" s="7"/>
    </row>
    <row r="77" spans="1:10" ht="18" customHeight="1" x14ac:dyDescent="0.25">
      <c r="A77" s="14">
        <f t="shared" si="2"/>
        <v>69</v>
      </c>
      <c r="B77" s="8"/>
      <c r="C77" s="46" t="s">
        <v>299</v>
      </c>
      <c r="D77" s="214" t="s">
        <v>19</v>
      </c>
      <c r="E77" s="32"/>
      <c r="F77" s="17"/>
      <c r="G77" s="18">
        <f t="shared" si="3"/>
        <v>10142.599999999999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299</v>
      </c>
      <c r="D78" s="214" t="s">
        <v>19</v>
      </c>
      <c r="E78" s="32"/>
      <c r="F78" s="17"/>
      <c r="G78" s="18">
        <f t="shared" si="3"/>
        <v>10142.599999999999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299</v>
      </c>
      <c r="D79" s="214" t="s">
        <v>19</v>
      </c>
      <c r="E79" s="32"/>
      <c r="F79" s="17"/>
      <c r="G79" s="18">
        <f t="shared" si="3"/>
        <v>10142.599999999999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299</v>
      </c>
      <c r="D80" s="214" t="s">
        <v>19</v>
      </c>
      <c r="E80" s="32"/>
      <c r="F80" s="17"/>
      <c r="G80" s="18">
        <f t="shared" si="3"/>
        <v>10142.599999999999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299</v>
      </c>
      <c r="D81" s="214" t="s">
        <v>19</v>
      </c>
      <c r="E81" s="32"/>
      <c r="F81" s="17"/>
      <c r="G81" s="18">
        <f t="shared" si="3"/>
        <v>10142.599999999999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299</v>
      </c>
      <c r="D82" s="214" t="s">
        <v>19</v>
      </c>
      <c r="E82" s="32"/>
      <c r="F82" s="17"/>
      <c r="G82" s="18">
        <f t="shared" si="3"/>
        <v>10142.599999999999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299</v>
      </c>
      <c r="D83" s="214" t="s">
        <v>19</v>
      </c>
      <c r="E83" s="32"/>
      <c r="F83" s="27"/>
      <c r="G83" s="18">
        <f t="shared" si="3"/>
        <v>10142.599999999999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299</v>
      </c>
      <c r="D84" s="214" t="s">
        <v>19</v>
      </c>
      <c r="E84" s="32"/>
      <c r="F84" s="17"/>
      <c r="G84" s="18">
        <f t="shared" si="3"/>
        <v>10142.599999999999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299</v>
      </c>
      <c r="D85" s="214" t="s">
        <v>19</v>
      </c>
      <c r="E85" s="32"/>
      <c r="F85" s="17"/>
      <c r="G85" s="18">
        <f t="shared" si="3"/>
        <v>10142.599999999999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299</v>
      </c>
      <c r="D86" s="214" t="s">
        <v>19</v>
      </c>
      <c r="E86" s="32"/>
      <c r="F86" s="17"/>
      <c r="G86" s="18">
        <f t="shared" si="3"/>
        <v>10142.599999999999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299</v>
      </c>
      <c r="D87" s="214" t="s">
        <v>19</v>
      </c>
      <c r="E87" s="32"/>
      <c r="F87" s="17"/>
      <c r="G87" s="18">
        <f t="shared" si="3"/>
        <v>10142.599999999999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299</v>
      </c>
      <c r="D88" s="214" t="s">
        <v>19</v>
      </c>
      <c r="E88" s="32"/>
      <c r="F88" s="17"/>
      <c r="G88" s="18">
        <f t="shared" si="3"/>
        <v>10142.599999999999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299</v>
      </c>
      <c r="D89" s="214" t="s">
        <v>19</v>
      </c>
      <c r="E89" s="32"/>
      <c r="F89" s="17"/>
      <c r="G89" s="18">
        <f t="shared" si="3"/>
        <v>10142.599999999999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299</v>
      </c>
      <c r="D90" s="214" t="s">
        <v>19</v>
      </c>
      <c r="E90" s="32"/>
      <c r="F90" s="17"/>
      <c r="G90" s="18">
        <f t="shared" si="3"/>
        <v>10142.599999999999</v>
      </c>
      <c r="H90" s="240"/>
      <c r="I90" s="7" t="s">
        <v>14</v>
      </c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299</v>
      </c>
      <c r="D91" s="214" t="s">
        <v>19</v>
      </c>
      <c r="E91" s="32"/>
      <c r="F91" s="27"/>
      <c r="G91" s="18">
        <f t="shared" si="3"/>
        <v>10142.599999999999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299</v>
      </c>
      <c r="D92" s="214" t="s">
        <v>19</v>
      </c>
      <c r="E92" s="32"/>
      <c r="F92" s="27"/>
      <c r="G92" s="18">
        <f t="shared" si="3"/>
        <v>10142.599999999999</v>
      </c>
      <c r="H92" s="240"/>
      <c r="I92" s="7" t="s">
        <v>14</v>
      </c>
      <c r="J92" s="7"/>
      <c r="L92" s="199"/>
      <c r="Q92" s="199"/>
    </row>
    <row r="93" spans="1:17" s="179" customFormat="1" ht="18" customHeight="1" x14ac:dyDescent="0.25">
      <c r="A93" s="14">
        <f t="shared" si="2"/>
        <v>85</v>
      </c>
      <c r="B93" s="242"/>
      <c r="C93" s="46" t="s">
        <v>299</v>
      </c>
      <c r="D93" s="244" t="s">
        <v>19</v>
      </c>
      <c r="E93" s="245"/>
      <c r="F93" s="52"/>
      <c r="G93" s="18">
        <f t="shared" si="3"/>
        <v>10142.599999999999</v>
      </c>
      <c r="H93" s="240"/>
      <c r="I93" s="247" t="s">
        <v>14</v>
      </c>
      <c r="J93" s="247"/>
      <c r="L93" s="248"/>
      <c r="Q93" s="248"/>
    </row>
    <row r="94" spans="1:17" s="179" customFormat="1" ht="18" customHeight="1" x14ac:dyDescent="0.25">
      <c r="A94" s="14">
        <f t="shared" si="2"/>
        <v>86</v>
      </c>
      <c r="B94" s="242"/>
      <c r="C94" s="46" t="s">
        <v>299</v>
      </c>
      <c r="D94" s="244" t="s">
        <v>19</v>
      </c>
      <c r="E94" s="245"/>
      <c r="F94" s="52"/>
      <c r="G94" s="18">
        <f t="shared" si="3"/>
        <v>10142.599999999999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14">
        <f t="shared" si="2"/>
        <v>87</v>
      </c>
      <c r="B95" s="242"/>
      <c r="C95" s="46" t="s">
        <v>299</v>
      </c>
      <c r="D95" s="244" t="s">
        <v>19</v>
      </c>
      <c r="E95" s="245"/>
      <c r="F95" s="52"/>
      <c r="G95" s="18">
        <f t="shared" si="3"/>
        <v>10142.599999999999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14">
        <f t="shared" si="2"/>
        <v>88</v>
      </c>
      <c r="B96" s="242"/>
      <c r="C96" s="46" t="s">
        <v>299</v>
      </c>
      <c r="D96" s="244" t="s">
        <v>19</v>
      </c>
      <c r="E96" s="245"/>
      <c r="F96" s="52"/>
      <c r="G96" s="18">
        <f t="shared" si="3"/>
        <v>10142.599999999999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14">
        <f t="shared" si="2"/>
        <v>89</v>
      </c>
      <c r="B97" s="242"/>
      <c r="C97" s="46" t="s">
        <v>299</v>
      </c>
      <c r="D97" s="244" t="s">
        <v>19</v>
      </c>
      <c r="E97" s="245"/>
      <c r="F97" s="52"/>
      <c r="G97" s="18">
        <f t="shared" si="3"/>
        <v>10142.599999999999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14">
        <f t="shared" si="2"/>
        <v>90</v>
      </c>
      <c r="B98" s="242"/>
      <c r="C98" s="46" t="s">
        <v>299</v>
      </c>
      <c r="D98" s="244" t="s">
        <v>19</v>
      </c>
      <c r="E98" s="245"/>
      <c r="F98" s="52"/>
      <c r="G98" s="18">
        <f t="shared" si="3"/>
        <v>10142.599999999999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14">
        <f t="shared" si="2"/>
        <v>91</v>
      </c>
      <c r="B99" s="242"/>
      <c r="C99" s="46" t="s">
        <v>299</v>
      </c>
      <c r="D99" s="244" t="s">
        <v>19</v>
      </c>
      <c r="E99" s="245"/>
      <c r="F99" s="52"/>
      <c r="G99" s="18">
        <f t="shared" si="3"/>
        <v>10142.599999999999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14">
        <f t="shared" si="2"/>
        <v>92</v>
      </c>
      <c r="B100" s="242"/>
      <c r="C100" s="46" t="s">
        <v>299</v>
      </c>
      <c r="D100" s="244" t="s">
        <v>19</v>
      </c>
      <c r="E100" s="245"/>
      <c r="F100" s="52"/>
      <c r="G100" s="18">
        <f t="shared" si="3"/>
        <v>10142.599999999999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14">
        <f t="shared" si="2"/>
        <v>93</v>
      </c>
      <c r="B101" s="242"/>
      <c r="C101" s="46" t="s">
        <v>299</v>
      </c>
      <c r="D101" s="244"/>
      <c r="E101" s="245"/>
      <c r="F101" s="52"/>
      <c r="G101" s="18">
        <f t="shared" si="3"/>
        <v>10142.599999999999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14">
        <f t="shared" si="2"/>
        <v>94</v>
      </c>
      <c r="B102" s="242"/>
      <c r="C102" s="243"/>
      <c r="D102" s="244"/>
      <c r="E102" s="245"/>
      <c r="F102" s="52"/>
      <c r="G102" s="18">
        <f t="shared" si="3"/>
        <v>10142.599999999999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10142.599999999999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10142.599999999999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 t="shared" si="2"/>
        <v>97</v>
      </c>
      <c r="B105" s="8"/>
      <c r="C105" s="46"/>
      <c r="D105" s="214"/>
      <c r="E105" s="32"/>
      <c r="F105" s="27"/>
      <c r="G105" s="18">
        <f t="shared" si="3"/>
        <v>10142.599999999999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98</v>
      </c>
      <c r="B106" s="8"/>
      <c r="C106" s="46"/>
      <c r="D106" s="214"/>
      <c r="E106" s="32"/>
      <c r="F106" s="27"/>
      <c r="G106" s="18">
        <f t="shared" si="3"/>
        <v>10142.599999999999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99</v>
      </c>
      <c r="B107" s="37"/>
      <c r="C107" s="46"/>
      <c r="D107" s="10"/>
      <c r="E107" s="32"/>
      <c r="F107" s="27"/>
      <c r="G107" s="18">
        <f t="shared" si="3"/>
        <v>10142.599999999999</v>
      </c>
      <c r="H107" s="28"/>
      <c r="I107" s="7"/>
      <c r="J107" s="7"/>
      <c r="L107" s="199"/>
      <c r="Q107" s="199"/>
    </row>
    <row r="108" spans="1:17" ht="18" customHeight="1" x14ac:dyDescent="0.25">
      <c r="A108" s="14">
        <f t="shared" si="2"/>
        <v>100</v>
      </c>
      <c r="B108" s="7"/>
      <c r="C108" s="34" t="s">
        <v>13</v>
      </c>
      <c r="D108" s="14"/>
      <c r="E108" s="35">
        <f>SUM(E8:E107)</f>
        <v>6700.6</v>
      </c>
      <c r="F108" s="35">
        <f>SUM(F8:F107)</f>
        <v>0</v>
      </c>
      <c r="G108" s="35">
        <f>+E108-F108+G8</f>
        <v>10142.6</v>
      </c>
      <c r="H108" s="35"/>
      <c r="I108" s="36"/>
      <c r="J108" s="7">
        <f>SUM(J9:J107)</f>
        <v>20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E21D-FC9C-43DA-8C31-62E6199538D6}">
  <sheetPr codeName="Sheet83"/>
  <dimension ref="A1:Q119"/>
  <sheetViews>
    <sheetView workbookViewId="0">
      <selection activeCell="C9" sqref="C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2587</v>
      </c>
      <c r="H8" s="7"/>
      <c r="I8" s="7"/>
      <c r="J8" s="7"/>
    </row>
    <row r="9" spans="1:13" ht="17.25" customHeight="1" x14ac:dyDescent="0.25">
      <c r="A9" s="14">
        <v>1</v>
      </c>
      <c r="B9" s="8"/>
      <c r="C9" s="46" t="s">
        <v>178</v>
      </c>
      <c r="D9" s="214" t="s">
        <v>19</v>
      </c>
      <c r="E9" s="30"/>
      <c r="F9" s="27"/>
      <c r="G9" s="18">
        <f>+G8+E9-F9</f>
        <v>2587</v>
      </c>
      <c r="H9" s="28" t="s">
        <v>91</v>
      </c>
      <c r="I9" s="7" t="s">
        <v>90</v>
      </c>
      <c r="J9" s="7">
        <v>6</v>
      </c>
    </row>
    <row r="10" spans="1:13" ht="17.25" customHeight="1" x14ac:dyDescent="0.25">
      <c r="A10" s="14">
        <f t="shared" ref="A10:A73" si="0">+A9+1</f>
        <v>2</v>
      </c>
      <c r="B10" s="8"/>
      <c r="C10" s="46" t="s">
        <v>178</v>
      </c>
      <c r="D10" s="214" t="s">
        <v>19</v>
      </c>
      <c r="E10" s="30"/>
      <c r="F10" s="27"/>
      <c r="G10" s="18">
        <f t="shared" ref="G10:G73" si="1">+G9+E10-F10</f>
        <v>2587</v>
      </c>
      <c r="H10" s="28" t="s">
        <v>91</v>
      </c>
      <c r="I10" s="7" t="s">
        <v>90</v>
      </c>
      <c r="J10" s="7">
        <v>2</v>
      </c>
      <c r="L10">
        <f>457+460.2+370.8+369.6+465.8+464</f>
        <v>2587.4</v>
      </c>
      <c r="M10">
        <f>455.8+461.7</f>
        <v>917.5</v>
      </c>
    </row>
    <row r="11" spans="1:13" ht="18" customHeight="1" x14ac:dyDescent="0.25">
      <c r="A11" s="14">
        <f t="shared" si="0"/>
        <v>3</v>
      </c>
      <c r="B11" s="8"/>
      <c r="C11" s="46" t="s">
        <v>178</v>
      </c>
      <c r="D11" s="214" t="s">
        <v>19</v>
      </c>
      <c r="E11" s="16"/>
      <c r="F11" s="27"/>
      <c r="G11" s="18">
        <f t="shared" si="1"/>
        <v>2587</v>
      </c>
      <c r="H11" s="28" t="s">
        <v>91</v>
      </c>
      <c r="I11" s="7" t="s">
        <v>90</v>
      </c>
      <c r="J11" s="140">
        <v>22</v>
      </c>
    </row>
    <row r="12" spans="1:13" ht="18" customHeight="1" x14ac:dyDescent="0.25">
      <c r="A12" s="14">
        <f t="shared" si="0"/>
        <v>4</v>
      </c>
      <c r="B12" s="8"/>
      <c r="C12" s="46" t="s">
        <v>178</v>
      </c>
      <c r="D12" s="214" t="s">
        <v>19</v>
      </c>
      <c r="E12" s="16"/>
      <c r="F12" s="17"/>
      <c r="G12" s="18">
        <f t="shared" si="1"/>
        <v>2587</v>
      </c>
      <c r="H12" s="28" t="s">
        <v>91</v>
      </c>
      <c r="I12" s="7" t="s">
        <v>90</v>
      </c>
      <c r="J12" s="140"/>
    </row>
    <row r="13" spans="1:13" ht="18" customHeight="1" x14ac:dyDescent="0.25">
      <c r="A13" s="14">
        <f t="shared" si="0"/>
        <v>5</v>
      </c>
      <c r="B13" s="205"/>
      <c r="C13" s="46" t="s">
        <v>178</v>
      </c>
      <c r="D13" s="214" t="s">
        <v>19</v>
      </c>
      <c r="E13" s="16"/>
      <c r="F13" s="17"/>
      <c r="G13" s="18">
        <f t="shared" si="1"/>
        <v>2587</v>
      </c>
      <c r="H13" s="28" t="s">
        <v>91</v>
      </c>
      <c r="I13" s="7" t="s">
        <v>90</v>
      </c>
      <c r="J13" s="140"/>
    </row>
    <row r="14" spans="1:13" ht="18" customHeight="1" x14ac:dyDescent="0.25">
      <c r="A14" s="14">
        <f t="shared" si="0"/>
        <v>6</v>
      </c>
      <c r="B14" s="8"/>
      <c r="C14" s="46" t="s">
        <v>178</v>
      </c>
      <c r="D14" s="214" t="s">
        <v>19</v>
      </c>
      <c r="E14" s="16"/>
      <c r="F14" s="27"/>
      <c r="G14" s="18">
        <f t="shared" si="1"/>
        <v>2587</v>
      </c>
      <c r="H14" s="28" t="s">
        <v>91</v>
      </c>
      <c r="I14" s="7" t="s">
        <v>90</v>
      </c>
      <c r="J14" s="7"/>
    </row>
    <row r="15" spans="1:13" ht="18" customHeight="1" x14ac:dyDescent="0.25">
      <c r="A15" s="14">
        <f t="shared" si="0"/>
        <v>7</v>
      </c>
      <c r="B15" s="8"/>
      <c r="C15" s="46" t="s">
        <v>178</v>
      </c>
      <c r="D15" s="214" t="s">
        <v>19</v>
      </c>
      <c r="E15" s="16"/>
      <c r="F15" s="27"/>
      <c r="G15" s="18">
        <f t="shared" si="1"/>
        <v>2587</v>
      </c>
      <c r="H15" s="28" t="s">
        <v>91</v>
      </c>
      <c r="I15" s="7" t="s">
        <v>90</v>
      </c>
      <c r="J15" s="140"/>
    </row>
    <row r="16" spans="1:13" ht="18" customHeight="1" x14ac:dyDescent="0.25">
      <c r="A16" s="14">
        <f t="shared" si="0"/>
        <v>8</v>
      </c>
      <c r="B16" s="8"/>
      <c r="C16" s="46" t="s">
        <v>178</v>
      </c>
      <c r="D16" s="214" t="s">
        <v>19</v>
      </c>
      <c r="E16" s="16"/>
      <c r="F16" s="27"/>
      <c r="G16" s="18">
        <f t="shared" si="1"/>
        <v>2587</v>
      </c>
      <c r="H16" s="28" t="s">
        <v>91</v>
      </c>
      <c r="I16" s="7" t="s">
        <v>90</v>
      </c>
      <c r="J16" s="7"/>
    </row>
    <row r="17" spans="1:14" ht="18" customHeight="1" x14ac:dyDescent="0.25">
      <c r="A17" s="14">
        <f t="shared" si="0"/>
        <v>9</v>
      </c>
      <c r="B17" s="8"/>
      <c r="C17" s="46" t="s">
        <v>178</v>
      </c>
      <c r="D17" s="214" t="s">
        <v>19</v>
      </c>
      <c r="E17" s="30"/>
      <c r="F17" s="27"/>
      <c r="G17" s="18">
        <f t="shared" si="1"/>
        <v>2587</v>
      </c>
      <c r="H17" s="28" t="s">
        <v>91</v>
      </c>
      <c r="I17" s="7" t="s">
        <v>90</v>
      </c>
      <c r="J17" s="7"/>
    </row>
    <row r="18" spans="1:14" s="230" customFormat="1" ht="18" customHeight="1" x14ac:dyDescent="0.25">
      <c r="A18" s="223">
        <f>+A17+1</f>
        <v>10</v>
      </c>
      <c r="B18" s="224"/>
      <c r="C18" s="46" t="s">
        <v>178</v>
      </c>
      <c r="D18" s="226" t="s">
        <v>19</v>
      </c>
      <c r="E18" s="227"/>
      <c r="F18" s="228"/>
      <c r="G18" s="229">
        <f t="shared" si="1"/>
        <v>2587</v>
      </c>
      <c r="H18" s="28" t="s">
        <v>91</v>
      </c>
      <c r="I18" s="7" t="s">
        <v>90</v>
      </c>
      <c r="J18" s="348"/>
    </row>
    <row r="19" spans="1:14" s="230" customFormat="1" ht="18" customHeight="1" x14ac:dyDescent="0.25">
      <c r="A19" s="223">
        <f t="shared" si="0"/>
        <v>11</v>
      </c>
      <c r="B19" s="224"/>
      <c r="C19" s="46" t="s">
        <v>178</v>
      </c>
      <c r="D19" s="226" t="s">
        <v>19</v>
      </c>
      <c r="E19" s="231"/>
      <c r="F19" s="228"/>
      <c r="G19" s="229">
        <f t="shared" si="1"/>
        <v>2587</v>
      </c>
      <c r="H19" s="28" t="s">
        <v>91</v>
      </c>
      <c r="I19" s="7" t="s">
        <v>90</v>
      </c>
      <c r="J19" s="348"/>
    </row>
    <row r="20" spans="1:14" ht="18" customHeight="1" x14ac:dyDescent="0.25">
      <c r="A20" s="14">
        <f t="shared" si="0"/>
        <v>12</v>
      </c>
      <c r="B20" s="8"/>
      <c r="C20" s="46" t="s">
        <v>178</v>
      </c>
      <c r="D20" s="214" t="s">
        <v>19</v>
      </c>
      <c r="E20" s="32"/>
      <c r="F20" s="17"/>
      <c r="G20" s="18">
        <f t="shared" si="1"/>
        <v>2587</v>
      </c>
      <c r="H20" s="28" t="s">
        <v>91</v>
      </c>
      <c r="I20" s="7" t="s">
        <v>90</v>
      </c>
      <c r="J20" s="7"/>
      <c r="N20" s="26"/>
    </row>
    <row r="21" spans="1:14" ht="18" customHeight="1" x14ac:dyDescent="0.25">
      <c r="A21" s="14">
        <f t="shared" si="0"/>
        <v>13</v>
      </c>
      <c r="B21" s="8"/>
      <c r="C21" s="46" t="s">
        <v>178</v>
      </c>
      <c r="D21" s="214" t="s">
        <v>19</v>
      </c>
      <c r="E21" s="32"/>
      <c r="F21" s="27"/>
      <c r="G21" s="18">
        <f t="shared" si="1"/>
        <v>2587</v>
      </c>
      <c r="H21" s="28" t="s">
        <v>91</v>
      </c>
      <c r="I21" s="7" t="s">
        <v>90</v>
      </c>
      <c r="J21" s="7"/>
    </row>
    <row r="22" spans="1:14" ht="18" customHeight="1" x14ac:dyDescent="0.25">
      <c r="A22" s="14">
        <f t="shared" si="0"/>
        <v>14</v>
      </c>
      <c r="B22" s="232"/>
      <c r="C22" s="46" t="s">
        <v>178</v>
      </c>
      <c r="D22" s="234" t="s">
        <v>19</v>
      </c>
      <c r="E22" s="235"/>
      <c r="F22" s="172"/>
      <c r="G22" s="18">
        <f t="shared" si="1"/>
        <v>2587</v>
      </c>
      <c r="H22" s="28" t="s">
        <v>129</v>
      </c>
      <c r="I22" s="7" t="s">
        <v>90</v>
      </c>
      <c r="J22" s="7"/>
    </row>
    <row r="23" spans="1:14" ht="18" customHeight="1" x14ac:dyDescent="0.25">
      <c r="A23" s="14">
        <f t="shared" si="0"/>
        <v>15</v>
      </c>
      <c r="B23" s="8"/>
      <c r="C23" s="46" t="s">
        <v>178</v>
      </c>
      <c r="D23" s="214" t="s">
        <v>19</v>
      </c>
      <c r="E23" s="32"/>
      <c r="F23" s="17"/>
      <c r="G23" s="18">
        <f t="shared" si="1"/>
        <v>2587</v>
      </c>
      <c r="H23" s="28" t="s">
        <v>129</v>
      </c>
      <c r="I23" s="7" t="s">
        <v>142</v>
      </c>
      <c r="J23" s="7"/>
    </row>
    <row r="24" spans="1:14" ht="18" customHeight="1" x14ac:dyDescent="0.25">
      <c r="A24" s="14">
        <f t="shared" si="0"/>
        <v>16</v>
      </c>
      <c r="B24" s="8"/>
      <c r="C24" s="46" t="s">
        <v>178</v>
      </c>
      <c r="D24" s="214" t="s">
        <v>19</v>
      </c>
      <c r="E24" s="32"/>
      <c r="F24" s="17"/>
      <c r="G24" s="18">
        <f t="shared" si="1"/>
        <v>2587</v>
      </c>
      <c r="H24" s="28" t="s">
        <v>91</v>
      </c>
      <c r="I24" s="7" t="s">
        <v>90</v>
      </c>
      <c r="J24" s="7"/>
    </row>
    <row r="25" spans="1:14" ht="18" customHeight="1" x14ac:dyDescent="0.25">
      <c r="A25" s="14">
        <f t="shared" si="0"/>
        <v>17</v>
      </c>
      <c r="B25" s="8"/>
      <c r="C25" s="46" t="s">
        <v>178</v>
      </c>
      <c r="D25" s="214" t="s">
        <v>19</v>
      </c>
      <c r="E25" s="32"/>
      <c r="F25" s="17"/>
      <c r="G25" s="18">
        <f t="shared" si="1"/>
        <v>2587</v>
      </c>
      <c r="H25" s="28" t="s">
        <v>91</v>
      </c>
      <c r="I25" s="7" t="s">
        <v>90</v>
      </c>
      <c r="J25" s="7"/>
    </row>
    <row r="26" spans="1:14" ht="18" customHeight="1" x14ac:dyDescent="0.25">
      <c r="A26" s="14">
        <f t="shared" si="0"/>
        <v>18</v>
      </c>
      <c r="B26" s="8"/>
      <c r="C26" s="46" t="s">
        <v>178</v>
      </c>
      <c r="D26" s="214" t="s">
        <v>19</v>
      </c>
      <c r="E26" s="32"/>
      <c r="F26" s="17"/>
      <c r="G26" s="18">
        <f t="shared" si="1"/>
        <v>2587</v>
      </c>
      <c r="H26" s="28" t="s">
        <v>91</v>
      </c>
      <c r="I26" s="7" t="s">
        <v>90</v>
      </c>
      <c r="J26" s="7"/>
    </row>
    <row r="27" spans="1:14" ht="18" customHeight="1" x14ac:dyDescent="0.25">
      <c r="A27" s="14">
        <f>+A26+1</f>
        <v>19</v>
      </c>
      <c r="B27" s="8"/>
      <c r="C27" s="46" t="s">
        <v>178</v>
      </c>
      <c r="D27" s="214" t="s">
        <v>19</v>
      </c>
      <c r="E27" s="32"/>
      <c r="F27" s="17"/>
      <c r="G27" s="18">
        <f t="shared" si="1"/>
        <v>2587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20</v>
      </c>
      <c r="B28" s="8"/>
      <c r="C28" s="46" t="s">
        <v>178</v>
      </c>
      <c r="D28" s="214" t="s">
        <v>19</v>
      </c>
      <c r="E28" s="129"/>
      <c r="F28" s="17"/>
      <c r="G28" s="18">
        <f t="shared" si="1"/>
        <v>2587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21</v>
      </c>
      <c r="B29" s="8"/>
      <c r="C29" s="46" t="s">
        <v>178</v>
      </c>
      <c r="D29" s="214" t="s">
        <v>19</v>
      </c>
      <c r="E29" s="32"/>
      <c r="F29" s="172"/>
      <c r="G29" s="18">
        <f t="shared" si="1"/>
        <v>2587</v>
      </c>
      <c r="H29" s="28" t="s">
        <v>91</v>
      </c>
      <c r="I29" s="7" t="s">
        <v>90</v>
      </c>
      <c r="J29" s="7"/>
    </row>
    <row r="30" spans="1:14" ht="18" customHeight="1" x14ac:dyDescent="0.25">
      <c r="A30" s="14">
        <f t="shared" si="0"/>
        <v>22</v>
      </c>
      <c r="B30" s="8"/>
      <c r="C30" s="46" t="s">
        <v>178</v>
      </c>
      <c r="D30" s="214" t="s">
        <v>19</v>
      </c>
      <c r="E30" s="32"/>
      <c r="F30" s="17"/>
      <c r="G30" s="18">
        <f t="shared" si="1"/>
        <v>2587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23</v>
      </c>
      <c r="B31" s="8"/>
      <c r="C31" s="46" t="s">
        <v>178</v>
      </c>
      <c r="D31" s="214" t="s">
        <v>19</v>
      </c>
      <c r="E31" s="32"/>
      <c r="F31" s="17"/>
      <c r="G31" s="18">
        <f t="shared" si="1"/>
        <v>2587</v>
      </c>
      <c r="H31" s="28" t="s">
        <v>91</v>
      </c>
      <c r="I31" s="7" t="s">
        <v>90</v>
      </c>
      <c r="J31" s="7"/>
    </row>
    <row r="32" spans="1:14" ht="17.25" customHeight="1" x14ac:dyDescent="0.25">
      <c r="A32" s="14">
        <f t="shared" si="0"/>
        <v>24</v>
      </c>
      <c r="B32" s="8"/>
      <c r="C32" s="46" t="s">
        <v>178</v>
      </c>
      <c r="D32" s="214" t="s">
        <v>19</v>
      </c>
      <c r="E32" s="13"/>
      <c r="F32" s="17"/>
      <c r="G32" s="18">
        <f t="shared" si="1"/>
        <v>2587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25</v>
      </c>
      <c r="B33" s="44"/>
      <c r="C33" s="46" t="s">
        <v>178</v>
      </c>
      <c r="D33" s="214" t="s">
        <v>19</v>
      </c>
      <c r="E33" s="13"/>
      <c r="F33" s="17"/>
      <c r="G33" s="18">
        <f t="shared" si="1"/>
        <v>2587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178</v>
      </c>
      <c r="D34" s="214" t="s">
        <v>19</v>
      </c>
      <c r="E34" s="32"/>
      <c r="F34" s="40"/>
      <c r="G34" s="18">
        <f t="shared" si="1"/>
        <v>2587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178</v>
      </c>
      <c r="D35" s="214" t="s">
        <v>19</v>
      </c>
      <c r="E35" s="32"/>
      <c r="F35" s="40"/>
      <c r="G35" s="18">
        <f t="shared" si="1"/>
        <v>2587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178</v>
      </c>
      <c r="D36" s="214" t="s">
        <v>19</v>
      </c>
      <c r="E36" s="32"/>
      <c r="F36" s="40"/>
      <c r="G36" s="18">
        <f t="shared" si="1"/>
        <v>2587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178</v>
      </c>
      <c r="D37" s="214" t="s">
        <v>19</v>
      </c>
      <c r="E37" s="32"/>
      <c r="F37" s="17"/>
      <c r="G37" s="18">
        <f t="shared" si="1"/>
        <v>2587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178</v>
      </c>
      <c r="D38" s="214" t="s">
        <v>19</v>
      </c>
      <c r="E38" s="32"/>
      <c r="F38" s="17"/>
      <c r="G38" s="18">
        <f t="shared" si="1"/>
        <v>2587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178</v>
      </c>
      <c r="D39" s="214" t="s">
        <v>19</v>
      </c>
      <c r="E39" s="32"/>
      <c r="F39" s="17"/>
      <c r="G39" s="18">
        <f t="shared" si="1"/>
        <v>2587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178</v>
      </c>
      <c r="D40" s="214" t="s">
        <v>19</v>
      </c>
      <c r="E40" s="32"/>
      <c r="F40" s="17"/>
      <c r="G40" s="18">
        <f t="shared" si="1"/>
        <v>2587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178</v>
      </c>
      <c r="D41" s="214" t="s">
        <v>19</v>
      </c>
      <c r="E41" s="32"/>
      <c r="F41" s="172"/>
      <c r="G41" s="18">
        <f t="shared" si="1"/>
        <v>2587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178</v>
      </c>
      <c r="D42" s="214" t="s">
        <v>19</v>
      </c>
      <c r="E42" s="32"/>
      <c r="F42" s="17"/>
      <c r="G42" s="18">
        <f t="shared" si="1"/>
        <v>2587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178</v>
      </c>
      <c r="D43" s="214" t="s">
        <v>19</v>
      </c>
      <c r="E43" s="32"/>
      <c r="F43" s="17"/>
      <c r="G43" s="18">
        <f t="shared" si="1"/>
        <v>2587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178</v>
      </c>
      <c r="D44" s="214" t="s">
        <v>19</v>
      </c>
      <c r="E44" s="32"/>
      <c r="F44" s="17"/>
      <c r="G44" s="18">
        <f t="shared" si="1"/>
        <v>2587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178</v>
      </c>
      <c r="D45" s="214" t="s">
        <v>19</v>
      </c>
      <c r="E45" s="32"/>
      <c r="F45" s="17"/>
      <c r="G45" s="18">
        <f t="shared" si="1"/>
        <v>2587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178</v>
      </c>
      <c r="D46" s="214" t="s">
        <v>19</v>
      </c>
      <c r="E46" s="32"/>
      <c r="F46" s="17"/>
      <c r="G46" s="18">
        <f t="shared" si="1"/>
        <v>2587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178</v>
      </c>
      <c r="D47" s="214" t="s">
        <v>19</v>
      </c>
      <c r="E47" s="32"/>
      <c r="F47" s="17"/>
      <c r="G47" s="18">
        <f t="shared" si="1"/>
        <v>2587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178</v>
      </c>
      <c r="D48" s="214" t="s">
        <v>19</v>
      </c>
      <c r="E48" s="32"/>
      <c r="F48" s="17"/>
      <c r="G48" s="18">
        <f t="shared" si="1"/>
        <v>2587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178</v>
      </c>
      <c r="D49" s="214" t="s">
        <v>19</v>
      </c>
      <c r="E49" s="32"/>
      <c r="F49" s="17"/>
      <c r="G49" s="18">
        <f t="shared" si="1"/>
        <v>2587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178</v>
      </c>
      <c r="D50" s="237" t="s">
        <v>19</v>
      </c>
      <c r="E50" s="175"/>
      <c r="F50" s="172"/>
      <c r="G50" s="238">
        <f t="shared" si="1"/>
        <v>2587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178</v>
      </c>
      <c r="D51" s="214" t="s">
        <v>19</v>
      </c>
      <c r="E51" s="32"/>
      <c r="F51" s="17"/>
      <c r="G51" s="18">
        <f t="shared" si="1"/>
        <v>2587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178</v>
      </c>
      <c r="D52" s="214" t="s">
        <v>19</v>
      </c>
      <c r="E52" s="32"/>
      <c r="F52" s="17"/>
      <c r="G52" s="18">
        <f t="shared" si="1"/>
        <v>2587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178</v>
      </c>
      <c r="D53" s="214" t="s">
        <v>19</v>
      </c>
      <c r="E53" s="32"/>
      <c r="F53" s="17"/>
      <c r="G53" s="18">
        <f t="shared" si="1"/>
        <v>2587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178</v>
      </c>
      <c r="D54" s="214" t="s">
        <v>19</v>
      </c>
      <c r="E54" s="32"/>
      <c r="F54" s="17"/>
      <c r="G54" s="18">
        <f t="shared" si="1"/>
        <v>2587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178</v>
      </c>
      <c r="D55" s="214" t="s">
        <v>19</v>
      </c>
      <c r="E55" s="32"/>
      <c r="F55" s="17"/>
      <c r="G55" s="18">
        <f t="shared" si="1"/>
        <v>2587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178</v>
      </c>
      <c r="D56" s="214" t="s">
        <v>19</v>
      </c>
      <c r="E56" s="32"/>
      <c r="F56" s="17"/>
      <c r="G56" s="18">
        <f t="shared" si="1"/>
        <v>2587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178</v>
      </c>
      <c r="D57" s="214" t="s">
        <v>19</v>
      </c>
      <c r="E57" s="32"/>
      <c r="F57" s="17"/>
      <c r="G57" s="18">
        <f t="shared" si="1"/>
        <v>2587</v>
      </c>
      <c r="H57" s="240"/>
      <c r="I57" s="7" t="s">
        <v>14</v>
      </c>
      <c r="J57" s="7"/>
    </row>
    <row r="58" spans="1:16" ht="18" customHeight="1" x14ac:dyDescent="0.25">
      <c r="A58" s="14">
        <f t="shared" si="0"/>
        <v>50</v>
      </c>
      <c r="B58" s="8"/>
      <c r="C58" s="46" t="s">
        <v>178</v>
      </c>
      <c r="D58" s="214" t="s">
        <v>19</v>
      </c>
      <c r="E58" s="32"/>
      <c r="F58" s="17"/>
      <c r="G58" s="18">
        <f t="shared" si="1"/>
        <v>2587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51</v>
      </c>
      <c r="B59" s="8"/>
      <c r="C59" s="46" t="s">
        <v>178</v>
      </c>
      <c r="D59" s="214" t="s">
        <v>19</v>
      </c>
      <c r="E59" s="32"/>
      <c r="F59" s="17"/>
      <c r="G59" s="18">
        <f t="shared" si="1"/>
        <v>2587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52</v>
      </c>
      <c r="B60" s="8"/>
      <c r="C60" s="46" t="s">
        <v>178</v>
      </c>
      <c r="D60" s="214" t="s">
        <v>19</v>
      </c>
      <c r="E60" s="32"/>
      <c r="F60" s="17"/>
      <c r="G60" s="18">
        <f t="shared" si="1"/>
        <v>2587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178</v>
      </c>
      <c r="D61" s="214" t="s">
        <v>19</v>
      </c>
      <c r="E61" s="32"/>
      <c r="F61" s="17"/>
      <c r="G61" s="18">
        <f t="shared" si="1"/>
        <v>2587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178</v>
      </c>
      <c r="D62" s="214" t="s">
        <v>19</v>
      </c>
      <c r="E62" s="32"/>
      <c r="F62" s="17"/>
      <c r="G62" s="18">
        <f t="shared" si="1"/>
        <v>2587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178</v>
      </c>
      <c r="D63" s="214" t="s">
        <v>19</v>
      </c>
      <c r="E63" s="32"/>
      <c r="F63" s="17"/>
      <c r="G63" s="18">
        <f t="shared" si="1"/>
        <v>2587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178</v>
      </c>
      <c r="D64" s="214" t="s">
        <v>19</v>
      </c>
      <c r="E64" s="32"/>
      <c r="F64" s="17"/>
      <c r="G64" s="18">
        <f t="shared" si="1"/>
        <v>2587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178</v>
      </c>
      <c r="D65" s="214" t="s">
        <v>19</v>
      </c>
      <c r="E65" s="32"/>
      <c r="F65" s="17"/>
      <c r="G65" s="18">
        <f t="shared" si="1"/>
        <v>2587</v>
      </c>
      <c r="H65" s="240"/>
      <c r="I65" s="7" t="s">
        <v>14</v>
      </c>
      <c r="J65" s="140"/>
    </row>
    <row r="66" spans="1:10" ht="18" customHeight="1" x14ac:dyDescent="0.25">
      <c r="A66" s="14">
        <f t="shared" si="0"/>
        <v>58</v>
      </c>
      <c r="B66" s="8"/>
      <c r="C66" s="46" t="s">
        <v>178</v>
      </c>
      <c r="D66" s="214" t="s">
        <v>19</v>
      </c>
      <c r="E66" s="32"/>
      <c r="F66" s="17"/>
      <c r="G66" s="18">
        <f t="shared" si="1"/>
        <v>2587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178</v>
      </c>
      <c r="D67" s="214" t="s">
        <v>19</v>
      </c>
      <c r="E67" s="32"/>
      <c r="F67" s="17"/>
      <c r="G67" s="18">
        <f>+G66+E67-F67</f>
        <v>2587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178</v>
      </c>
      <c r="D68" s="214" t="s">
        <v>19</v>
      </c>
      <c r="E68" s="32"/>
      <c r="F68" s="17"/>
      <c r="G68" s="18">
        <f>+G67+E68-F68</f>
        <v>2587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61</v>
      </c>
      <c r="B69" s="8"/>
      <c r="C69" s="46" t="s">
        <v>178</v>
      </c>
      <c r="D69" s="214" t="s">
        <v>19</v>
      </c>
      <c r="E69" s="32"/>
      <c r="F69" s="17"/>
      <c r="G69" s="18">
        <f>+G68+E69-F69</f>
        <v>2587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178</v>
      </c>
      <c r="D70" s="214" t="s">
        <v>19</v>
      </c>
      <c r="E70" s="32"/>
      <c r="F70" s="17"/>
      <c r="G70" s="18">
        <f t="shared" si="1"/>
        <v>2587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178</v>
      </c>
      <c r="D71" s="214" t="s">
        <v>19</v>
      </c>
      <c r="E71" s="32"/>
      <c r="F71" s="17"/>
      <c r="G71" s="18">
        <f t="shared" si="1"/>
        <v>2587</v>
      </c>
      <c r="H71" s="240"/>
      <c r="I71" s="7" t="s">
        <v>14</v>
      </c>
      <c r="J71" s="7"/>
    </row>
    <row r="72" spans="1:10" ht="18" customHeight="1" x14ac:dyDescent="0.25">
      <c r="A72" s="14">
        <f>+A71+1</f>
        <v>64</v>
      </c>
      <c r="B72" s="8"/>
      <c r="C72" s="46" t="s">
        <v>178</v>
      </c>
      <c r="D72" s="214" t="s">
        <v>19</v>
      </c>
      <c r="E72" s="32"/>
      <c r="F72" s="17"/>
      <c r="G72" s="18">
        <f t="shared" si="1"/>
        <v>2587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178</v>
      </c>
      <c r="D73" s="214" t="s">
        <v>19</v>
      </c>
      <c r="E73" s="32"/>
      <c r="F73" s="17"/>
      <c r="G73" s="18">
        <f t="shared" si="1"/>
        <v>2587</v>
      </c>
      <c r="H73" s="240"/>
      <c r="I73" s="7" t="s">
        <v>14</v>
      </c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178</v>
      </c>
      <c r="D74" s="214" t="s">
        <v>19</v>
      </c>
      <c r="E74" s="32"/>
      <c r="F74" s="17"/>
      <c r="G74" s="18">
        <f t="shared" ref="G74:G91" si="3">+G73+E74-F74</f>
        <v>2587</v>
      </c>
      <c r="H74" s="240"/>
      <c r="I74" s="7" t="s">
        <v>14</v>
      </c>
      <c r="J74" s="7"/>
    </row>
    <row r="75" spans="1:10" ht="18" customHeight="1" x14ac:dyDescent="0.25">
      <c r="A75" s="14">
        <f t="shared" si="2"/>
        <v>67</v>
      </c>
      <c r="B75" s="8"/>
      <c r="C75" s="46" t="s">
        <v>178</v>
      </c>
      <c r="D75" s="214" t="s">
        <v>19</v>
      </c>
      <c r="E75" s="32"/>
      <c r="F75" s="17"/>
      <c r="G75" s="18">
        <f t="shared" si="3"/>
        <v>2587</v>
      </c>
      <c r="H75" s="240"/>
      <c r="I75" s="7" t="s">
        <v>14</v>
      </c>
      <c r="J75" s="7"/>
    </row>
    <row r="76" spans="1:10" ht="18" customHeight="1" x14ac:dyDescent="0.25">
      <c r="A76" s="14">
        <f t="shared" si="2"/>
        <v>68</v>
      </c>
      <c r="B76" s="8"/>
      <c r="C76" s="46" t="s">
        <v>178</v>
      </c>
      <c r="D76" s="214" t="s">
        <v>19</v>
      </c>
      <c r="E76" s="32"/>
      <c r="F76" s="17"/>
      <c r="G76" s="18">
        <f t="shared" si="3"/>
        <v>2587</v>
      </c>
      <c r="H76" s="240"/>
      <c r="I76" s="7" t="s">
        <v>14</v>
      </c>
      <c r="J76" s="7"/>
    </row>
    <row r="77" spans="1:10" ht="18" customHeight="1" x14ac:dyDescent="0.25">
      <c r="A77" s="14">
        <f t="shared" si="2"/>
        <v>69</v>
      </c>
      <c r="B77" s="8"/>
      <c r="C77" s="46" t="s">
        <v>178</v>
      </c>
      <c r="D77" s="214" t="s">
        <v>19</v>
      </c>
      <c r="E77" s="32"/>
      <c r="F77" s="17"/>
      <c r="G77" s="18">
        <f t="shared" si="3"/>
        <v>2587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178</v>
      </c>
      <c r="D78" s="214" t="s">
        <v>19</v>
      </c>
      <c r="E78" s="32"/>
      <c r="F78" s="17"/>
      <c r="G78" s="18">
        <f t="shared" si="3"/>
        <v>2587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178</v>
      </c>
      <c r="D79" s="214" t="s">
        <v>19</v>
      </c>
      <c r="E79" s="32"/>
      <c r="F79" s="17"/>
      <c r="G79" s="18">
        <f t="shared" si="3"/>
        <v>2587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178</v>
      </c>
      <c r="D80" s="214" t="s">
        <v>19</v>
      </c>
      <c r="E80" s="32"/>
      <c r="F80" s="17"/>
      <c r="G80" s="18">
        <f t="shared" si="3"/>
        <v>2587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178</v>
      </c>
      <c r="D81" s="214" t="s">
        <v>19</v>
      </c>
      <c r="E81" s="32"/>
      <c r="F81" s="17"/>
      <c r="G81" s="18">
        <f t="shared" si="3"/>
        <v>2587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178</v>
      </c>
      <c r="D82" s="214" t="s">
        <v>19</v>
      </c>
      <c r="E82" s="32"/>
      <c r="F82" s="17"/>
      <c r="G82" s="18">
        <f t="shared" si="3"/>
        <v>2587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178</v>
      </c>
      <c r="D83" s="214" t="s">
        <v>19</v>
      </c>
      <c r="E83" s="32"/>
      <c r="F83" s="27"/>
      <c r="G83" s="18">
        <f t="shared" si="3"/>
        <v>2587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178</v>
      </c>
      <c r="D84" s="214" t="s">
        <v>19</v>
      </c>
      <c r="E84" s="32"/>
      <c r="F84" s="17"/>
      <c r="G84" s="18">
        <f t="shared" si="3"/>
        <v>2587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178</v>
      </c>
      <c r="D85" s="214" t="s">
        <v>19</v>
      </c>
      <c r="E85" s="32"/>
      <c r="F85" s="17"/>
      <c r="G85" s="18">
        <f t="shared" si="3"/>
        <v>2587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178</v>
      </c>
      <c r="D86" s="214" t="s">
        <v>19</v>
      </c>
      <c r="E86" s="32"/>
      <c r="F86" s="17"/>
      <c r="G86" s="18">
        <f t="shared" si="3"/>
        <v>2587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178</v>
      </c>
      <c r="D87" s="214" t="s">
        <v>19</v>
      </c>
      <c r="E87" s="32"/>
      <c r="F87" s="17"/>
      <c r="G87" s="18">
        <f t="shared" si="3"/>
        <v>2587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178</v>
      </c>
      <c r="D88" s="214" t="s">
        <v>19</v>
      </c>
      <c r="E88" s="32"/>
      <c r="F88" s="17"/>
      <c r="G88" s="18">
        <f t="shared" si="3"/>
        <v>2587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178</v>
      </c>
      <c r="D89" s="214" t="s">
        <v>19</v>
      </c>
      <c r="E89" s="32"/>
      <c r="F89" s="17"/>
      <c r="G89" s="18">
        <f t="shared" si="3"/>
        <v>2587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178</v>
      </c>
      <c r="D90" s="214" t="s">
        <v>19</v>
      </c>
      <c r="E90" s="32"/>
      <c r="F90" s="17"/>
      <c r="G90" s="18">
        <f t="shared" si="3"/>
        <v>2587</v>
      </c>
      <c r="H90" s="240"/>
      <c r="I90" s="7" t="s">
        <v>14</v>
      </c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178</v>
      </c>
      <c r="D91" s="214" t="s">
        <v>19</v>
      </c>
      <c r="E91" s="32"/>
      <c r="F91" s="27"/>
      <c r="G91" s="18">
        <f t="shared" si="3"/>
        <v>2587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178</v>
      </c>
      <c r="D92" s="214" t="s">
        <v>19</v>
      </c>
      <c r="E92" s="32"/>
      <c r="F92" s="27"/>
      <c r="G92" s="18">
        <f>+G91+E92-F92</f>
        <v>2587</v>
      </c>
      <c r="H92" s="240"/>
      <c r="I92" s="7" t="s">
        <v>14</v>
      </c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178</v>
      </c>
      <c r="D93" s="244" t="s">
        <v>19</v>
      </c>
      <c r="E93" s="245"/>
      <c r="F93" s="52"/>
      <c r="G93" s="246">
        <f>+G92+E93-F93</f>
        <v>2587</v>
      </c>
      <c r="H93" s="240"/>
      <c r="I93" s="247" t="s">
        <v>14</v>
      </c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178</v>
      </c>
      <c r="D94" s="244" t="s">
        <v>19</v>
      </c>
      <c r="E94" s="245"/>
      <c r="F94" s="52"/>
      <c r="G94" s="246">
        <f t="shared" ref="G94:G106" si="4">+G93+E94-F94</f>
        <v>2587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178</v>
      </c>
      <c r="D95" s="244" t="s">
        <v>19</v>
      </c>
      <c r="E95" s="245"/>
      <c r="F95" s="52"/>
      <c r="G95" s="246">
        <f t="shared" si="4"/>
        <v>2587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178</v>
      </c>
      <c r="D96" s="244" t="s">
        <v>19</v>
      </c>
      <c r="E96" s="245"/>
      <c r="F96" s="52"/>
      <c r="G96" s="246">
        <f t="shared" si="4"/>
        <v>2587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178</v>
      </c>
      <c r="D97" s="244" t="s">
        <v>19</v>
      </c>
      <c r="E97" s="245"/>
      <c r="F97" s="52"/>
      <c r="G97" s="246">
        <f t="shared" si="4"/>
        <v>2587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178</v>
      </c>
      <c r="D98" s="244" t="s">
        <v>19</v>
      </c>
      <c r="E98" s="245"/>
      <c r="F98" s="52"/>
      <c r="G98" s="246">
        <f t="shared" si="4"/>
        <v>2587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178</v>
      </c>
      <c r="D99" s="244" t="s">
        <v>19</v>
      </c>
      <c r="E99" s="245"/>
      <c r="F99" s="52"/>
      <c r="G99" s="246">
        <f t="shared" si="4"/>
        <v>2587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178</v>
      </c>
      <c r="D100" s="244" t="s">
        <v>19</v>
      </c>
      <c r="E100" s="245"/>
      <c r="F100" s="52"/>
      <c r="G100" s="246">
        <f t="shared" si="4"/>
        <v>2587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178</v>
      </c>
      <c r="D101" s="244"/>
      <c r="E101" s="245"/>
      <c r="F101" s="52"/>
      <c r="G101" s="246">
        <f t="shared" si="4"/>
        <v>2587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2587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2587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2587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2587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2587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2587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0</v>
      </c>
      <c r="G108" s="35">
        <f>+E108-F108+G8</f>
        <v>2587</v>
      </c>
      <c r="H108" s="35"/>
      <c r="I108" s="36"/>
      <c r="J108" s="7">
        <f>SUM(J9:J107)</f>
        <v>30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387E-1C9E-4B0C-BBF7-B5AE77442A7F}">
  <sheetPr codeName="Sheet84"/>
  <dimension ref="A1:Q122"/>
  <sheetViews>
    <sheetView topLeftCell="A79" workbookViewId="0">
      <selection activeCell="E38" sqref="E38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0.28515625" customWidth="1"/>
    <col min="12" max="12" width="11.57031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1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1" x14ac:dyDescent="0.25">
      <c r="A6" t="s">
        <v>162</v>
      </c>
    </row>
    <row r="7" spans="1:11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1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8093</v>
      </c>
      <c r="H8" s="7"/>
      <c r="I8" s="7"/>
      <c r="J8" s="7"/>
    </row>
    <row r="9" spans="1:11" ht="17.25" customHeight="1" x14ac:dyDescent="0.25">
      <c r="A9" s="14">
        <v>1</v>
      </c>
      <c r="B9" s="8">
        <v>45677</v>
      </c>
      <c r="C9" s="46" t="s">
        <v>170</v>
      </c>
      <c r="D9" s="214" t="s">
        <v>19</v>
      </c>
      <c r="E9" s="30"/>
      <c r="F9" s="27">
        <v>755.8</v>
      </c>
      <c r="G9" s="18">
        <f>+G8+E9-F9</f>
        <v>7337.2</v>
      </c>
      <c r="H9" s="28"/>
      <c r="I9" s="7" t="s">
        <v>347</v>
      </c>
      <c r="J9" s="7"/>
    </row>
    <row r="10" spans="1:11" ht="17.25" customHeight="1" x14ac:dyDescent="0.25">
      <c r="A10" s="14">
        <f t="shared" ref="A10:A76" si="0">+A9+1</f>
        <v>2</v>
      </c>
      <c r="B10" s="8">
        <v>45714</v>
      </c>
      <c r="C10" s="46" t="s">
        <v>170</v>
      </c>
      <c r="D10" s="214" t="s">
        <v>19</v>
      </c>
      <c r="E10" s="11"/>
      <c r="F10" s="31">
        <v>3504.9</v>
      </c>
      <c r="G10" s="238">
        <f t="shared" ref="G10:G76" si="1">+G9+E10-F10</f>
        <v>3832.2999999999997</v>
      </c>
      <c r="H10" s="239" t="s">
        <v>359</v>
      </c>
      <c r="I10" s="7" t="s">
        <v>360</v>
      </c>
      <c r="J10" s="7"/>
    </row>
    <row r="11" spans="1:11" ht="17.25" customHeight="1" x14ac:dyDescent="0.25">
      <c r="A11" s="14">
        <f t="shared" si="0"/>
        <v>3</v>
      </c>
      <c r="B11" s="8">
        <v>45716</v>
      </c>
      <c r="C11" s="46" t="s">
        <v>170</v>
      </c>
      <c r="D11" s="214" t="s">
        <v>19</v>
      </c>
      <c r="E11" s="11"/>
      <c r="F11" s="31">
        <v>1297.8</v>
      </c>
      <c r="G11" s="238">
        <f t="shared" si="1"/>
        <v>2534.5</v>
      </c>
      <c r="H11" s="239" t="s">
        <v>359</v>
      </c>
      <c r="I11" s="7" t="s">
        <v>361</v>
      </c>
      <c r="J11" s="7"/>
      <c r="K11" t="s">
        <v>370</v>
      </c>
    </row>
    <row r="12" spans="1:11" ht="18" customHeight="1" x14ac:dyDescent="0.25">
      <c r="A12" s="14">
        <f t="shared" si="0"/>
        <v>4</v>
      </c>
      <c r="B12" s="8">
        <v>45721</v>
      </c>
      <c r="C12" s="46" t="s">
        <v>170</v>
      </c>
      <c r="D12" s="214" t="s">
        <v>19</v>
      </c>
      <c r="E12" s="16">
        <v>13067.2</v>
      </c>
      <c r="F12" s="27"/>
      <c r="G12" s="18">
        <f t="shared" si="1"/>
        <v>15601.7</v>
      </c>
      <c r="H12" s="28"/>
      <c r="I12" s="7" t="s">
        <v>90</v>
      </c>
      <c r="J12" s="140">
        <v>42</v>
      </c>
    </row>
    <row r="13" spans="1:11" ht="18" customHeight="1" x14ac:dyDescent="0.25">
      <c r="A13" s="14">
        <f t="shared" si="0"/>
        <v>5</v>
      </c>
      <c r="B13" s="8">
        <v>45724</v>
      </c>
      <c r="C13" s="46" t="s">
        <v>170</v>
      </c>
      <c r="D13" s="214" t="s">
        <v>19</v>
      </c>
      <c r="E13" s="16"/>
      <c r="F13" s="155">
        <v>7860.3</v>
      </c>
      <c r="G13" s="238">
        <f t="shared" si="1"/>
        <v>7741.4000000000005</v>
      </c>
      <c r="H13" s="239" t="s">
        <v>359</v>
      </c>
      <c r="I13" s="7" t="s">
        <v>371</v>
      </c>
      <c r="J13" s="140"/>
    </row>
    <row r="14" spans="1:11" ht="18" customHeight="1" x14ac:dyDescent="0.25">
      <c r="A14" s="14">
        <f t="shared" si="0"/>
        <v>6</v>
      </c>
      <c r="B14" s="205">
        <v>45743</v>
      </c>
      <c r="C14" s="46" t="s">
        <v>170</v>
      </c>
      <c r="D14" s="214" t="s">
        <v>19</v>
      </c>
      <c r="E14" s="16"/>
      <c r="F14" s="17">
        <v>643.70000000000005</v>
      </c>
      <c r="G14" s="18">
        <f t="shared" si="1"/>
        <v>7097.7000000000007</v>
      </c>
      <c r="H14" s="28" t="s">
        <v>129</v>
      </c>
      <c r="I14" s="7" t="s">
        <v>90</v>
      </c>
      <c r="J14" s="140"/>
    </row>
    <row r="15" spans="1:11" ht="18" customHeight="1" x14ac:dyDescent="0.25">
      <c r="A15" s="14">
        <f t="shared" si="0"/>
        <v>7</v>
      </c>
      <c r="B15" s="205">
        <v>45747</v>
      </c>
      <c r="C15" s="46" t="s">
        <v>170</v>
      </c>
      <c r="D15" s="214"/>
      <c r="E15" s="16"/>
      <c r="F15" s="17">
        <v>610.4</v>
      </c>
      <c r="G15" s="18">
        <f t="shared" si="1"/>
        <v>6487.3000000000011</v>
      </c>
      <c r="H15" s="28" t="s">
        <v>129</v>
      </c>
      <c r="I15" s="7" t="s">
        <v>90</v>
      </c>
      <c r="J15" s="140"/>
    </row>
    <row r="16" spans="1:11" ht="18" customHeight="1" x14ac:dyDescent="0.25">
      <c r="A16" s="14">
        <f t="shared" si="0"/>
        <v>8</v>
      </c>
      <c r="B16" s="8">
        <v>45749</v>
      </c>
      <c r="C16" s="46" t="s">
        <v>170</v>
      </c>
      <c r="D16" s="214" t="s">
        <v>19</v>
      </c>
      <c r="E16" s="16"/>
      <c r="F16" s="27">
        <v>610.1</v>
      </c>
      <c r="G16" s="18">
        <f t="shared" si="1"/>
        <v>5877.2000000000007</v>
      </c>
      <c r="H16" s="28" t="s">
        <v>91</v>
      </c>
      <c r="I16" s="7" t="s">
        <v>90</v>
      </c>
      <c r="J16" s="7"/>
    </row>
    <row r="17" spans="1:14" ht="18" customHeight="1" x14ac:dyDescent="0.25">
      <c r="A17" s="14">
        <f t="shared" si="0"/>
        <v>9</v>
      </c>
      <c r="B17" s="8">
        <v>45751</v>
      </c>
      <c r="C17" s="46" t="s">
        <v>170</v>
      </c>
      <c r="D17" s="214" t="s">
        <v>19</v>
      </c>
      <c r="E17" s="16"/>
      <c r="F17" s="27">
        <v>552</v>
      </c>
      <c r="G17" s="18">
        <f>+G16+E17-F17</f>
        <v>5325.2000000000007</v>
      </c>
      <c r="H17" s="28" t="s">
        <v>91</v>
      </c>
      <c r="I17" s="7" t="s">
        <v>90</v>
      </c>
      <c r="J17" s="140"/>
      <c r="L17" s="399">
        <f>+F10+F11+F13</f>
        <v>12663</v>
      </c>
    </row>
    <row r="18" spans="1:14" ht="18" customHeight="1" x14ac:dyDescent="0.25">
      <c r="A18" s="14">
        <f t="shared" si="0"/>
        <v>10</v>
      </c>
      <c r="B18" s="8">
        <v>45755</v>
      </c>
      <c r="C18" s="46" t="s">
        <v>170</v>
      </c>
      <c r="D18" s="214" t="s">
        <v>19</v>
      </c>
      <c r="E18" s="16"/>
      <c r="F18" s="27">
        <v>624.6</v>
      </c>
      <c r="G18" s="18">
        <f t="shared" si="1"/>
        <v>4700.6000000000004</v>
      </c>
      <c r="H18" s="28" t="s">
        <v>91</v>
      </c>
      <c r="I18" s="7" t="s">
        <v>90</v>
      </c>
      <c r="J18" s="7"/>
    </row>
    <row r="19" spans="1:14" ht="18" customHeight="1" x14ac:dyDescent="0.25">
      <c r="A19" s="14">
        <f t="shared" si="0"/>
        <v>11</v>
      </c>
      <c r="B19" s="8">
        <v>45771</v>
      </c>
      <c r="C19" s="46" t="s">
        <v>170</v>
      </c>
      <c r="D19" s="214"/>
      <c r="E19" s="16">
        <v>5979.3</v>
      </c>
      <c r="F19" s="27"/>
      <c r="G19" s="18">
        <f t="shared" si="1"/>
        <v>10679.900000000001</v>
      </c>
      <c r="H19" s="28"/>
      <c r="I19" s="7"/>
      <c r="J19" s="7"/>
    </row>
    <row r="20" spans="1:14" ht="18" customHeight="1" x14ac:dyDescent="0.25">
      <c r="A20" s="14">
        <f t="shared" si="0"/>
        <v>12</v>
      </c>
      <c r="B20" s="8">
        <v>45783</v>
      </c>
      <c r="C20" s="46" t="s">
        <v>170</v>
      </c>
      <c r="D20" s="214" t="s">
        <v>19</v>
      </c>
      <c r="E20" s="30"/>
      <c r="F20" s="27">
        <v>624.79999999999995</v>
      </c>
      <c r="G20" s="18">
        <f t="shared" si="1"/>
        <v>10055.100000000002</v>
      </c>
      <c r="H20" s="28" t="s">
        <v>91</v>
      </c>
      <c r="I20" s="7" t="s">
        <v>90</v>
      </c>
      <c r="J20" s="7"/>
    </row>
    <row r="21" spans="1:14" s="230" customFormat="1" ht="18" customHeight="1" x14ac:dyDescent="0.25">
      <c r="A21" s="14">
        <f t="shared" si="0"/>
        <v>13</v>
      </c>
      <c r="B21" s="224">
        <v>45799</v>
      </c>
      <c r="C21" s="46" t="s">
        <v>170</v>
      </c>
      <c r="D21" s="226" t="s">
        <v>19</v>
      </c>
      <c r="E21" s="227">
        <v>6623.3</v>
      </c>
      <c r="F21" s="228"/>
      <c r="G21" s="18">
        <f t="shared" si="1"/>
        <v>16678.400000000001</v>
      </c>
      <c r="H21" s="28" t="s">
        <v>91</v>
      </c>
      <c r="I21" s="7" t="s">
        <v>90</v>
      </c>
      <c r="J21" s="348">
        <v>24</v>
      </c>
    </row>
    <row r="22" spans="1:14" s="230" customFormat="1" ht="18" customHeight="1" x14ac:dyDescent="0.25">
      <c r="A22" s="14">
        <f t="shared" si="0"/>
        <v>14</v>
      </c>
      <c r="B22" s="224">
        <v>45845</v>
      </c>
      <c r="C22" s="46" t="s">
        <v>170</v>
      </c>
      <c r="D22" s="226" t="s">
        <v>19</v>
      </c>
      <c r="E22" s="231"/>
      <c r="F22" s="228">
        <v>572.6</v>
      </c>
      <c r="G22" s="18">
        <f t="shared" si="1"/>
        <v>16105.800000000001</v>
      </c>
      <c r="H22" s="28" t="s">
        <v>91</v>
      </c>
      <c r="I22" s="7" t="s">
        <v>90</v>
      </c>
      <c r="J22" s="348"/>
    </row>
    <row r="23" spans="1:14" ht="18" customHeight="1" x14ac:dyDescent="0.25">
      <c r="A23" s="14">
        <f t="shared" si="0"/>
        <v>15</v>
      </c>
      <c r="B23" s="8">
        <v>45847</v>
      </c>
      <c r="C23" s="46" t="s">
        <v>170</v>
      </c>
      <c r="D23" s="214" t="s">
        <v>19</v>
      </c>
      <c r="E23" s="32"/>
      <c r="F23" s="152">
        <v>623.70000000000005</v>
      </c>
      <c r="G23" s="18">
        <f t="shared" si="1"/>
        <v>15482.1</v>
      </c>
      <c r="H23" s="28" t="s">
        <v>91</v>
      </c>
      <c r="I23" s="7" t="s">
        <v>90</v>
      </c>
      <c r="J23" s="7"/>
      <c r="N23" s="26"/>
    </row>
    <row r="24" spans="1:14" ht="18" customHeight="1" x14ac:dyDescent="0.25">
      <c r="A24" s="14">
        <f t="shared" si="0"/>
        <v>16</v>
      </c>
      <c r="B24" s="8">
        <v>45849</v>
      </c>
      <c r="C24" s="46" t="s">
        <v>170</v>
      </c>
      <c r="D24" s="214" t="s">
        <v>19</v>
      </c>
      <c r="E24" s="32"/>
      <c r="F24" s="27">
        <v>570.6</v>
      </c>
      <c r="G24" s="18">
        <f t="shared" si="1"/>
        <v>14911.5</v>
      </c>
      <c r="H24" s="28" t="s">
        <v>91</v>
      </c>
      <c r="I24" s="7" t="s">
        <v>90</v>
      </c>
      <c r="J24" s="7"/>
    </row>
    <row r="25" spans="1:14" ht="18" customHeight="1" x14ac:dyDescent="0.25">
      <c r="A25" s="14">
        <f t="shared" si="0"/>
        <v>17</v>
      </c>
      <c r="B25" s="232">
        <v>45860</v>
      </c>
      <c r="C25" s="46" t="s">
        <v>170</v>
      </c>
      <c r="D25" s="234" t="s">
        <v>19</v>
      </c>
      <c r="E25" s="235"/>
      <c r="F25" s="172">
        <v>597.20000000000005</v>
      </c>
      <c r="G25" s="18">
        <f t="shared" si="1"/>
        <v>14314.3</v>
      </c>
      <c r="H25" s="28" t="s">
        <v>129</v>
      </c>
      <c r="I25" s="7" t="s">
        <v>90</v>
      </c>
      <c r="J25" s="7"/>
    </row>
    <row r="26" spans="1:14" ht="18" customHeight="1" x14ac:dyDescent="0.25">
      <c r="A26" s="14">
        <f t="shared" si="0"/>
        <v>18</v>
      </c>
      <c r="B26" s="8">
        <v>45862</v>
      </c>
      <c r="C26" s="46" t="s">
        <v>170</v>
      </c>
      <c r="D26" s="214" t="s">
        <v>19</v>
      </c>
      <c r="E26" s="32"/>
      <c r="F26" s="17">
        <v>598.5</v>
      </c>
      <c r="G26" s="18">
        <f t="shared" si="1"/>
        <v>13715.8</v>
      </c>
      <c r="H26" s="28" t="s">
        <v>129</v>
      </c>
      <c r="I26" s="7" t="s">
        <v>142</v>
      </c>
      <c r="J26" s="7"/>
    </row>
    <row r="27" spans="1:14" ht="18" customHeight="1" x14ac:dyDescent="0.25">
      <c r="A27" s="14">
        <f t="shared" si="0"/>
        <v>19</v>
      </c>
      <c r="B27" s="8">
        <v>45863</v>
      </c>
      <c r="C27" s="46" t="s">
        <v>170</v>
      </c>
      <c r="D27" s="214" t="s">
        <v>19</v>
      </c>
      <c r="E27" s="32"/>
      <c r="F27" s="17">
        <v>595.70000000000005</v>
      </c>
      <c r="G27" s="18">
        <f t="shared" si="1"/>
        <v>13120.099999999999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20</v>
      </c>
      <c r="B28" s="8">
        <v>45870</v>
      </c>
      <c r="C28" s="46" t="s">
        <v>170</v>
      </c>
      <c r="D28" s="214" t="s">
        <v>19</v>
      </c>
      <c r="E28" s="32"/>
      <c r="F28" s="17">
        <v>588.5</v>
      </c>
      <c r="G28" s="18">
        <f t="shared" si="1"/>
        <v>12531.599999999999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21</v>
      </c>
      <c r="B29" s="8">
        <v>45871</v>
      </c>
      <c r="C29" s="46" t="s">
        <v>170</v>
      </c>
      <c r="D29" s="214" t="s">
        <v>19</v>
      </c>
      <c r="E29" s="32"/>
      <c r="F29" s="17">
        <v>628.5</v>
      </c>
      <c r="G29" s="18">
        <f t="shared" si="1"/>
        <v>11903.099999999999</v>
      </c>
      <c r="H29" s="28" t="s">
        <v>91</v>
      </c>
      <c r="I29" s="7" t="s">
        <v>90</v>
      </c>
      <c r="J29" s="7"/>
      <c r="M29">
        <f>+(1/78)*28</f>
        <v>0.35897435897435898</v>
      </c>
    </row>
    <row r="30" spans="1:14" ht="18" customHeight="1" x14ac:dyDescent="0.25">
      <c r="A30" s="14">
        <f t="shared" si="0"/>
        <v>22</v>
      </c>
      <c r="B30" s="8">
        <v>45888</v>
      </c>
      <c r="C30" s="46" t="s">
        <v>170</v>
      </c>
      <c r="D30" s="214" t="s">
        <v>19</v>
      </c>
      <c r="E30" s="32"/>
      <c r="F30" s="17">
        <v>629.1</v>
      </c>
      <c r="G30" s="18">
        <f t="shared" si="1"/>
        <v>11273.999999999998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23</v>
      </c>
      <c r="B31" s="8">
        <v>45890</v>
      </c>
      <c r="C31" s="46" t="s">
        <v>170</v>
      </c>
      <c r="D31" s="214" t="s">
        <v>19</v>
      </c>
      <c r="E31" s="129"/>
      <c r="F31" s="17">
        <v>600.20000000000005</v>
      </c>
      <c r="G31" s="18">
        <f t="shared" si="1"/>
        <v>10673.799999999997</v>
      </c>
      <c r="H31" s="28" t="s">
        <v>91</v>
      </c>
      <c r="I31" s="7" t="s">
        <v>90</v>
      </c>
      <c r="J31" s="7"/>
    </row>
    <row r="32" spans="1:14" ht="18" customHeight="1" x14ac:dyDescent="0.25">
      <c r="A32" s="14">
        <f t="shared" si="0"/>
        <v>24</v>
      </c>
      <c r="B32" s="8">
        <v>45891</v>
      </c>
      <c r="C32" s="46" t="s">
        <v>170</v>
      </c>
      <c r="D32" s="214" t="s">
        <v>19</v>
      </c>
      <c r="E32" s="32"/>
      <c r="F32" s="172">
        <v>519.29999999999995</v>
      </c>
      <c r="G32" s="18">
        <f t="shared" si="1"/>
        <v>10154.499999999998</v>
      </c>
      <c r="H32" s="28" t="s">
        <v>91</v>
      </c>
      <c r="I32" s="7" t="s">
        <v>90</v>
      </c>
      <c r="J32" s="7"/>
    </row>
    <row r="33" spans="1:16" ht="18" customHeight="1" x14ac:dyDescent="0.25">
      <c r="A33" s="14">
        <f t="shared" si="0"/>
        <v>25</v>
      </c>
      <c r="B33" s="8">
        <v>45892</v>
      </c>
      <c r="C33" s="46" t="s">
        <v>170</v>
      </c>
      <c r="D33" s="214" t="s">
        <v>19</v>
      </c>
      <c r="E33" s="32"/>
      <c r="F33" s="17">
        <v>587.4</v>
      </c>
      <c r="G33" s="18">
        <f t="shared" si="1"/>
        <v>9567.0999999999985</v>
      </c>
      <c r="H33" s="28" t="s">
        <v>91</v>
      </c>
      <c r="I33" s="7" t="s">
        <v>90</v>
      </c>
      <c r="J33" s="7"/>
    </row>
    <row r="34" spans="1:16" ht="18" customHeight="1" x14ac:dyDescent="0.25">
      <c r="A34" s="14">
        <f t="shared" si="0"/>
        <v>26</v>
      </c>
      <c r="B34" s="8">
        <v>45894</v>
      </c>
      <c r="C34" s="46" t="s">
        <v>170</v>
      </c>
      <c r="D34" s="214" t="s">
        <v>19</v>
      </c>
      <c r="E34" s="32"/>
      <c r="F34" s="17">
        <v>552.70000000000005</v>
      </c>
      <c r="G34" s="18">
        <f t="shared" si="1"/>
        <v>9014.3999999999978</v>
      </c>
      <c r="H34" s="28" t="s">
        <v>91</v>
      </c>
      <c r="I34" s="7" t="s">
        <v>90</v>
      </c>
      <c r="J34" s="7"/>
    </row>
    <row r="35" spans="1:16" ht="17.25" customHeight="1" x14ac:dyDescent="0.25">
      <c r="A35" s="14">
        <f t="shared" si="0"/>
        <v>27</v>
      </c>
      <c r="B35" s="8">
        <v>45903</v>
      </c>
      <c r="C35" s="46" t="s">
        <v>170</v>
      </c>
      <c r="D35" s="214" t="s">
        <v>19</v>
      </c>
      <c r="E35" s="13"/>
      <c r="F35" s="17">
        <v>553.29999999999995</v>
      </c>
      <c r="G35" s="18">
        <f t="shared" si="1"/>
        <v>8461.0999999999985</v>
      </c>
      <c r="H35" s="28" t="s">
        <v>91</v>
      </c>
      <c r="I35" s="7" t="s">
        <v>90</v>
      </c>
      <c r="J35" s="7"/>
    </row>
    <row r="36" spans="1:16" ht="17.25" customHeight="1" x14ac:dyDescent="0.25">
      <c r="A36" s="14">
        <f t="shared" si="0"/>
        <v>28</v>
      </c>
      <c r="B36" s="44">
        <v>45917</v>
      </c>
      <c r="C36" s="46" t="s">
        <v>170</v>
      </c>
      <c r="D36" s="214" t="s">
        <v>19</v>
      </c>
      <c r="E36" s="13">
        <v>612.5</v>
      </c>
      <c r="F36" s="17"/>
      <c r="G36" s="18">
        <f t="shared" si="1"/>
        <v>9073.5999999999985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>
        <v>45918</v>
      </c>
      <c r="C37" s="46" t="s">
        <v>170</v>
      </c>
      <c r="D37" s="214" t="s">
        <v>19</v>
      </c>
      <c r="E37" s="32">
        <v>613.70000000000005</v>
      </c>
      <c r="F37" s="40"/>
      <c r="G37" s="18">
        <f t="shared" si="1"/>
        <v>9687.2999999999993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45"/>
      <c r="C38" s="46" t="s">
        <v>170</v>
      </c>
      <c r="D38" s="214" t="s">
        <v>19</v>
      </c>
      <c r="E38" s="32"/>
      <c r="F38" s="40"/>
      <c r="G38" s="18">
        <f t="shared" si="1"/>
        <v>9687.2999999999993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170</v>
      </c>
      <c r="D39" s="214" t="s">
        <v>19</v>
      </c>
      <c r="E39" s="32"/>
      <c r="F39" s="40"/>
      <c r="G39" s="18">
        <f t="shared" si="1"/>
        <v>9687.2999999999993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170</v>
      </c>
      <c r="D40" s="214" t="s">
        <v>19</v>
      </c>
      <c r="E40" s="32"/>
      <c r="F40" s="17"/>
      <c r="G40" s="18">
        <f t="shared" si="1"/>
        <v>9687.2999999999993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170</v>
      </c>
      <c r="D41" s="214" t="s">
        <v>19</v>
      </c>
      <c r="E41" s="32"/>
      <c r="F41" s="17"/>
      <c r="G41" s="18">
        <f t="shared" si="1"/>
        <v>9687.2999999999993</v>
      </c>
      <c r="H41" s="178"/>
      <c r="I41" s="7"/>
      <c r="J41" s="7"/>
    </row>
    <row r="42" spans="1:16" ht="18" customHeight="1" x14ac:dyDescent="0.25">
      <c r="A42" s="14">
        <f t="shared" si="0"/>
        <v>34</v>
      </c>
      <c r="B42" s="8"/>
      <c r="C42" s="46" t="s">
        <v>170</v>
      </c>
      <c r="D42" s="214" t="s">
        <v>19</v>
      </c>
      <c r="E42" s="32"/>
      <c r="F42" s="17"/>
      <c r="G42" s="18">
        <f t="shared" si="1"/>
        <v>9687.2999999999993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170</v>
      </c>
      <c r="D43" s="214" t="s">
        <v>19</v>
      </c>
      <c r="E43" s="32"/>
      <c r="F43" s="17"/>
      <c r="G43" s="18">
        <f t="shared" si="1"/>
        <v>9687.2999999999993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170</v>
      </c>
      <c r="D44" s="214" t="s">
        <v>19</v>
      </c>
      <c r="E44" s="32"/>
      <c r="F44" s="172"/>
      <c r="G44" s="18">
        <f t="shared" si="1"/>
        <v>9687.2999999999993</v>
      </c>
      <c r="H44" s="178"/>
      <c r="I44" s="7"/>
      <c r="J44" s="7"/>
      <c r="P44" s="162"/>
    </row>
    <row r="45" spans="1:16" ht="18" customHeight="1" x14ac:dyDescent="0.25">
      <c r="A45" s="14">
        <f t="shared" si="0"/>
        <v>37</v>
      </c>
      <c r="B45" s="8"/>
      <c r="C45" s="46" t="s">
        <v>170</v>
      </c>
      <c r="D45" s="214" t="s">
        <v>19</v>
      </c>
      <c r="E45" s="32"/>
      <c r="F45" s="17"/>
      <c r="G45" s="18">
        <f t="shared" si="1"/>
        <v>9687.2999999999993</v>
      </c>
      <c r="H45" s="178"/>
      <c r="I45" s="7"/>
      <c r="J45" s="7"/>
    </row>
    <row r="46" spans="1:16" ht="18" customHeight="1" x14ac:dyDescent="0.25">
      <c r="A46" s="14">
        <f t="shared" si="0"/>
        <v>38</v>
      </c>
      <c r="B46" s="8"/>
      <c r="C46" s="46" t="s">
        <v>170</v>
      </c>
      <c r="D46" s="214" t="s">
        <v>19</v>
      </c>
      <c r="E46" s="32"/>
      <c r="F46" s="17"/>
      <c r="G46" s="18">
        <f t="shared" si="1"/>
        <v>9687.2999999999993</v>
      </c>
      <c r="H46" s="178"/>
      <c r="I46" s="7"/>
      <c r="J46" s="7"/>
    </row>
    <row r="47" spans="1:16" ht="18" customHeight="1" x14ac:dyDescent="0.25">
      <c r="A47" s="14">
        <f t="shared" si="0"/>
        <v>39</v>
      </c>
      <c r="B47" s="8"/>
      <c r="C47" s="46" t="s">
        <v>170</v>
      </c>
      <c r="D47" s="214" t="s">
        <v>19</v>
      </c>
      <c r="E47" s="32"/>
      <c r="F47" s="17"/>
      <c r="G47" s="18">
        <f t="shared" si="1"/>
        <v>9687.2999999999993</v>
      </c>
      <c r="H47" s="178"/>
      <c r="I47" s="7"/>
      <c r="J47" s="7"/>
    </row>
    <row r="48" spans="1:16" ht="18" customHeight="1" x14ac:dyDescent="0.25">
      <c r="A48" s="14">
        <f t="shared" si="0"/>
        <v>40</v>
      </c>
      <c r="B48" s="8"/>
      <c r="C48" s="46" t="s">
        <v>170</v>
      </c>
      <c r="D48" s="214" t="s">
        <v>19</v>
      </c>
      <c r="E48" s="32"/>
      <c r="F48" s="17"/>
      <c r="G48" s="18">
        <f t="shared" si="1"/>
        <v>9687.2999999999993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170</v>
      </c>
      <c r="D49" s="214" t="s">
        <v>19</v>
      </c>
      <c r="E49" s="32"/>
      <c r="F49" s="17"/>
      <c r="G49" s="18">
        <f t="shared" si="1"/>
        <v>9687.2999999999993</v>
      </c>
      <c r="H49" s="178"/>
      <c r="I49" s="29"/>
      <c r="J49" s="7"/>
    </row>
    <row r="50" spans="1:16" ht="18" customHeight="1" x14ac:dyDescent="0.25">
      <c r="A50" s="14">
        <f t="shared" si="0"/>
        <v>42</v>
      </c>
      <c r="B50" s="8"/>
      <c r="C50" s="46" t="s">
        <v>170</v>
      </c>
      <c r="D50" s="214" t="s">
        <v>19</v>
      </c>
      <c r="E50" s="32"/>
      <c r="F50" s="17"/>
      <c r="G50" s="18">
        <f t="shared" si="1"/>
        <v>9687.2999999999993</v>
      </c>
      <c r="H50" s="178"/>
      <c r="I50" s="29"/>
      <c r="J50" s="7"/>
    </row>
    <row r="51" spans="1:16" ht="18" customHeight="1" x14ac:dyDescent="0.25">
      <c r="A51" s="14">
        <f t="shared" si="0"/>
        <v>43</v>
      </c>
      <c r="B51" s="8"/>
      <c r="C51" s="46" t="s">
        <v>170</v>
      </c>
      <c r="D51" s="214" t="s">
        <v>19</v>
      </c>
      <c r="E51" s="32"/>
      <c r="F51" s="17"/>
      <c r="G51" s="18">
        <f t="shared" si="1"/>
        <v>9687.2999999999993</v>
      </c>
      <c r="H51" s="178"/>
      <c r="I51" s="29"/>
      <c r="J51" s="7"/>
    </row>
    <row r="52" spans="1:16" ht="18" customHeight="1" x14ac:dyDescent="0.25">
      <c r="A52" s="14">
        <f t="shared" si="0"/>
        <v>44</v>
      </c>
      <c r="B52" s="8"/>
      <c r="C52" s="46" t="s">
        <v>170</v>
      </c>
      <c r="D52" s="214" t="s">
        <v>19</v>
      </c>
      <c r="E52" s="32"/>
      <c r="F52" s="17"/>
      <c r="G52" s="18">
        <f t="shared" si="1"/>
        <v>9687.2999999999993</v>
      </c>
      <c r="H52" s="178"/>
      <c r="I52" s="7"/>
      <c r="J52" s="7"/>
    </row>
    <row r="53" spans="1:16" s="162" customFormat="1" ht="18" customHeight="1" x14ac:dyDescent="0.25">
      <c r="A53" s="14">
        <f t="shared" si="0"/>
        <v>45</v>
      </c>
      <c r="B53" s="174"/>
      <c r="C53" s="46" t="s">
        <v>170</v>
      </c>
      <c r="D53" s="237" t="s">
        <v>19</v>
      </c>
      <c r="E53" s="175"/>
      <c r="F53" s="172"/>
      <c r="G53" s="18">
        <f t="shared" si="1"/>
        <v>9687.2999999999993</v>
      </c>
      <c r="H53" s="178"/>
      <c r="I53" s="7"/>
      <c r="J53" s="271"/>
      <c r="P53"/>
    </row>
    <row r="54" spans="1:16" ht="18" customHeight="1" x14ac:dyDescent="0.25">
      <c r="A54" s="14">
        <f t="shared" si="0"/>
        <v>46</v>
      </c>
      <c r="B54" s="8"/>
      <c r="C54" s="46" t="s">
        <v>170</v>
      </c>
      <c r="D54" s="214" t="s">
        <v>19</v>
      </c>
      <c r="E54" s="32"/>
      <c r="F54" s="17"/>
      <c r="G54" s="18">
        <f t="shared" si="1"/>
        <v>9687.2999999999993</v>
      </c>
      <c r="H54" s="239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170</v>
      </c>
      <c r="D55" s="214" t="s">
        <v>19</v>
      </c>
      <c r="E55" s="32"/>
      <c r="F55" s="17"/>
      <c r="G55" s="18">
        <f t="shared" si="1"/>
        <v>9687.2999999999993</v>
      </c>
      <c r="H55" s="239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170</v>
      </c>
      <c r="D56" s="214" t="s">
        <v>19</v>
      </c>
      <c r="E56" s="32"/>
      <c r="F56" s="17"/>
      <c r="G56" s="18">
        <f t="shared" si="1"/>
        <v>9687.2999999999993</v>
      </c>
      <c r="H56" s="239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170</v>
      </c>
      <c r="D57" s="214" t="s">
        <v>19</v>
      </c>
      <c r="E57" s="32"/>
      <c r="F57" s="17"/>
      <c r="G57" s="18">
        <f t="shared" si="1"/>
        <v>9687.2999999999993</v>
      </c>
      <c r="H57" s="28"/>
      <c r="I57" s="7"/>
      <c r="J57" s="7"/>
    </row>
    <row r="58" spans="1:16" ht="18" customHeight="1" x14ac:dyDescent="0.25">
      <c r="A58" s="14">
        <f t="shared" si="0"/>
        <v>50</v>
      </c>
      <c r="B58" s="8"/>
      <c r="C58" s="46" t="s">
        <v>170</v>
      </c>
      <c r="D58" s="214" t="s">
        <v>19</v>
      </c>
      <c r="E58" s="32"/>
      <c r="F58" s="17"/>
      <c r="G58" s="18">
        <f t="shared" si="1"/>
        <v>9687.2999999999993</v>
      </c>
      <c r="H58" s="240"/>
      <c r="I58" s="7"/>
      <c r="J58" s="7"/>
    </row>
    <row r="59" spans="1:16" ht="18" customHeight="1" x14ac:dyDescent="0.25">
      <c r="A59" s="14">
        <f t="shared" si="0"/>
        <v>51</v>
      </c>
      <c r="B59" s="8"/>
      <c r="C59" s="46" t="s">
        <v>170</v>
      </c>
      <c r="D59" s="214" t="s">
        <v>19</v>
      </c>
      <c r="E59" s="32"/>
      <c r="F59" s="17"/>
      <c r="G59" s="18">
        <f t="shared" si="1"/>
        <v>9687.2999999999993</v>
      </c>
      <c r="H59" s="240"/>
      <c r="I59" s="7"/>
      <c r="J59" s="7"/>
    </row>
    <row r="60" spans="1:16" ht="18" customHeight="1" x14ac:dyDescent="0.25">
      <c r="A60" s="14">
        <f t="shared" si="0"/>
        <v>52</v>
      </c>
      <c r="B60" s="8"/>
      <c r="C60" s="46" t="s">
        <v>170</v>
      </c>
      <c r="D60" s="214" t="s">
        <v>19</v>
      </c>
      <c r="E60" s="32"/>
      <c r="F60" s="17"/>
      <c r="G60" s="18">
        <f t="shared" si="1"/>
        <v>9687.2999999999993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170</v>
      </c>
      <c r="D61" s="214" t="s">
        <v>19</v>
      </c>
      <c r="E61" s="32"/>
      <c r="F61" s="17"/>
      <c r="G61" s="18">
        <f t="shared" si="1"/>
        <v>9687.2999999999993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170</v>
      </c>
      <c r="D62" s="214" t="s">
        <v>19</v>
      </c>
      <c r="E62" s="32"/>
      <c r="F62" s="17"/>
      <c r="G62" s="18">
        <f t="shared" si="1"/>
        <v>9687.2999999999993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170</v>
      </c>
      <c r="D63" s="214" t="s">
        <v>19</v>
      </c>
      <c r="E63" s="32"/>
      <c r="F63" s="17"/>
      <c r="G63" s="18">
        <f t="shared" si="1"/>
        <v>9687.2999999999993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170</v>
      </c>
      <c r="D64" s="214" t="s">
        <v>19</v>
      </c>
      <c r="E64" s="32"/>
      <c r="F64" s="17"/>
      <c r="G64" s="18">
        <f t="shared" si="1"/>
        <v>9687.2999999999993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170</v>
      </c>
      <c r="D65" s="214" t="s">
        <v>19</v>
      </c>
      <c r="E65" s="32"/>
      <c r="F65" s="17"/>
      <c r="G65" s="18">
        <f t="shared" si="1"/>
        <v>9687.2999999999993</v>
      </c>
      <c r="H65" s="240"/>
      <c r="I65" s="7" t="s">
        <v>14</v>
      </c>
      <c r="J65" s="7"/>
    </row>
    <row r="66" spans="1:10" ht="18" customHeight="1" x14ac:dyDescent="0.25">
      <c r="A66" s="14">
        <f t="shared" si="0"/>
        <v>58</v>
      </c>
      <c r="B66" s="8"/>
      <c r="C66" s="46" t="s">
        <v>170</v>
      </c>
      <c r="D66" s="214" t="s">
        <v>19</v>
      </c>
      <c r="E66" s="32"/>
      <c r="F66" s="17"/>
      <c r="G66" s="18">
        <f t="shared" si="1"/>
        <v>9687.2999999999993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170</v>
      </c>
      <c r="D67" s="214" t="s">
        <v>19</v>
      </c>
      <c r="E67" s="32"/>
      <c r="F67" s="17"/>
      <c r="G67" s="18">
        <f t="shared" si="1"/>
        <v>9687.2999999999993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170</v>
      </c>
      <c r="D68" s="214" t="s">
        <v>19</v>
      </c>
      <c r="E68" s="32"/>
      <c r="F68" s="17"/>
      <c r="G68" s="18">
        <f t="shared" si="1"/>
        <v>9687.2999999999993</v>
      </c>
      <c r="H68" s="240"/>
      <c r="I68" s="7" t="s">
        <v>14</v>
      </c>
      <c r="J68" s="140"/>
    </row>
    <row r="69" spans="1:10" ht="18" customHeight="1" x14ac:dyDescent="0.25">
      <c r="A69" s="14">
        <f t="shared" si="0"/>
        <v>61</v>
      </c>
      <c r="B69" s="8"/>
      <c r="C69" s="46" t="s">
        <v>170</v>
      </c>
      <c r="D69" s="214" t="s">
        <v>19</v>
      </c>
      <c r="E69" s="32"/>
      <c r="F69" s="17"/>
      <c r="G69" s="18">
        <f t="shared" si="1"/>
        <v>9687.2999999999993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170</v>
      </c>
      <c r="D70" s="214" t="s">
        <v>19</v>
      </c>
      <c r="E70" s="32"/>
      <c r="F70" s="17"/>
      <c r="G70" s="18">
        <f t="shared" si="1"/>
        <v>9687.2999999999993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170</v>
      </c>
      <c r="D71" s="214" t="s">
        <v>19</v>
      </c>
      <c r="E71" s="32"/>
      <c r="F71" s="17"/>
      <c r="G71" s="18">
        <f t="shared" si="1"/>
        <v>9687.2999999999993</v>
      </c>
      <c r="H71" s="240"/>
      <c r="I71" s="7" t="s">
        <v>14</v>
      </c>
      <c r="J71" s="7"/>
    </row>
    <row r="72" spans="1:10" ht="18" customHeight="1" x14ac:dyDescent="0.25">
      <c r="A72" s="14">
        <f t="shared" si="0"/>
        <v>64</v>
      </c>
      <c r="B72" s="8"/>
      <c r="C72" s="46" t="s">
        <v>170</v>
      </c>
      <c r="D72" s="214" t="s">
        <v>19</v>
      </c>
      <c r="E72" s="32"/>
      <c r="F72" s="17"/>
      <c r="G72" s="18">
        <f t="shared" si="1"/>
        <v>9687.2999999999993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170</v>
      </c>
      <c r="D73" s="214" t="s">
        <v>19</v>
      </c>
      <c r="E73" s="32"/>
      <c r="F73" s="17"/>
      <c r="G73" s="18">
        <f t="shared" si="1"/>
        <v>9687.2999999999993</v>
      </c>
      <c r="H73" s="240"/>
      <c r="I73" s="7" t="s">
        <v>14</v>
      </c>
      <c r="J73" s="7"/>
    </row>
    <row r="74" spans="1:10" ht="18" customHeight="1" x14ac:dyDescent="0.25">
      <c r="A74" s="14">
        <f t="shared" si="0"/>
        <v>66</v>
      </c>
      <c r="B74" s="8"/>
      <c r="C74" s="46" t="s">
        <v>170</v>
      </c>
      <c r="D74" s="214" t="s">
        <v>19</v>
      </c>
      <c r="E74" s="32"/>
      <c r="F74" s="17"/>
      <c r="G74" s="18">
        <f t="shared" si="1"/>
        <v>9687.2999999999993</v>
      </c>
      <c r="H74" s="240"/>
      <c r="I74" s="7" t="s">
        <v>14</v>
      </c>
      <c r="J74" s="7"/>
    </row>
    <row r="75" spans="1:10" ht="18" customHeight="1" x14ac:dyDescent="0.25">
      <c r="A75" s="14">
        <f t="shared" si="0"/>
        <v>67</v>
      </c>
      <c r="B75" s="8"/>
      <c r="C75" s="46" t="s">
        <v>170</v>
      </c>
      <c r="D75" s="214" t="s">
        <v>19</v>
      </c>
      <c r="E75" s="32"/>
      <c r="F75" s="17"/>
      <c r="G75" s="18">
        <f t="shared" si="1"/>
        <v>9687.2999999999993</v>
      </c>
      <c r="H75" s="240"/>
      <c r="I75" s="7" t="s">
        <v>14</v>
      </c>
      <c r="J75" s="7"/>
    </row>
    <row r="76" spans="1:10" ht="18" customHeight="1" x14ac:dyDescent="0.25">
      <c r="A76" s="14">
        <f t="shared" si="0"/>
        <v>68</v>
      </c>
      <c r="B76" s="8"/>
      <c r="C76" s="46" t="s">
        <v>170</v>
      </c>
      <c r="D76" s="214" t="s">
        <v>19</v>
      </c>
      <c r="E76" s="32"/>
      <c r="F76" s="17"/>
      <c r="G76" s="18">
        <f t="shared" si="1"/>
        <v>9687.2999999999993</v>
      </c>
      <c r="H76" s="240"/>
      <c r="I76" s="7" t="s">
        <v>14</v>
      </c>
      <c r="J76" s="7"/>
    </row>
    <row r="77" spans="1:10" ht="18" customHeight="1" x14ac:dyDescent="0.25">
      <c r="A77" s="14">
        <f t="shared" ref="A77:A111" si="2">+A76+1</f>
        <v>69</v>
      </c>
      <c r="B77" s="8"/>
      <c r="C77" s="46" t="s">
        <v>170</v>
      </c>
      <c r="D77" s="214" t="s">
        <v>19</v>
      </c>
      <c r="E77" s="32"/>
      <c r="F77" s="17"/>
      <c r="G77" s="18">
        <f t="shared" ref="G77:G110" si="3">+G76+E77-F77</f>
        <v>9687.2999999999993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170</v>
      </c>
      <c r="D78" s="214" t="s">
        <v>19</v>
      </c>
      <c r="E78" s="32"/>
      <c r="F78" s="17"/>
      <c r="G78" s="18">
        <f t="shared" si="3"/>
        <v>9687.2999999999993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170</v>
      </c>
      <c r="D79" s="214" t="s">
        <v>19</v>
      </c>
      <c r="E79" s="32"/>
      <c r="F79" s="17"/>
      <c r="G79" s="18">
        <f t="shared" si="3"/>
        <v>9687.2999999999993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170</v>
      </c>
      <c r="D80" s="214" t="s">
        <v>19</v>
      </c>
      <c r="E80" s="32"/>
      <c r="F80" s="17"/>
      <c r="G80" s="18">
        <f t="shared" si="3"/>
        <v>9687.2999999999993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170</v>
      </c>
      <c r="D81" s="214" t="s">
        <v>19</v>
      </c>
      <c r="E81" s="32"/>
      <c r="F81" s="17"/>
      <c r="G81" s="18">
        <f t="shared" si="3"/>
        <v>9687.2999999999993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170</v>
      </c>
      <c r="D82" s="214" t="s">
        <v>19</v>
      </c>
      <c r="E82" s="32"/>
      <c r="F82" s="17"/>
      <c r="G82" s="18">
        <f t="shared" si="3"/>
        <v>9687.2999999999993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170</v>
      </c>
      <c r="D83" s="214" t="s">
        <v>19</v>
      </c>
      <c r="E83" s="32"/>
      <c r="F83" s="17"/>
      <c r="G83" s="18">
        <f t="shared" si="3"/>
        <v>9687.2999999999993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170</v>
      </c>
      <c r="D84" s="214" t="s">
        <v>19</v>
      </c>
      <c r="E84" s="32"/>
      <c r="F84" s="17"/>
      <c r="G84" s="18">
        <f t="shared" si="3"/>
        <v>9687.2999999999993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170</v>
      </c>
      <c r="D85" s="214" t="s">
        <v>19</v>
      </c>
      <c r="E85" s="32"/>
      <c r="F85" s="17"/>
      <c r="G85" s="18">
        <f t="shared" si="3"/>
        <v>9687.2999999999993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170</v>
      </c>
      <c r="D86" s="214" t="s">
        <v>19</v>
      </c>
      <c r="E86" s="32"/>
      <c r="F86" s="27"/>
      <c r="G86" s="18">
        <f t="shared" si="3"/>
        <v>9687.2999999999993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170</v>
      </c>
      <c r="D87" s="214" t="s">
        <v>19</v>
      </c>
      <c r="E87" s="32"/>
      <c r="F87" s="17"/>
      <c r="G87" s="18">
        <f t="shared" si="3"/>
        <v>9687.2999999999993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170</v>
      </c>
      <c r="D88" s="214" t="s">
        <v>19</v>
      </c>
      <c r="E88" s="32"/>
      <c r="F88" s="17"/>
      <c r="G88" s="18">
        <f t="shared" si="3"/>
        <v>9687.2999999999993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170</v>
      </c>
      <c r="D89" s="214" t="s">
        <v>19</v>
      </c>
      <c r="E89" s="32"/>
      <c r="F89" s="17"/>
      <c r="G89" s="18">
        <f t="shared" si="3"/>
        <v>9687.2999999999993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170</v>
      </c>
      <c r="D90" s="214" t="s">
        <v>19</v>
      </c>
      <c r="E90" s="32"/>
      <c r="F90" s="17"/>
      <c r="G90" s="18">
        <f t="shared" si="3"/>
        <v>9687.2999999999993</v>
      </c>
      <c r="H90" s="240"/>
      <c r="I90" s="7" t="s">
        <v>14</v>
      </c>
      <c r="J90" s="7"/>
    </row>
    <row r="91" spans="1:17" ht="18" customHeight="1" x14ac:dyDescent="0.25">
      <c r="A91" s="14">
        <f t="shared" si="2"/>
        <v>83</v>
      </c>
      <c r="B91" s="8"/>
      <c r="C91" s="46" t="s">
        <v>170</v>
      </c>
      <c r="D91" s="214" t="s">
        <v>19</v>
      </c>
      <c r="E91" s="32"/>
      <c r="F91" s="17"/>
      <c r="G91" s="18">
        <f t="shared" si="3"/>
        <v>9687.2999999999993</v>
      </c>
      <c r="H91" s="240"/>
      <c r="I91" s="7" t="s">
        <v>14</v>
      </c>
      <c r="J91" s="7"/>
    </row>
    <row r="92" spans="1:17" ht="18" customHeight="1" x14ac:dyDescent="0.25">
      <c r="A92" s="14">
        <f t="shared" si="2"/>
        <v>84</v>
      </c>
      <c r="B92" s="8"/>
      <c r="C92" s="46" t="s">
        <v>170</v>
      </c>
      <c r="D92" s="214" t="s">
        <v>19</v>
      </c>
      <c r="E92" s="32"/>
      <c r="F92" s="17"/>
      <c r="G92" s="18">
        <f t="shared" si="3"/>
        <v>9687.2999999999993</v>
      </c>
      <c r="H92" s="240"/>
      <c r="I92" s="7" t="s">
        <v>14</v>
      </c>
      <c r="J92" s="7"/>
    </row>
    <row r="93" spans="1:17" ht="18" customHeight="1" x14ac:dyDescent="0.25">
      <c r="A93" s="14">
        <f t="shared" si="2"/>
        <v>85</v>
      </c>
      <c r="B93" s="8"/>
      <c r="C93" s="46" t="s">
        <v>170</v>
      </c>
      <c r="D93" s="214" t="s">
        <v>19</v>
      </c>
      <c r="E93" s="32"/>
      <c r="F93" s="17"/>
      <c r="G93" s="18">
        <f t="shared" si="3"/>
        <v>9687.2999999999993</v>
      </c>
      <c r="H93" s="240"/>
      <c r="I93" s="7" t="s">
        <v>14</v>
      </c>
      <c r="J93" s="7"/>
      <c r="L93" s="199"/>
      <c r="Q93" s="199"/>
    </row>
    <row r="94" spans="1:17" ht="18" customHeight="1" x14ac:dyDescent="0.25">
      <c r="A94" s="14">
        <f t="shared" si="2"/>
        <v>86</v>
      </c>
      <c r="B94" s="8"/>
      <c r="C94" s="46" t="s">
        <v>170</v>
      </c>
      <c r="D94" s="214" t="s">
        <v>19</v>
      </c>
      <c r="E94" s="32"/>
      <c r="F94" s="27"/>
      <c r="G94" s="18">
        <f t="shared" si="3"/>
        <v>9687.2999999999993</v>
      </c>
      <c r="H94" s="240"/>
      <c r="I94" s="7" t="s">
        <v>14</v>
      </c>
      <c r="J94" s="7"/>
      <c r="L94" s="199"/>
      <c r="Q94" s="199"/>
    </row>
    <row r="95" spans="1:17" ht="18" customHeight="1" x14ac:dyDescent="0.25">
      <c r="A95" s="14">
        <f t="shared" si="2"/>
        <v>87</v>
      </c>
      <c r="B95" s="8"/>
      <c r="C95" s="46" t="s">
        <v>170</v>
      </c>
      <c r="D95" s="214" t="s">
        <v>19</v>
      </c>
      <c r="E95" s="32"/>
      <c r="F95" s="27"/>
      <c r="G95" s="18">
        <f t="shared" si="3"/>
        <v>9687.2999999999993</v>
      </c>
      <c r="H95" s="240"/>
      <c r="I95" s="7" t="s">
        <v>14</v>
      </c>
      <c r="J95" s="7"/>
      <c r="L95" s="199"/>
      <c r="Q95" s="199"/>
    </row>
    <row r="96" spans="1:17" s="179" customFormat="1" ht="18" customHeight="1" x14ac:dyDescent="0.25">
      <c r="A96" s="14">
        <f t="shared" si="2"/>
        <v>88</v>
      </c>
      <c r="B96" s="242"/>
      <c r="C96" s="46" t="s">
        <v>170</v>
      </c>
      <c r="D96" s="244" t="s">
        <v>19</v>
      </c>
      <c r="E96" s="245"/>
      <c r="F96" s="52"/>
      <c r="G96" s="18">
        <f t="shared" si="3"/>
        <v>9687.2999999999993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14">
        <f t="shared" si="2"/>
        <v>89</v>
      </c>
      <c r="B97" s="242"/>
      <c r="C97" s="46" t="s">
        <v>170</v>
      </c>
      <c r="D97" s="244" t="s">
        <v>19</v>
      </c>
      <c r="E97" s="245"/>
      <c r="F97" s="52"/>
      <c r="G97" s="18">
        <f t="shared" si="3"/>
        <v>9687.2999999999993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14">
        <f t="shared" si="2"/>
        <v>90</v>
      </c>
      <c r="B98" s="242"/>
      <c r="C98" s="46" t="s">
        <v>170</v>
      </c>
      <c r="D98" s="244" t="s">
        <v>19</v>
      </c>
      <c r="E98" s="245"/>
      <c r="F98" s="52"/>
      <c r="G98" s="18">
        <f t="shared" si="3"/>
        <v>9687.2999999999993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14">
        <f t="shared" si="2"/>
        <v>91</v>
      </c>
      <c r="B99" s="242"/>
      <c r="C99" s="46" t="s">
        <v>170</v>
      </c>
      <c r="D99" s="244" t="s">
        <v>19</v>
      </c>
      <c r="E99" s="245"/>
      <c r="F99" s="52"/>
      <c r="G99" s="18">
        <f t="shared" si="3"/>
        <v>9687.2999999999993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14">
        <f t="shared" si="2"/>
        <v>92</v>
      </c>
      <c r="B100" s="242"/>
      <c r="C100" s="46" t="s">
        <v>170</v>
      </c>
      <c r="D100" s="244" t="s">
        <v>19</v>
      </c>
      <c r="E100" s="245"/>
      <c r="F100" s="52"/>
      <c r="G100" s="18">
        <f t="shared" si="3"/>
        <v>9687.2999999999993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14">
        <f t="shared" si="2"/>
        <v>93</v>
      </c>
      <c r="B101" s="242"/>
      <c r="C101" s="46" t="s">
        <v>170</v>
      </c>
      <c r="D101" s="244" t="s">
        <v>19</v>
      </c>
      <c r="E101" s="245"/>
      <c r="F101" s="52"/>
      <c r="G101" s="18">
        <f t="shared" si="3"/>
        <v>9687.2999999999993</v>
      </c>
      <c r="H101" s="240"/>
      <c r="I101" s="247" t="s">
        <v>14</v>
      </c>
      <c r="J101" s="247"/>
      <c r="L101" s="248"/>
      <c r="Q101" s="248"/>
    </row>
    <row r="102" spans="1:17" s="179" customFormat="1" ht="18" customHeight="1" x14ac:dyDescent="0.25">
      <c r="A102" s="14">
        <f t="shared" si="2"/>
        <v>94</v>
      </c>
      <c r="B102" s="242"/>
      <c r="C102" s="46" t="s">
        <v>170</v>
      </c>
      <c r="D102" s="244" t="s">
        <v>19</v>
      </c>
      <c r="E102" s="245"/>
      <c r="F102" s="52"/>
      <c r="G102" s="18">
        <f t="shared" si="3"/>
        <v>9687.2999999999993</v>
      </c>
      <c r="H102" s="240"/>
      <c r="I102" s="247" t="s">
        <v>14</v>
      </c>
      <c r="J102" s="247"/>
      <c r="L102" s="248"/>
      <c r="Q102" s="248"/>
    </row>
    <row r="103" spans="1:17" s="179" customFormat="1" ht="18" customHeight="1" x14ac:dyDescent="0.25">
      <c r="A103" s="14">
        <f t="shared" si="2"/>
        <v>95</v>
      </c>
      <c r="B103" s="242"/>
      <c r="C103" s="46" t="s">
        <v>170</v>
      </c>
      <c r="D103" s="244" t="s">
        <v>19</v>
      </c>
      <c r="E103" s="245"/>
      <c r="F103" s="52"/>
      <c r="G103" s="18">
        <f t="shared" si="3"/>
        <v>9687.2999999999993</v>
      </c>
      <c r="H103" s="240"/>
      <c r="I103" s="247" t="s">
        <v>14</v>
      </c>
      <c r="J103" s="247"/>
      <c r="L103" s="248"/>
      <c r="Q103" s="248"/>
    </row>
    <row r="104" spans="1:17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9687.2999999999993</v>
      </c>
      <c r="H104" s="240"/>
      <c r="I104" s="247"/>
      <c r="J104" s="247"/>
      <c r="L104" s="248"/>
      <c r="Q104" s="248"/>
    </row>
    <row r="105" spans="1:17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9687.2999999999993</v>
      </c>
      <c r="H105" s="240"/>
      <c r="I105" s="247"/>
      <c r="J105" s="247"/>
      <c r="L105" s="248"/>
      <c r="Q105" s="248"/>
    </row>
    <row r="106" spans="1:17" s="179" customFormat="1" ht="18" customHeight="1" x14ac:dyDescent="0.25">
      <c r="A106" s="14">
        <f t="shared" si="2"/>
        <v>98</v>
      </c>
      <c r="B106" s="242"/>
      <c r="C106" s="243"/>
      <c r="D106" s="244"/>
      <c r="E106" s="245"/>
      <c r="F106" s="52"/>
      <c r="G106" s="18">
        <f t="shared" si="3"/>
        <v>9687.2999999999993</v>
      </c>
      <c r="H106" s="240"/>
      <c r="I106" s="247"/>
      <c r="J106" s="247"/>
      <c r="L106" s="248"/>
      <c r="Q106" s="248"/>
    </row>
    <row r="107" spans="1:17" s="179" customFormat="1" ht="18" customHeight="1" x14ac:dyDescent="0.25">
      <c r="A107" s="14">
        <f t="shared" si="2"/>
        <v>99</v>
      </c>
      <c r="B107" s="242"/>
      <c r="C107" s="243"/>
      <c r="D107" s="244"/>
      <c r="E107" s="245"/>
      <c r="F107" s="52"/>
      <c r="G107" s="18">
        <f t="shared" si="3"/>
        <v>9687.2999999999993</v>
      </c>
      <c r="H107" s="240"/>
      <c r="I107" s="247"/>
      <c r="J107" s="247"/>
      <c r="L107" s="248"/>
      <c r="Q107" s="248"/>
    </row>
    <row r="108" spans="1:17" ht="18" customHeight="1" x14ac:dyDescent="0.25">
      <c r="A108" s="14">
        <f t="shared" si="2"/>
        <v>100</v>
      </c>
      <c r="B108" s="8"/>
      <c r="C108" s="46"/>
      <c r="D108" s="214"/>
      <c r="E108" s="32"/>
      <c r="F108" s="27"/>
      <c r="G108" s="18">
        <f t="shared" si="3"/>
        <v>9687.2999999999993</v>
      </c>
      <c r="H108" s="28"/>
      <c r="I108" s="7"/>
      <c r="J108" s="7"/>
      <c r="L108" s="199"/>
      <c r="Q108" s="199"/>
    </row>
    <row r="109" spans="1:17" ht="18" customHeight="1" x14ac:dyDescent="0.25">
      <c r="A109" s="14">
        <f t="shared" si="2"/>
        <v>101</v>
      </c>
      <c r="B109" s="8"/>
      <c r="C109" s="46"/>
      <c r="D109" s="214"/>
      <c r="E109" s="32"/>
      <c r="F109" s="27"/>
      <c r="G109" s="18">
        <f t="shared" si="3"/>
        <v>9687.2999999999993</v>
      </c>
      <c r="H109" s="28"/>
      <c r="I109" s="7"/>
      <c r="J109" s="7"/>
      <c r="L109" s="199"/>
      <c r="Q109" s="199"/>
    </row>
    <row r="110" spans="1:17" ht="18" customHeight="1" x14ac:dyDescent="0.25">
      <c r="A110" s="14">
        <f t="shared" si="2"/>
        <v>102</v>
      </c>
      <c r="B110" s="37"/>
      <c r="C110" s="46"/>
      <c r="D110" s="10"/>
      <c r="E110" s="32"/>
      <c r="F110" s="27"/>
      <c r="G110" s="18">
        <f t="shared" si="3"/>
        <v>9687.2999999999993</v>
      </c>
      <c r="H110" s="28"/>
      <c r="I110" s="7"/>
      <c r="J110" s="7"/>
      <c r="L110" s="199"/>
      <c r="Q110" s="199"/>
    </row>
    <row r="111" spans="1:17" ht="18" customHeight="1" x14ac:dyDescent="0.25">
      <c r="A111" s="14">
        <f t="shared" si="2"/>
        <v>103</v>
      </c>
      <c r="B111" s="7"/>
      <c r="C111" s="34" t="s">
        <v>13</v>
      </c>
      <c r="D111" s="14"/>
      <c r="E111" s="35">
        <f>SUM(E8:E110)</f>
        <v>26896</v>
      </c>
      <c r="F111" s="35">
        <f>SUM(F8:F110)</f>
        <v>25301.699999999997</v>
      </c>
      <c r="G111" s="35">
        <f>+E111-F111+G8</f>
        <v>9687.3000000000029</v>
      </c>
      <c r="H111" s="35"/>
      <c r="I111" s="36"/>
      <c r="J111" s="7">
        <f>SUM(J9:J110)</f>
        <v>66</v>
      </c>
    </row>
    <row r="112" spans="1:17" ht="18" customHeight="1" x14ac:dyDescent="0.25"/>
    <row r="115" spans="5:9" x14ac:dyDescent="0.25">
      <c r="E115" s="201"/>
      <c r="F115" s="201"/>
      <c r="G115" s="201"/>
      <c r="H115" s="201"/>
    </row>
    <row r="116" spans="5:9" x14ac:dyDescent="0.25">
      <c r="F116" s="26"/>
    </row>
    <row r="117" spans="5:9" x14ac:dyDescent="0.25">
      <c r="E117" s="26"/>
      <c r="F117" s="26"/>
      <c r="G117" s="26"/>
      <c r="H117" s="26"/>
      <c r="I117" s="26"/>
    </row>
    <row r="118" spans="5:9" x14ac:dyDescent="0.25">
      <c r="I118" s="202"/>
    </row>
    <row r="119" spans="5:9" x14ac:dyDescent="0.25">
      <c r="E119" s="199"/>
    </row>
    <row r="120" spans="5:9" x14ac:dyDescent="0.25">
      <c r="E120" s="26"/>
      <c r="F120" s="26"/>
    </row>
    <row r="121" spans="5:9" x14ac:dyDescent="0.25">
      <c r="E121" s="203"/>
      <c r="F121" s="204"/>
      <c r="G121" s="203"/>
      <c r="H121" s="203"/>
    </row>
    <row r="122" spans="5:9" x14ac:dyDescent="0.25">
      <c r="F122" s="26"/>
    </row>
  </sheetData>
  <mergeCells count="1">
    <mergeCell ref="A4:I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F347-BD18-467B-98F2-2E3E16ABDE2F}">
  <sheetPr codeName="Sheet85"/>
  <dimension ref="A1:Q121"/>
  <sheetViews>
    <sheetView topLeftCell="A60" workbookViewId="0">
      <selection activeCell="F83" sqref="F83"/>
    </sheetView>
  </sheetViews>
  <sheetFormatPr defaultRowHeight="15" x14ac:dyDescent="0.25"/>
  <cols>
    <col min="1" max="1" width="6" customWidth="1"/>
    <col min="2" max="2" width="11.5703125" customWidth="1"/>
    <col min="3" max="3" width="31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3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t="s">
        <v>162</v>
      </c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13702</v>
      </c>
      <c r="H8" s="7"/>
      <c r="I8" s="7"/>
      <c r="J8" s="7"/>
    </row>
    <row r="9" spans="1:10" ht="17.25" customHeight="1" x14ac:dyDescent="0.25">
      <c r="A9" s="14">
        <v>1</v>
      </c>
      <c r="B9" s="8">
        <v>45744</v>
      </c>
      <c r="C9" s="46" t="s">
        <v>246</v>
      </c>
      <c r="D9" s="214" t="s">
        <v>19</v>
      </c>
      <c r="E9" s="30"/>
      <c r="F9" s="118">
        <v>239.4</v>
      </c>
      <c r="G9" s="18">
        <f>+G8+E9-F9</f>
        <v>13462.6</v>
      </c>
      <c r="H9" s="28" t="s">
        <v>91</v>
      </c>
      <c r="I9" s="7" t="s">
        <v>90</v>
      </c>
      <c r="J9" s="7">
        <v>8</v>
      </c>
    </row>
    <row r="10" spans="1:10" ht="17.25" customHeight="1" x14ac:dyDescent="0.25">
      <c r="A10" s="14">
        <f t="shared" ref="A10:A75" si="0">+A9+1</f>
        <v>2</v>
      </c>
      <c r="B10" s="8">
        <v>45763</v>
      </c>
      <c r="C10" s="46" t="s">
        <v>246</v>
      </c>
      <c r="D10" s="214" t="s">
        <v>19</v>
      </c>
      <c r="E10" s="11"/>
      <c r="F10" s="27">
        <v>179.4</v>
      </c>
      <c r="G10" s="18">
        <f t="shared" ref="G10:G75" si="1">+G9+E10-F10</f>
        <v>13283.2</v>
      </c>
      <c r="H10" s="28" t="s">
        <v>129</v>
      </c>
      <c r="I10" s="7" t="s">
        <v>90</v>
      </c>
      <c r="J10" s="7"/>
    </row>
    <row r="11" spans="1:10" ht="18" customHeight="1" x14ac:dyDescent="0.25">
      <c r="A11" s="14">
        <f t="shared" si="0"/>
        <v>3</v>
      </c>
      <c r="B11" s="8">
        <v>45774</v>
      </c>
      <c r="C11" s="46" t="s">
        <v>246</v>
      </c>
      <c r="D11" s="214" t="s">
        <v>19</v>
      </c>
      <c r="E11" s="16"/>
      <c r="F11" s="27">
        <v>238.5</v>
      </c>
      <c r="G11" s="18">
        <f t="shared" si="1"/>
        <v>13044.7</v>
      </c>
      <c r="H11" s="28" t="s">
        <v>129</v>
      </c>
      <c r="I11" s="7" t="s">
        <v>90</v>
      </c>
      <c r="J11" s="140"/>
    </row>
    <row r="12" spans="1:10" ht="18" customHeight="1" x14ac:dyDescent="0.25">
      <c r="A12" s="14">
        <f t="shared" si="0"/>
        <v>4</v>
      </c>
      <c r="B12" s="8">
        <v>45776</v>
      </c>
      <c r="C12" s="46" t="s">
        <v>246</v>
      </c>
      <c r="D12" s="214" t="s">
        <v>19</v>
      </c>
      <c r="E12" s="16"/>
      <c r="F12" s="17">
        <v>173.4</v>
      </c>
      <c r="G12" s="18">
        <f t="shared" si="1"/>
        <v>12871.300000000001</v>
      </c>
      <c r="H12" s="28" t="s">
        <v>129</v>
      </c>
      <c r="I12" s="7" t="s">
        <v>90</v>
      </c>
      <c r="J12" s="140"/>
    </row>
    <row r="13" spans="1:10" ht="18" customHeight="1" x14ac:dyDescent="0.25">
      <c r="A13" s="14"/>
      <c r="B13" s="8">
        <v>45782</v>
      </c>
      <c r="C13" s="46" t="s">
        <v>246</v>
      </c>
      <c r="D13" s="214"/>
      <c r="E13" s="16"/>
      <c r="F13" s="17">
        <v>174.8</v>
      </c>
      <c r="G13" s="18">
        <f t="shared" si="1"/>
        <v>12696.500000000002</v>
      </c>
      <c r="H13" s="28"/>
      <c r="I13" s="7"/>
      <c r="J13" s="140"/>
    </row>
    <row r="14" spans="1:10" ht="18" customHeight="1" x14ac:dyDescent="0.25">
      <c r="A14" s="14">
        <f>+A12+1</f>
        <v>5</v>
      </c>
      <c r="B14" s="205">
        <v>45785</v>
      </c>
      <c r="C14" s="46" t="s">
        <v>246</v>
      </c>
      <c r="D14" s="214" t="s">
        <v>19</v>
      </c>
      <c r="E14" s="16"/>
      <c r="F14" s="17">
        <v>176.6</v>
      </c>
      <c r="G14" s="18">
        <f t="shared" si="1"/>
        <v>12519.900000000001</v>
      </c>
      <c r="H14" s="28" t="s">
        <v>129</v>
      </c>
      <c r="I14" s="7" t="s">
        <v>90</v>
      </c>
      <c r="J14" s="140"/>
    </row>
    <row r="15" spans="1:10" ht="18" customHeight="1" x14ac:dyDescent="0.25">
      <c r="A15" s="14">
        <f t="shared" si="0"/>
        <v>6</v>
      </c>
      <c r="B15" s="44">
        <v>45789</v>
      </c>
      <c r="C15" s="46" t="s">
        <v>246</v>
      </c>
      <c r="D15" s="214" t="s">
        <v>19</v>
      </c>
      <c r="E15" s="16"/>
      <c r="F15" s="27">
        <v>175.2</v>
      </c>
      <c r="G15" s="18">
        <f t="shared" si="1"/>
        <v>12344.7</v>
      </c>
      <c r="H15" s="28" t="s">
        <v>129</v>
      </c>
      <c r="I15" s="7" t="s">
        <v>90</v>
      </c>
      <c r="J15" s="7"/>
    </row>
    <row r="16" spans="1:10" ht="18" customHeight="1" x14ac:dyDescent="0.25">
      <c r="A16" s="14">
        <f t="shared" si="0"/>
        <v>7</v>
      </c>
      <c r="B16" s="44">
        <v>45791</v>
      </c>
      <c r="C16" s="46" t="s">
        <v>246</v>
      </c>
      <c r="D16" s="214" t="s">
        <v>19</v>
      </c>
      <c r="E16" s="16"/>
      <c r="F16" s="27">
        <v>177.5</v>
      </c>
      <c r="G16" s="18">
        <f t="shared" si="1"/>
        <v>12167.2</v>
      </c>
      <c r="H16" s="28" t="s">
        <v>129</v>
      </c>
      <c r="I16" s="7" t="s">
        <v>90</v>
      </c>
      <c r="J16" s="140">
        <v>100</v>
      </c>
    </row>
    <row r="17" spans="1:14" ht="18" customHeight="1" x14ac:dyDescent="0.25">
      <c r="A17" s="14">
        <f t="shared" si="0"/>
        <v>8</v>
      </c>
      <c r="B17" s="44">
        <v>45793</v>
      </c>
      <c r="C17" s="46" t="s">
        <v>246</v>
      </c>
      <c r="D17" s="214" t="s">
        <v>19</v>
      </c>
      <c r="E17" s="16"/>
      <c r="F17" s="27">
        <v>176.8</v>
      </c>
      <c r="G17" s="18">
        <f t="shared" si="1"/>
        <v>11990.400000000001</v>
      </c>
      <c r="H17" s="28" t="s">
        <v>129</v>
      </c>
      <c r="I17" s="7" t="s">
        <v>90</v>
      </c>
      <c r="J17" s="7"/>
    </row>
    <row r="18" spans="1:14" ht="18" customHeight="1" x14ac:dyDescent="0.25">
      <c r="A18" s="14">
        <f t="shared" si="0"/>
        <v>9</v>
      </c>
      <c r="B18" s="44">
        <v>45796</v>
      </c>
      <c r="C18" s="46" t="s">
        <v>246</v>
      </c>
      <c r="D18" s="214" t="s">
        <v>19</v>
      </c>
      <c r="E18" s="30"/>
      <c r="F18" s="27">
        <v>238.8</v>
      </c>
      <c r="G18" s="18">
        <f t="shared" si="1"/>
        <v>11751.600000000002</v>
      </c>
      <c r="H18" s="28" t="s">
        <v>129</v>
      </c>
      <c r="I18" s="7" t="s">
        <v>90</v>
      </c>
      <c r="J18" s="7"/>
    </row>
    <row r="19" spans="1:14" s="230" customFormat="1" ht="18" customHeight="1" x14ac:dyDescent="0.25">
      <c r="A19" s="223">
        <f>+A18+1</f>
        <v>10</v>
      </c>
      <c r="B19" s="369">
        <v>45798</v>
      </c>
      <c r="C19" s="46" t="s">
        <v>246</v>
      </c>
      <c r="D19" s="226" t="s">
        <v>19</v>
      </c>
      <c r="E19" s="227"/>
      <c r="F19" s="228">
        <v>119.5</v>
      </c>
      <c r="G19" s="18">
        <f t="shared" si="1"/>
        <v>11632.100000000002</v>
      </c>
      <c r="H19" s="28" t="s">
        <v>129</v>
      </c>
      <c r="I19" s="7" t="s">
        <v>90</v>
      </c>
      <c r="J19" s="348"/>
    </row>
    <row r="20" spans="1:14" s="230" customFormat="1" ht="18" customHeight="1" x14ac:dyDescent="0.25">
      <c r="A20" s="223">
        <f t="shared" si="0"/>
        <v>11</v>
      </c>
      <c r="B20" s="369">
        <v>45800</v>
      </c>
      <c r="C20" s="46" t="s">
        <v>246</v>
      </c>
      <c r="D20" s="226" t="s">
        <v>19</v>
      </c>
      <c r="E20" s="231"/>
      <c r="F20" s="228">
        <v>119</v>
      </c>
      <c r="G20" s="18">
        <f t="shared" si="1"/>
        <v>11513.100000000002</v>
      </c>
      <c r="H20" s="28" t="s">
        <v>91</v>
      </c>
      <c r="I20" s="7" t="s">
        <v>90</v>
      </c>
      <c r="J20" s="348"/>
    </row>
    <row r="21" spans="1:14" ht="18" customHeight="1" x14ac:dyDescent="0.25">
      <c r="A21" s="14">
        <f t="shared" si="0"/>
        <v>12</v>
      </c>
      <c r="B21" s="8">
        <v>45809</v>
      </c>
      <c r="C21" s="46" t="s">
        <v>246</v>
      </c>
      <c r="D21" s="214" t="s">
        <v>19</v>
      </c>
      <c r="E21" s="32"/>
      <c r="F21" s="17">
        <v>241.6</v>
      </c>
      <c r="G21" s="18">
        <f t="shared" si="1"/>
        <v>11271.500000000002</v>
      </c>
      <c r="H21" s="28" t="s">
        <v>91</v>
      </c>
      <c r="I21" s="7" t="s">
        <v>90</v>
      </c>
      <c r="J21" s="7"/>
      <c r="N21" s="26"/>
    </row>
    <row r="22" spans="1:14" ht="18" customHeight="1" x14ac:dyDescent="0.25">
      <c r="A22" s="14">
        <f t="shared" si="0"/>
        <v>13</v>
      </c>
      <c r="B22" s="8">
        <v>45813</v>
      </c>
      <c r="C22" s="46" t="s">
        <v>246</v>
      </c>
      <c r="D22" s="214" t="s">
        <v>19</v>
      </c>
      <c r="E22" s="32"/>
      <c r="F22" s="27">
        <v>176.7</v>
      </c>
      <c r="G22" s="18">
        <f t="shared" si="1"/>
        <v>11094.800000000001</v>
      </c>
      <c r="H22" s="28" t="s">
        <v>91</v>
      </c>
      <c r="I22" s="7" t="s">
        <v>90</v>
      </c>
      <c r="J22" s="7"/>
    </row>
    <row r="23" spans="1:14" ht="18" customHeight="1" x14ac:dyDescent="0.25">
      <c r="A23" s="14">
        <f t="shared" si="0"/>
        <v>14</v>
      </c>
      <c r="B23" s="232">
        <v>45814</v>
      </c>
      <c r="C23" s="46" t="s">
        <v>246</v>
      </c>
      <c r="D23" s="234" t="s">
        <v>19</v>
      </c>
      <c r="E23" s="235"/>
      <c r="F23" s="172">
        <v>833.2</v>
      </c>
      <c r="G23" s="18">
        <f t="shared" si="1"/>
        <v>10261.6</v>
      </c>
      <c r="H23" s="28" t="s">
        <v>129</v>
      </c>
      <c r="I23" s="7" t="s">
        <v>90</v>
      </c>
      <c r="J23" s="7"/>
    </row>
    <row r="24" spans="1:14" ht="18" customHeight="1" x14ac:dyDescent="0.25">
      <c r="A24" s="14">
        <f t="shared" si="0"/>
        <v>15</v>
      </c>
      <c r="B24" s="8">
        <v>45815</v>
      </c>
      <c r="C24" s="46" t="s">
        <v>246</v>
      </c>
      <c r="D24" s="214" t="s">
        <v>19</v>
      </c>
      <c r="E24" s="32"/>
      <c r="F24" s="17">
        <v>237.9</v>
      </c>
      <c r="G24" s="18">
        <f t="shared" si="1"/>
        <v>10023.700000000001</v>
      </c>
      <c r="H24" s="28" t="s">
        <v>129</v>
      </c>
      <c r="I24" s="7" t="s">
        <v>142</v>
      </c>
      <c r="J24" s="7"/>
    </row>
    <row r="25" spans="1:14" ht="18" customHeight="1" x14ac:dyDescent="0.25">
      <c r="A25" s="14">
        <f t="shared" si="0"/>
        <v>16</v>
      </c>
      <c r="B25" s="8">
        <v>45818</v>
      </c>
      <c r="C25" s="46" t="s">
        <v>246</v>
      </c>
      <c r="D25" s="214" t="s">
        <v>19</v>
      </c>
      <c r="E25" s="32"/>
      <c r="F25" s="17">
        <v>118.6</v>
      </c>
      <c r="G25" s="18">
        <f t="shared" si="1"/>
        <v>9905.1</v>
      </c>
      <c r="H25" s="28" t="s">
        <v>91</v>
      </c>
      <c r="I25" s="7" t="s">
        <v>90</v>
      </c>
      <c r="J25" s="7"/>
    </row>
    <row r="26" spans="1:14" ht="18" customHeight="1" x14ac:dyDescent="0.25">
      <c r="A26" s="14">
        <f t="shared" si="0"/>
        <v>17</v>
      </c>
      <c r="B26" s="8">
        <v>45820</v>
      </c>
      <c r="C26" s="46" t="s">
        <v>246</v>
      </c>
      <c r="D26" s="214" t="s">
        <v>19</v>
      </c>
      <c r="E26" s="32"/>
      <c r="F26" s="17">
        <v>231.2</v>
      </c>
      <c r="G26" s="18">
        <f t="shared" si="1"/>
        <v>9673.9</v>
      </c>
      <c r="H26" s="28" t="s">
        <v>91</v>
      </c>
      <c r="I26" s="7" t="s">
        <v>90</v>
      </c>
      <c r="J26" s="7"/>
    </row>
    <row r="27" spans="1:14" ht="18" customHeight="1" x14ac:dyDescent="0.25">
      <c r="A27" s="14">
        <f t="shared" si="0"/>
        <v>18</v>
      </c>
      <c r="B27" s="8">
        <v>45821</v>
      </c>
      <c r="C27" s="46" t="s">
        <v>246</v>
      </c>
      <c r="D27" s="214" t="s">
        <v>19</v>
      </c>
      <c r="E27" s="32"/>
      <c r="F27" s="17">
        <v>223.4</v>
      </c>
      <c r="G27" s="18">
        <f t="shared" si="1"/>
        <v>9450.5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19</v>
      </c>
      <c r="B28" s="8">
        <v>45822</v>
      </c>
      <c r="C28" s="46" t="s">
        <v>246</v>
      </c>
      <c r="D28" s="214" t="s">
        <v>19</v>
      </c>
      <c r="E28" s="32"/>
      <c r="F28" s="17">
        <v>458.7</v>
      </c>
      <c r="G28" s="18">
        <f t="shared" si="1"/>
        <v>8991.7999999999993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20</v>
      </c>
      <c r="B29" s="8">
        <v>45824</v>
      </c>
      <c r="C29" s="46" t="s">
        <v>246</v>
      </c>
      <c r="D29" s="214" t="s">
        <v>19</v>
      </c>
      <c r="E29" s="129"/>
      <c r="F29" s="17">
        <v>241.2</v>
      </c>
      <c r="G29" s="18">
        <f t="shared" si="1"/>
        <v>8750.5999999999985</v>
      </c>
      <c r="H29" s="28" t="s">
        <v>91</v>
      </c>
      <c r="I29" s="7" t="s">
        <v>90</v>
      </c>
      <c r="J29" s="7"/>
    </row>
    <row r="30" spans="1:14" ht="18" customHeight="1" x14ac:dyDescent="0.25">
      <c r="A30" s="14">
        <f t="shared" si="0"/>
        <v>21</v>
      </c>
      <c r="B30" s="8">
        <v>45825</v>
      </c>
      <c r="C30" s="46" t="s">
        <v>246</v>
      </c>
      <c r="D30" s="214" t="s">
        <v>19</v>
      </c>
      <c r="E30" s="32"/>
      <c r="F30" s="172">
        <v>344.6</v>
      </c>
      <c r="G30" s="18">
        <f t="shared" si="1"/>
        <v>8405.9999999999982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22</v>
      </c>
      <c r="B31" s="8">
        <v>45836</v>
      </c>
      <c r="C31" s="46" t="s">
        <v>246</v>
      </c>
      <c r="D31" s="214" t="s">
        <v>19</v>
      </c>
      <c r="E31" s="32"/>
      <c r="F31" s="17">
        <v>120</v>
      </c>
      <c r="G31" s="18">
        <f t="shared" si="1"/>
        <v>8285.9999999999982</v>
      </c>
      <c r="H31" s="28" t="s">
        <v>91</v>
      </c>
      <c r="I31" s="7" t="s">
        <v>90</v>
      </c>
      <c r="J31" s="7"/>
    </row>
    <row r="32" spans="1:14" ht="18" customHeight="1" x14ac:dyDescent="0.25">
      <c r="A32" s="14">
        <f t="shared" si="0"/>
        <v>23</v>
      </c>
      <c r="B32" s="8">
        <v>45838</v>
      </c>
      <c r="C32" s="46" t="s">
        <v>246</v>
      </c>
      <c r="D32" s="214" t="s">
        <v>19</v>
      </c>
      <c r="E32" s="32"/>
      <c r="F32" s="17">
        <f>236.4+120.6</f>
        <v>357</v>
      </c>
      <c r="G32" s="18">
        <f t="shared" si="1"/>
        <v>7928.9999999999982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24</v>
      </c>
      <c r="B33" s="8">
        <v>45842</v>
      </c>
      <c r="C33" s="46" t="s">
        <v>246</v>
      </c>
      <c r="D33" s="214" t="s">
        <v>19</v>
      </c>
      <c r="E33" s="13"/>
      <c r="F33" s="17">
        <v>118.3</v>
      </c>
      <c r="G33" s="18">
        <f t="shared" si="1"/>
        <v>7810.699999999998</v>
      </c>
      <c r="H33" s="28" t="s">
        <v>91</v>
      </c>
      <c r="I33" s="7" t="s">
        <v>90</v>
      </c>
      <c r="J33" s="7"/>
    </row>
    <row r="34" spans="1:16" ht="17.25" customHeight="1" x14ac:dyDescent="0.25">
      <c r="A34" s="14">
        <f t="shared" si="0"/>
        <v>25</v>
      </c>
      <c r="B34" s="44">
        <v>45843</v>
      </c>
      <c r="C34" s="46" t="s">
        <v>246</v>
      </c>
      <c r="D34" s="214" t="s">
        <v>19</v>
      </c>
      <c r="E34" s="13"/>
      <c r="F34" s="17">
        <v>116.1</v>
      </c>
      <c r="G34" s="18">
        <f t="shared" si="1"/>
        <v>7694.5999999999976</v>
      </c>
      <c r="H34" s="28" t="s">
        <v>91</v>
      </c>
      <c r="I34" s="7" t="s">
        <v>90</v>
      </c>
      <c r="J34" s="7"/>
    </row>
    <row r="35" spans="1:16" ht="18" customHeight="1" x14ac:dyDescent="0.25">
      <c r="A35" s="14">
        <f t="shared" si="0"/>
        <v>26</v>
      </c>
      <c r="B35" s="8">
        <v>45849</v>
      </c>
      <c r="C35" s="46" t="s">
        <v>246</v>
      </c>
      <c r="D35" s="214" t="s">
        <v>19</v>
      </c>
      <c r="E35" s="32"/>
      <c r="F35" s="40">
        <v>233.7</v>
      </c>
      <c r="G35" s="18">
        <f t="shared" si="1"/>
        <v>7460.8999999999978</v>
      </c>
      <c r="H35" s="28" t="s">
        <v>91</v>
      </c>
      <c r="I35" s="7" t="s">
        <v>90</v>
      </c>
      <c r="J35" s="7"/>
    </row>
    <row r="36" spans="1:16" ht="18" customHeight="1" x14ac:dyDescent="0.25">
      <c r="A36" s="14">
        <f t="shared" si="0"/>
        <v>27</v>
      </c>
      <c r="B36" s="45">
        <v>45850</v>
      </c>
      <c r="C36" s="46" t="s">
        <v>246</v>
      </c>
      <c r="D36" s="214" t="s">
        <v>19</v>
      </c>
      <c r="E36" s="32"/>
      <c r="F36" s="40">
        <v>349.6</v>
      </c>
      <c r="G36" s="18">
        <f t="shared" si="1"/>
        <v>7111.2999999999975</v>
      </c>
      <c r="H36" s="28" t="s">
        <v>91</v>
      </c>
      <c r="I36" s="7" t="s">
        <v>90</v>
      </c>
      <c r="J36" s="7"/>
      <c r="M36">
        <f>8104-7869.2</f>
        <v>234.80000000000018</v>
      </c>
    </row>
    <row r="37" spans="1:16" ht="18" customHeight="1" x14ac:dyDescent="0.25">
      <c r="A37" s="14">
        <f t="shared" si="0"/>
        <v>28</v>
      </c>
      <c r="B37" s="8">
        <v>45852</v>
      </c>
      <c r="C37" s="46" t="s">
        <v>246</v>
      </c>
      <c r="D37" s="214" t="s">
        <v>19</v>
      </c>
      <c r="E37" s="32"/>
      <c r="F37" s="40">
        <v>480.6</v>
      </c>
      <c r="G37" s="18">
        <f t="shared" si="1"/>
        <v>6630.6999999999971</v>
      </c>
      <c r="H37" s="28" t="s">
        <v>91</v>
      </c>
      <c r="I37" s="7" t="s">
        <v>90</v>
      </c>
      <c r="J37" s="7"/>
    </row>
    <row r="38" spans="1:16" ht="18" customHeight="1" x14ac:dyDescent="0.25">
      <c r="A38" s="14">
        <f t="shared" si="0"/>
        <v>29</v>
      </c>
      <c r="B38" s="8">
        <v>45853</v>
      </c>
      <c r="C38" s="46" t="s">
        <v>246</v>
      </c>
      <c r="D38" s="214" t="s">
        <v>19</v>
      </c>
      <c r="E38" s="32"/>
      <c r="F38" s="17">
        <v>359.4</v>
      </c>
      <c r="G38" s="18">
        <f t="shared" si="1"/>
        <v>6271.2999999999975</v>
      </c>
      <c r="H38" s="178"/>
      <c r="I38" s="7" t="s">
        <v>90</v>
      </c>
      <c r="J38" s="7"/>
    </row>
    <row r="39" spans="1:16" ht="18" customHeight="1" x14ac:dyDescent="0.25">
      <c r="A39" s="14">
        <f t="shared" si="0"/>
        <v>30</v>
      </c>
      <c r="B39" s="8">
        <v>45854</v>
      </c>
      <c r="C39" s="46" t="s">
        <v>246</v>
      </c>
      <c r="D39" s="214" t="s">
        <v>19</v>
      </c>
      <c r="E39" s="32"/>
      <c r="F39" s="17">
        <v>238</v>
      </c>
      <c r="G39" s="18">
        <f t="shared" si="1"/>
        <v>6033.2999999999975</v>
      </c>
      <c r="H39" s="178"/>
      <c r="I39" s="7" t="s">
        <v>90</v>
      </c>
      <c r="J39" s="7"/>
    </row>
    <row r="40" spans="1:16" ht="18" customHeight="1" x14ac:dyDescent="0.25">
      <c r="A40" s="14">
        <f t="shared" si="0"/>
        <v>31</v>
      </c>
      <c r="B40" s="8">
        <v>45855</v>
      </c>
      <c r="C40" s="46" t="s">
        <v>246</v>
      </c>
      <c r="D40" s="214" t="s">
        <v>19</v>
      </c>
      <c r="E40" s="32"/>
      <c r="F40" s="17">
        <f>237+118.9</f>
        <v>355.9</v>
      </c>
      <c r="G40" s="18">
        <f t="shared" si="1"/>
        <v>5677.3999999999978</v>
      </c>
      <c r="H40" s="178"/>
      <c r="I40" s="7" t="s">
        <v>90</v>
      </c>
      <c r="J40" s="7"/>
    </row>
    <row r="41" spans="1:16" ht="18" customHeight="1" x14ac:dyDescent="0.25">
      <c r="A41" s="14">
        <f t="shared" si="0"/>
        <v>32</v>
      </c>
      <c r="B41" s="8">
        <v>45856</v>
      </c>
      <c r="C41" s="46" t="s">
        <v>246</v>
      </c>
      <c r="D41" s="214" t="s">
        <v>19</v>
      </c>
      <c r="E41" s="32"/>
      <c r="F41" s="17">
        <v>214.9</v>
      </c>
      <c r="G41" s="18">
        <f t="shared" si="1"/>
        <v>5462.4999999999982</v>
      </c>
      <c r="H41" s="178"/>
      <c r="I41" s="7" t="s">
        <v>90</v>
      </c>
      <c r="J41" s="7"/>
    </row>
    <row r="42" spans="1:16" ht="18" customHeight="1" x14ac:dyDescent="0.25">
      <c r="A42" s="14">
        <f t="shared" si="0"/>
        <v>33</v>
      </c>
      <c r="B42" s="8">
        <v>45859</v>
      </c>
      <c r="C42" s="46" t="s">
        <v>246</v>
      </c>
      <c r="D42" s="214" t="s">
        <v>19</v>
      </c>
      <c r="E42" s="32"/>
      <c r="F42" s="172">
        <v>121.1</v>
      </c>
      <c r="G42" s="18">
        <f t="shared" si="1"/>
        <v>5341.3999999999978</v>
      </c>
      <c r="H42" s="178"/>
      <c r="I42" s="7" t="s">
        <v>90</v>
      </c>
      <c r="J42" s="7"/>
      <c r="P42" s="162"/>
    </row>
    <row r="43" spans="1:16" ht="18" customHeight="1" x14ac:dyDescent="0.25">
      <c r="A43" s="14">
        <f t="shared" si="0"/>
        <v>34</v>
      </c>
      <c r="B43" s="8">
        <v>45862</v>
      </c>
      <c r="C43" s="46" t="s">
        <v>246</v>
      </c>
      <c r="D43" s="214" t="s">
        <v>19</v>
      </c>
      <c r="E43" s="32"/>
      <c r="F43" s="17">
        <v>181.1</v>
      </c>
      <c r="G43" s="18">
        <f t="shared" si="1"/>
        <v>5160.2999999999975</v>
      </c>
      <c r="H43" s="178"/>
      <c r="I43" s="7" t="s">
        <v>90</v>
      </c>
      <c r="J43" s="7"/>
    </row>
    <row r="44" spans="1:16" ht="18" customHeight="1" x14ac:dyDescent="0.25">
      <c r="A44" s="14">
        <f t="shared" si="0"/>
        <v>35</v>
      </c>
      <c r="B44" s="8">
        <v>45863</v>
      </c>
      <c r="C44" s="46" t="s">
        <v>246</v>
      </c>
      <c r="D44" s="214" t="s">
        <v>19</v>
      </c>
      <c r="E44" s="32">
        <v>7894</v>
      </c>
      <c r="F44" s="17"/>
      <c r="G44" s="18">
        <f t="shared" si="1"/>
        <v>13054.299999999997</v>
      </c>
      <c r="H44" s="178"/>
      <c r="I44" s="7" t="s">
        <v>90</v>
      </c>
      <c r="J44" s="7" t="s">
        <v>423</v>
      </c>
    </row>
    <row r="45" spans="1:16" ht="18" customHeight="1" x14ac:dyDescent="0.25">
      <c r="A45" s="14">
        <f t="shared" si="0"/>
        <v>36</v>
      </c>
      <c r="B45" s="8">
        <v>45863</v>
      </c>
      <c r="C45" s="46" t="s">
        <v>246</v>
      </c>
      <c r="D45" s="214" t="s">
        <v>19</v>
      </c>
      <c r="E45" s="32"/>
      <c r="F45" s="17">
        <v>410.6</v>
      </c>
      <c r="G45" s="18">
        <f t="shared" si="1"/>
        <v>12643.699999999997</v>
      </c>
      <c r="H45" s="178"/>
      <c r="I45" s="7" t="s">
        <v>90</v>
      </c>
      <c r="J45" s="7"/>
    </row>
    <row r="46" spans="1:16" ht="18" customHeight="1" x14ac:dyDescent="0.25">
      <c r="A46" s="14">
        <f t="shared" si="0"/>
        <v>37</v>
      </c>
      <c r="B46" s="8">
        <v>45864</v>
      </c>
      <c r="C46" s="46" t="s">
        <v>246</v>
      </c>
      <c r="D46" s="214" t="s">
        <v>19</v>
      </c>
      <c r="E46" s="32"/>
      <c r="F46" s="17">
        <v>356.4</v>
      </c>
      <c r="G46" s="18">
        <f t="shared" si="1"/>
        <v>12287.299999999997</v>
      </c>
      <c r="H46" s="178"/>
      <c r="I46" s="7" t="s">
        <v>90</v>
      </c>
      <c r="J46" s="7"/>
    </row>
    <row r="47" spans="1:16" ht="18" customHeight="1" x14ac:dyDescent="0.25">
      <c r="A47" s="14">
        <f t="shared" si="0"/>
        <v>38</v>
      </c>
      <c r="B47" s="8">
        <v>45866</v>
      </c>
      <c r="C47" s="46" t="s">
        <v>246</v>
      </c>
      <c r="D47" s="214" t="s">
        <v>19</v>
      </c>
      <c r="E47" s="32"/>
      <c r="F47" s="17">
        <v>414.6</v>
      </c>
      <c r="G47" s="18">
        <f t="shared" si="1"/>
        <v>11872.699999999997</v>
      </c>
      <c r="H47" s="178"/>
      <c r="I47" s="7" t="s">
        <v>90</v>
      </c>
      <c r="J47" s="7"/>
    </row>
    <row r="48" spans="1:16" ht="18" customHeight="1" x14ac:dyDescent="0.25">
      <c r="A48" s="14">
        <f t="shared" si="0"/>
        <v>39</v>
      </c>
      <c r="B48" s="8">
        <v>45868</v>
      </c>
      <c r="C48" s="46" t="s">
        <v>246</v>
      </c>
      <c r="D48" s="214" t="s">
        <v>19</v>
      </c>
      <c r="E48" s="32">
        <v>7802.3</v>
      </c>
      <c r="F48" s="17">
        <v>238.4</v>
      </c>
      <c r="G48" s="18">
        <f t="shared" si="1"/>
        <v>19436.599999999995</v>
      </c>
      <c r="H48" s="178"/>
      <c r="I48" s="7" t="s">
        <v>90</v>
      </c>
      <c r="J48" s="33"/>
    </row>
    <row r="49" spans="1:16" ht="18" customHeight="1" x14ac:dyDescent="0.25">
      <c r="A49" s="14">
        <f t="shared" si="0"/>
        <v>40</v>
      </c>
      <c r="B49" s="8">
        <v>45869</v>
      </c>
      <c r="C49" s="46" t="s">
        <v>246</v>
      </c>
      <c r="D49" s="214" t="s">
        <v>19</v>
      </c>
      <c r="E49" s="32"/>
      <c r="F49" s="17">
        <v>236.5</v>
      </c>
      <c r="G49" s="18">
        <f t="shared" si="1"/>
        <v>19200.099999999995</v>
      </c>
      <c r="H49" s="178"/>
      <c r="I49" s="7" t="s">
        <v>90</v>
      </c>
      <c r="J49" s="7"/>
    </row>
    <row r="50" spans="1:16" ht="18" customHeight="1" x14ac:dyDescent="0.25">
      <c r="A50" s="14">
        <f t="shared" si="0"/>
        <v>41</v>
      </c>
      <c r="B50" s="8">
        <v>45870</v>
      </c>
      <c r="C50" s="46" t="s">
        <v>246</v>
      </c>
      <c r="D50" s="214" t="s">
        <v>19</v>
      </c>
      <c r="E50" s="32"/>
      <c r="F50" s="17">
        <v>236.8</v>
      </c>
      <c r="G50" s="18">
        <f t="shared" si="1"/>
        <v>18963.299999999996</v>
      </c>
      <c r="H50" s="178"/>
      <c r="I50" s="7" t="s">
        <v>90</v>
      </c>
      <c r="J50" s="7"/>
    </row>
    <row r="51" spans="1:16" s="162" customFormat="1" ht="18" customHeight="1" x14ac:dyDescent="0.25">
      <c r="A51" s="14">
        <f t="shared" si="0"/>
        <v>42</v>
      </c>
      <c r="B51" s="174">
        <v>45875</v>
      </c>
      <c r="C51" s="46" t="s">
        <v>246</v>
      </c>
      <c r="D51" s="237" t="s">
        <v>19</v>
      </c>
      <c r="E51" s="175"/>
      <c r="F51" s="172">
        <v>240.9</v>
      </c>
      <c r="G51" s="18">
        <f t="shared" si="1"/>
        <v>18722.399999999994</v>
      </c>
      <c r="H51" s="178"/>
      <c r="I51" s="7" t="s">
        <v>90</v>
      </c>
      <c r="J51" s="271"/>
      <c r="P51"/>
    </row>
    <row r="52" spans="1:16" ht="18" customHeight="1" x14ac:dyDescent="0.25">
      <c r="A52" s="14">
        <f t="shared" si="0"/>
        <v>43</v>
      </c>
      <c r="B52" s="8">
        <v>45881</v>
      </c>
      <c r="C52" s="46" t="s">
        <v>246</v>
      </c>
      <c r="D52" s="214" t="s">
        <v>19</v>
      </c>
      <c r="E52" s="32"/>
      <c r="F52" s="17">
        <v>230.4</v>
      </c>
      <c r="G52" s="18">
        <f t="shared" si="1"/>
        <v>18491.999999999993</v>
      </c>
      <c r="H52" s="239"/>
      <c r="I52" s="7" t="s">
        <v>90</v>
      </c>
      <c r="J52" s="7"/>
    </row>
    <row r="53" spans="1:16" ht="18" customHeight="1" x14ac:dyDescent="0.25">
      <c r="A53" s="14">
        <f t="shared" si="0"/>
        <v>44</v>
      </c>
      <c r="B53" s="8">
        <v>45883</v>
      </c>
      <c r="C53" s="46" t="s">
        <v>246</v>
      </c>
      <c r="D53" s="214" t="s">
        <v>19</v>
      </c>
      <c r="E53" s="32"/>
      <c r="F53" s="17">
        <v>118.8</v>
      </c>
      <c r="G53" s="18">
        <f t="shared" si="1"/>
        <v>18373.199999999993</v>
      </c>
      <c r="H53" s="239"/>
      <c r="I53" s="7" t="s">
        <v>90</v>
      </c>
      <c r="J53" s="7"/>
    </row>
    <row r="54" spans="1:16" ht="18" customHeight="1" x14ac:dyDescent="0.25">
      <c r="A54" s="14">
        <f t="shared" si="0"/>
        <v>45</v>
      </c>
      <c r="B54" s="8">
        <v>45884</v>
      </c>
      <c r="C54" s="46"/>
      <c r="D54" s="214"/>
      <c r="E54" s="32"/>
      <c r="F54" s="17">
        <v>118.9</v>
      </c>
      <c r="G54" s="18">
        <f t="shared" si="1"/>
        <v>18254.299999999992</v>
      </c>
      <c r="H54" s="239"/>
      <c r="I54" s="7"/>
      <c r="J54" s="7"/>
    </row>
    <row r="55" spans="1:16" ht="18" customHeight="1" x14ac:dyDescent="0.25">
      <c r="A55" s="14">
        <f t="shared" si="0"/>
        <v>46</v>
      </c>
      <c r="B55" s="8">
        <v>45889</v>
      </c>
      <c r="C55" s="46" t="s">
        <v>246</v>
      </c>
      <c r="D55" s="214" t="s">
        <v>19</v>
      </c>
      <c r="E55" s="32"/>
      <c r="F55" s="17">
        <v>236.2</v>
      </c>
      <c r="G55" s="18">
        <f t="shared" si="1"/>
        <v>18018.099999999991</v>
      </c>
      <c r="H55" s="239"/>
      <c r="I55" s="7" t="s">
        <v>90</v>
      </c>
      <c r="J55" s="7"/>
    </row>
    <row r="56" spans="1:16" ht="18" customHeight="1" x14ac:dyDescent="0.25">
      <c r="A56" s="14">
        <f t="shared" si="0"/>
        <v>47</v>
      </c>
      <c r="B56" s="8">
        <v>45890</v>
      </c>
      <c r="C56" s="46" t="s">
        <v>246</v>
      </c>
      <c r="D56" s="214" t="s">
        <v>19</v>
      </c>
      <c r="E56" s="32"/>
      <c r="F56" s="17">
        <v>118.2</v>
      </c>
      <c r="G56" s="18">
        <f t="shared" si="1"/>
        <v>17899.899999999991</v>
      </c>
      <c r="H56" s="28"/>
      <c r="I56" s="7" t="s">
        <v>90</v>
      </c>
      <c r="J56" s="7"/>
    </row>
    <row r="57" spans="1:16" ht="18" customHeight="1" x14ac:dyDescent="0.25">
      <c r="A57" s="14">
        <f t="shared" si="0"/>
        <v>48</v>
      </c>
      <c r="B57" s="8">
        <v>45891</v>
      </c>
      <c r="C57" s="46" t="s">
        <v>246</v>
      </c>
      <c r="D57" s="214" t="s">
        <v>19</v>
      </c>
      <c r="E57" s="32"/>
      <c r="F57" s="17">
        <v>118.5</v>
      </c>
      <c r="G57" s="18">
        <f t="shared" si="1"/>
        <v>17781.399999999991</v>
      </c>
      <c r="H57" s="240"/>
      <c r="I57" s="7" t="s">
        <v>90</v>
      </c>
      <c r="J57" s="7"/>
    </row>
    <row r="58" spans="1:16" ht="18" customHeight="1" x14ac:dyDescent="0.25">
      <c r="A58" s="14">
        <f t="shared" si="0"/>
        <v>49</v>
      </c>
      <c r="B58" s="8">
        <v>45892</v>
      </c>
      <c r="C58" s="46" t="s">
        <v>246</v>
      </c>
      <c r="D58" s="214" t="s">
        <v>19</v>
      </c>
      <c r="E58" s="32"/>
      <c r="F58" s="17">
        <v>349.3</v>
      </c>
      <c r="G58" s="18">
        <f t="shared" si="1"/>
        <v>17432.099999999991</v>
      </c>
      <c r="H58" s="240"/>
      <c r="I58" s="7" t="s">
        <v>90</v>
      </c>
      <c r="J58" s="7"/>
    </row>
    <row r="59" spans="1:16" ht="18" customHeight="1" x14ac:dyDescent="0.25">
      <c r="A59" s="14">
        <f t="shared" si="0"/>
        <v>50</v>
      </c>
      <c r="B59" s="8">
        <v>45895</v>
      </c>
      <c r="C59" s="46" t="s">
        <v>246</v>
      </c>
      <c r="D59" s="214" t="s">
        <v>19</v>
      </c>
      <c r="E59" s="32"/>
      <c r="F59" s="17">
        <v>243.5</v>
      </c>
      <c r="G59" s="18">
        <f t="shared" si="1"/>
        <v>17188.599999999991</v>
      </c>
      <c r="H59" s="240"/>
      <c r="I59" s="7" t="s">
        <v>90</v>
      </c>
      <c r="J59" s="7"/>
    </row>
    <row r="60" spans="1:16" ht="18" customHeight="1" x14ac:dyDescent="0.25">
      <c r="A60" s="14">
        <f t="shared" si="0"/>
        <v>51</v>
      </c>
      <c r="B60" s="8">
        <v>45897</v>
      </c>
      <c r="C60" s="46" t="s">
        <v>246</v>
      </c>
      <c r="D60" s="214" t="s">
        <v>19</v>
      </c>
      <c r="E60" s="32"/>
      <c r="F60" s="17">
        <v>239.1</v>
      </c>
      <c r="G60" s="18">
        <f t="shared" si="1"/>
        <v>16949.499999999993</v>
      </c>
      <c r="H60" s="240"/>
      <c r="I60" s="7" t="s">
        <v>90</v>
      </c>
      <c r="J60" s="7"/>
    </row>
    <row r="61" spans="1:16" ht="18" customHeight="1" x14ac:dyDescent="0.25">
      <c r="A61" s="14">
        <f t="shared" si="0"/>
        <v>52</v>
      </c>
      <c r="B61" s="8">
        <v>45898</v>
      </c>
      <c r="C61" s="46" t="s">
        <v>246</v>
      </c>
      <c r="D61" s="214" t="s">
        <v>19</v>
      </c>
      <c r="E61" s="32"/>
      <c r="F61" s="17">
        <v>240.4</v>
      </c>
      <c r="G61" s="18">
        <f t="shared" si="1"/>
        <v>16709.099999999991</v>
      </c>
      <c r="H61" s="240"/>
      <c r="I61" s="7" t="s">
        <v>90</v>
      </c>
      <c r="J61" s="7"/>
    </row>
    <row r="62" spans="1:16" ht="18" customHeight="1" x14ac:dyDescent="0.25">
      <c r="A62" s="14">
        <f t="shared" si="0"/>
        <v>53</v>
      </c>
      <c r="B62" s="8">
        <v>45903</v>
      </c>
      <c r="C62" s="46" t="s">
        <v>246</v>
      </c>
      <c r="D62" s="214" t="s">
        <v>19</v>
      </c>
      <c r="E62" s="32"/>
      <c r="F62" s="17">
        <v>342.3</v>
      </c>
      <c r="G62" s="18">
        <f t="shared" si="1"/>
        <v>16366.799999999992</v>
      </c>
      <c r="H62" s="240"/>
      <c r="I62" s="7" t="s">
        <v>90</v>
      </c>
      <c r="J62" s="7"/>
    </row>
    <row r="63" spans="1:16" ht="18" customHeight="1" x14ac:dyDescent="0.25">
      <c r="A63" s="14">
        <f t="shared" si="0"/>
        <v>54</v>
      </c>
      <c r="B63" s="8">
        <v>45904</v>
      </c>
      <c r="C63" s="46" t="s">
        <v>246</v>
      </c>
      <c r="D63" s="214" t="s">
        <v>19</v>
      </c>
      <c r="E63" s="32"/>
      <c r="F63" s="17">
        <v>178.4</v>
      </c>
      <c r="G63" s="18">
        <f t="shared" si="1"/>
        <v>16188.399999999992</v>
      </c>
      <c r="H63" s="240"/>
      <c r="I63" s="7" t="s">
        <v>90</v>
      </c>
      <c r="J63" s="7"/>
    </row>
    <row r="64" spans="1:16" ht="18" customHeight="1" x14ac:dyDescent="0.25">
      <c r="A64" s="14">
        <f t="shared" si="0"/>
        <v>55</v>
      </c>
      <c r="B64" s="8">
        <v>45905</v>
      </c>
      <c r="C64" s="46" t="s">
        <v>246</v>
      </c>
      <c r="D64" s="214" t="s">
        <v>19</v>
      </c>
      <c r="E64" s="32"/>
      <c r="F64" s="17">
        <v>173.1</v>
      </c>
      <c r="G64" s="18">
        <f t="shared" si="1"/>
        <v>16015.299999999992</v>
      </c>
      <c r="H64" s="240"/>
      <c r="I64" s="7" t="s">
        <v>90</v>
      </c>
      <c r="J64" s="7"/>
    </row>
    <row r="65" spans="1:10" ht="18" customHeight="1" x14ac:dyDescent="0.25">
      <c r="A65" s="14">
        <f t="shared" si="0"/>
        <v>56</v>
      </c>
      <c r="B65" s="8">
        <v>45906</v>
      </c>
      <c r="C65" s="46" t="s">
        <v>246</v>
      </c>
      <c r="D65" s="214" t="s">
        <v>19</v>
      </c>
      <c r="E65" s="32"/>
      <c r="F65" s="17">
        <v>176.8</v>
      </c>
      <c r="G65" s="18">
        <f t="shared" si="1"/>
        <v>15838.499999999993</v>
      </c>
      <c r="H65" s="240"/>
      <c r="I65" s="7" t="s">
        <v>90</v>
      </c>
      <c r="J65" s="7"/>
    </row>
    <row r="66" spans="1:10" ht="18" customHeight="1" x14ac:dyDescent="0.25">
      <c r="A66" s="14">
        <f t="shared" si="0"/>
        <v>57</v>
      </c>
      <c r="B66" s="8">
        <v>45908</v>
      </c>
      <c r="C66" s="46" t="s">
        <v>246</v>
      </c>
      <c r="D66" s="214" t="s">
        <v>19</v>
      </c>
      <c r="E66" s="32"/>
      <c r="F66" s="17">
        <v>238.3</v>
      </c>
      <c r="G66" s="18">
        <f t="shared" si="1"/>
        <v>15600.199999999993</v>
      </c>
      <c r="H66" s="240"/>
      <c r="I66" s="7" t="s">
        <v>90</v>
      </c>
      <c r="J66" s="7"/>
    </row>
    <row r="67" spans="1:10" ht="18" customHeight="1" x14ac:dyDescent="0.25">
      <c r="A67" s="14">
        <f t="shared" si="0"/>
        <v>58</v>
      </c>
      <c r="B67" s="8">
        <v>45909</v>
      </c>
      <c r="C67" s="46" t="s">
        <v>246</v>
      </c>
      <c r="D67" s="214" t="s">
        <v>19</v>
      </c>
      <c r="E67" s="32"/>
      <c r="F67" s="17">
        <v>240.3</v>
      </c>
      <c r="G67" s="18">
        <f t="shared" si="1"/>
        <v>15359.899999999994</v>
      </c>
      <c r="H67" s="240"/>
      <c r="I67" s="7" t="s">
        <v>90</v>
      </c>
      <c r="J67" s="140"/>
    </row>
    <row r="68" spans="1:10" ht="18" customHeight="1" x14ac:dyDescent="0.25">
      <c r="A68" s="14">
        <f t="shared" si="0"/>
        <v>59</v>
      </c>
      <c r="B68" s="8">
        <v>45910</v>
      </c>
      <c r="C68" s="46" t="s">
        <v>246</v>
      </c>
      <c r="D68" s="214" t="s">
        <v>19</v>
      </c>
      <c r="E68" s="32"/>
      <c r="F68" s="17">
        <v>244.8</v>
      </c>
      <c r="G68" s="18">
        <f t="shared" si="1"/>
        <v>15115.099999999995</v>
      </c>
      <c r="H68" s="240"/>
      <c r="I68" s="7" t="s">
        <v>90</v>
      </c>
      <c r="J68" s="7"/>
    </row>
    <row r="69" spans="1:10" ht="18" customHeight="1" x14ac:dyDescent="0.25">
      <c r="A69" s="14">
        <f t="shared" si="0"/>
        <v>60</v>
      </c>
      <c r="B69" s="8">
        <v>45912</v>
      </c>
      <c r="C69" s="46" t="s">
        <v>246</v>
      </c>
      <c r="D69" s="214" t="s">
        <v>19</v>
      </c>
      <c r="E69" s="32"/>
      <c r="F69" s="17">
        <v>337.1</v>
      </c>
      <c r="G69" s="18">
        <f t="shared" si="1"/>
        <v>14777.999999999995</v>
      </c>
      <c r="H69" s="240"/>
      <c r="I69" s="7" t="s">
        <v>90</v>
      </c>
      <c r="J69" s="7"/>
    </row>
    <row r="70" spans="1:10" ht="18" customHeight="1" x14ac:dyDescent="0.25">
      <c r="A70" s="14">
        <f t="shared" si="0"/>
        <v>61</v>
      </c>
      <c r="B70" s="8">
        <v>45913</v>
      </c>
      <c r="C70" s="46" t="s">
        <v>246</v>
      </c>
      <c r="D70" s="214" t="s">
        <v>19</v>
      </c>
      <c r="E70" s="32"/>
      <c r="F70" s="17">
        <v>179.8</v>
      </c>
      <c r="G70" s="18">
        <f t="shared" si="1"/>
        <v>14598.199999999995</v>
      </c>
      <c r="H70" s="240"/>
      <c r="I70" s="7" t="s">
        <v>90</v>
      </c>
      <c r="J70" s="7"/>
    </row>
    <row r="71" spans="1:10" ht="18" customHeight="1" x14ac:dyDescent="0.25">
      <c r="A71" s="14">
        <f t="shared" si="0"/>
        <v>62</v>
      </c>
      <c r="B71" s="8">
        <v>45922</v>
      </c>
      <c r="C71" s="46" t="s">
        <v>246</v>
      </c>
      <c r="D71" s="214" t="s">
        <v>19</v>
      </c>
      <c r="E71" s="32"/>
      <c r="F71" s="17">
        <v>254</v>
      </c>
      <c r="G71" s="18">
        <f t="shared" si="1"/>
        <v>14344.199999999995</v>
      </c>
      <c r="H71" s="240"/>
      <c r="I71" s="7" t="s">
        <v>90</v>
      </c>
      <c r="J71" s="7"/>
    </row>
    <row r="72" spans="1:10" ht="18" customHeight="1" x14ac:dyDescent="0.25">
      <c r="A72" s="14">
        <f t="shared" si="0"/>
        <v>63</v>
      </c>
      <c r="B72" s="8">
        <v>45924</v>
      </c>
      <c r="C72" s="46" t="s">
        <v>246</v>
      </c>
      <c r="D72" s="214" t="s">
        <v>19</v>
      </c>
      <c r="E72" s="32"/>
      <c r="F72" s="17">
        <v>246.8</v>
      </c>
      <c r="G72" s="18">
        <f t="shared" si="1"/>
        <v>14097.399999999996</v>
      </c>
      <c r="H72" s="240"/>
      <c r="I72" s="7" t="s">
        <v>90</v>
      </c>
      <c r="J72" s="7"/>
    </row>
    <row r="73" spans="1:10" ht="18" customHeight="1" x14ac:dyDescent="0.25">
      <c r="A73" s="14">
        <f t="shared" si="0"/>
        <v>64</v>
      </c>
      <c r="B73" s="8">
        <v>45925</v>
      </c>
      <c r="C73" s="46" t="s">
        <v>246</v>
      </c>
      <c r="D73" s="214" t="s">
        <v>19</v>
      </c>
      <c r="E73" s="32"/>
      <c r="F73" s="17">
        <v>219.7</v>
      </c>
      <c r="G73" s="18">
        <f t="shared" si="1"/>
        <v>13877.699999999995</v>
      </c>
      <c r="H73" s="240"/>
      <c r="I73" s="7" t="s">
        <v>90</v>
      </c>
      <c r="J73" s="7"/>
    </row>
    <row r="74" spans="1:10" ht="18" customHeight="1" x14ac:dyDescent="0.25">
      <c r="A74" s="14">
        <f t="shared" si="0"/>
        <v>65</v>
      </c>
      <c r="B74" s="8">
        <v>45926</v>
      </c>
      <c r="C74" s="46" t="s">
        <v>246</v>
      </c>
      <c r="D74" s="214" t="s">
        <v>19</v>
      </c>
      <c r="E74" s="32"/>
      <c r="F74" s="17">
        <v>237.2</v>
      </c>
      <c r="G74" s="18">
        <f t="shared" si="1"/>
        <v>13640.499999999995</v>
      </c>
      <c r="H74" s="240"/>
      <c r="I74" s="7" t="s">
        <v>90</v>
      </c>
      <c r="J74" s="7"/>
    </row>
    <row r="75" spans="1:10" ht="18" customHeight="1" x14ac:dyDescent="0.25">
      <c r="A75" s="14">
        <f t="shared" si="0"/>
        <v>66</v>
      </c>
      <c r="B75" s="8">
        <v>45927</v>
      </c>
      <c r="C75" s="46" t="s">
        <v>246</v>
      </c>
      <c r="D75" s="214" t="s">
        <v>19</v>
      </c>
      <c r="E75" s="32"/>
      <c r="F75" s="17">
        <v>244</v>
      </c>
      <c r="G75" s="18">
        <f t="shared" si="1"/>
        <v>13396.499999999995</v>
      </c>
      <c r="H75" s="240"/>
      <c r="I75" s="7" t="s">
        <v>90</v>
      </c>
      <c r="J75" s="7"/>
    </row>
    <row r="76" spans="1:10" ht="18" customHeight="1" x14ac:dyDescent="0.25">
      <c r="A76" s="14">
        <f t="shared" ref="A76:A109" si="2">+A75+1</f>
        <v>67</v>
      </c>
      <c r="B76" s="8">
        <v>45929</v>
      </c>
      <c r="C76" s="46" t="s">
        <v>246</v>
      </c>
      <c r="D76" s="214" t="s">
        <v>19</v>
      </c>
      <c r="E76" s="32"/>
      <c r="F76" s="17">
        <v>171.7</v>
      </c>
      <c r="G76" s="18">
        <f t="shared" ref="G76:G109" si="3">+G75+E76-F76</f>
        <v>13224.799999999994</v>
      </c>
      <c r="H76" s="240"/>
      <c r="I76" s="7" t="s">
        <v>90</v>
      </c>
      <c r="J76" s="7"/>
    </row>
    <row r="77" spans="1:10" ht="18" customHeight="1" x14ac:dyDescent="0.25">
      <c r="A77" s="14">
        <f t="shared" si="2"/>
        <v>68</v>
      </c>
      <c r="B77" s="8">
        <v>45930</v>
      </c>
      <c r="C77" s="46" t="s">
        <v>246</v>
      </c>
      <c r="D77" s="214" t="s">
        <v>19</v>
      </c>
      <c r="E77" s="32"/>
      <c r="F77" s="17">
        <v>240.2</v>
      </c>
      <c r="G77" s="18">
        <f t="shared" si="3"/>
        <v>12984.599999999993</v>
      </c>
      <c r="H77" s="240"/>
      <c r="I77" s="7" t="s">
        <v>90</v>
      </c>
      <c r="J77" s="7"/>
    </row>
    <row r="78" spans="1:10" ht="18" customHeight="1" x14ac:dyDescent="0.25">
      <c r="A78" s="14">
        <f t="shared" si="2"/>
        <v>69</v>
      </c>
      <c r="B78" s="8">
        <v>45931</v>
      </c>
      <c r="C78" s="46" t="s">
        <v>246</v>
      </c>
      <c r="D78" s="214" t="s">
        <v>19</v>
      </c>
      <c r="E78" s="32"/>
      <c r="F78" s="17">
        <v>447.2</v>
      </c>
      <c r="G78" s="18">
        <f t="shared" si="3"/>
        <v>12537.399999999992</v>
      </c>
      <c r="H78" s="240"/>
      <c r="I78" s="7" t="s">
        <v>90</v>
      </c>
      <c r="J78" s="7"/>
    </row>
    <row r="79" spans="1:10" ht="18" customHeight="1" x14ac:dyDescent="0.25">
      <c r="A79" s="14">
        <f t="shared" si="2"/>
        <v>70</v>
      </c>
      <c r="B79" s="8">
        <v>45936</v>
      </c>
      <c r="C79" s="46" t="s">
        <v>246</v>
      </c>
      <c r="D79" s="214" t="s">
        <v>19</v>
      </c>
      <c r="E79" s="32"/>
      <c r="F79" s="17">
        <v>204.3</v>
      </c>
      <c r="G79" s="18">
        <f t="shared" si="3"/>
        <v>12333.099999999993</v>
      </c>
      <c r="H79" s="240"/>
      <c r="I79" s="7" t="s">
        <v>90</v>
      </c>
      <c r="J79" s="7"/>
    </row>
    <row r="80" spans="1:10" ht="18" customHeight="1" x14ac:dyDescent="0.25">
      <c r="A80" s="14">
        <f t="shared" si="2"/>
        <v>71</v>
      </c>
      <c r="B80" s="8">
        <v>45937</v>
      </c>
      <c r="C80" s="46" t="s">
        <v>246</v>
      </c>
      <c r="D80" s="214" t="s">
        <v>19</v>
      </c>
      <c r="E80" s="32"/>
      <c r="F80" s="17">
        <v>208.7</v>
      </c>
      <c r="G80" s="18">
        <f t="shared" si="3"/>
        <v>12124.399999999992</v>
      </c>
      <c r="H80" s="240"/>
      <c r="I80" s="7" t="s">
        <v>90</v>
      </c>
      <c r="J80" s="7"/>
    </row>
    <row r="81" spans="1:17" ht="18" customHeight="1" x14ac:dyDescent="0.25">
      <c r="A81" s="14">
        <f t="shared" si="2"/>
        <v>72</v>
      </c>
      <c r="B81" s="8">
        <v>45938</v>
      </c>
      <c r="C81" s="46" t="s">
        <v>246</v>
      </c>
      <c r="D81" s="214" t="s">
        <v>19</v>
      </c>
      <c r="E81" s="32"/>
      <c r="F81" s="17">
        <v>483.5</v>
      </c>
      <c r="G81" s="18">
        <f t="shared" si="3"/>
        <v>11640.899999999992</v>
      </c>
      <c r="H81" s="240"/>
      <c r="I81" s="7" t="s">
        <v>90</v>
      </c>
      <c r="J81" s="7"/>
    </row>
    <row r="82" spans="1:17" ht="18" customHeight="1" x14ac:dyDescent="0.25">
      <c r="A82" s="14">
        <f t="shared" si="2"/>
        <v>73</v>
      </c>
      <c r="B82" s="8">
        <v>45939</v>
      </c>
      <c r="C82" s="46" t="s">
        <v>246</v>
      </c>
      <c r="D82" s="214" t="s">
        <v>19</v>
      </c>
      <c r="E82" s="32"/>
      <c r="F82" s="17">
        <v>245.8</v>
      </c>
      <c r="G82" s="18">
        <f t="shared" si="3"/>
        <v>11395.099999999993</v>
      </c>
      <c r="H82" s="240"/>
      <c r="I82" s="7" t="s">
        <v>90</v>
      </c>
      <c r="J82" s="7"/>
    </row>
    <row r="83" spans="1:17" ht="18" customHeight="1" x14ac:dyDescent="0.25">
      <c r="A83" s="14">
        <f t="shared" si="2"/>
        <v>74</v>
      </c>
      <c r="B83" s="8">
        <v>45940</v>
      </c>
      <c r="C83" s="46" t="s">
        <v>246</v>
      </c>
      <c r="D83" s="214" t="s">
        <v>19</v>
      </c>
      <c r="E83" s="32"/>
      <c r="F83" s="17">
        <v>490</v>
      </c>
      <c r="G83" s="18">
        <f t="shared" si="3"/>
        <v>10905.099999999993</v>
      </c>
      <c r="H83" s="240"/>
      <c r="I83" s="7" t="s">
        <v>90</v>
      </c>
      <c r="J83" s="7"/>
    </row>
    <row r="84" spans="1:17" ht="18" customHeight="1" x14ac:dyDescent="0.25">
      <c r="A84" s="14">
        <f t="shared" si="2"/>
        <v>75</v>
      </c>
      <c r="B84" s="8"/>
      <c r="C84" s="46" t="s">
        <v>246</v>
      </c>
      <c r="D84" s="214" t="s">
        <v>19</v>
      </c>
      <c r="E84" s="32"/>
      <c r="F84" s="17"/>
      <c r="G84" s="18">
        <f t="shared" si="3"/>
        <v>10905.099999999993</v>
      </c>
      <c r="H84" s="240"/>
      <c r="I84" s="7" t="s">
        <v>90</v>
      </c>
      <c r="J84" s="7"/>
    </row>
    <row r="85" spans="1:17" ht="18" customHeight="1" x14ac:dyDescent="0.25">
      <c r="A85" s="14">
        <f t="shared" si="2"/>
        <v>76</v>
      </c>
      <c r="B85" s="8"/>
      <c r="C85" s="46" t="s">
        <v>246</v>
      </c>
      <c r="D85" s="214" t="s">
        <v>19</v>
      </c>
      <c r="E85" s="32"/>
      <c r="F85" s="27"/>
      <c r="G85" s="18">
        <f t="shared" si="3"/>
        <v>10905.099999999993</v>
      </c>
      <c r="H85" s="240"/>
      <c r="I85" s="7" t="s">
        <v>90</v>
      </c>
      <c r="J85" s="7"/>
    </row>
    <row r="86" spans="1:17" ht="18" customHeight="1" x14ac:dyDescent="0.25">
      <c r="A86" s="14">
        <f t="shared" si="2"/>
        <v>77</v>
      </c>
      <c r="B86" s="8"/>
      <c r="C86" s="46" t="s">
        <v>246</v>
      </c>
      <c r="D86" s="214" t="s">
        <v>19</v>
      </c>
      <c r="E86" s="32"/>
      <c r="F86" s="17"/>
      <c r="G86" s="18">
        <f t="shared" si="3"/>
        <v>10905.099999999993</v>
      </c>
      <c r="H86" s="240"/>
      <c r="I86" s="7" t="s">
        <v>90</v>
      </c>
      <c r="J86" s="7"/>
    </row>
    <row r="87" spans="1:17" ht="18" customHeight="1" x14ac:dyDescent="0.25">
      <c r="A87" s="14">
        <f t="shared" si="2"/>
        <v>78</v>
      </c>
      <c r="B87" s="8"/>
      <c r="C87" s="46" t="s">
        <v>246</v>
      </c>
      <c r="D87" s="214" t="s">
        <v>19</v>
      </c>
      <c r="E87" s="32"/>
      <c r="F87" s="17"/>
      <c r="G87" s="18">
        <f t="shared" si="3"/>
        <v>10905.099999999993</v>
      </c>
      <c r="H87" s="240"/>
      <c r="I87" s="7" t="s">
        <v>90</v>
      </c>
      <c r="J87" s="7"/>
    </row>
    <row r="88" spans="1:17" ht="18" customHeight="1" x14ac:dyDescent="0.25">
      <c r="A88" s="14">
        <f t="shared" si="2"/>
        <v>79</v>
      </c>
      <c r="B88" s="8"/>
      <c r="C88" s="46" t="s">
        <v>246</v>
      </c>
      <c r="D88" s="214" t="s">
        <v>19</v>
      </c>
      <c r="E88" s="32"/>
      <c r="F88" s="17"/>
      <c r="G88" s="18">
        <f t="shared" si="3"/>
        <v>10905.099999999993</v>
      </c>
      <c r="H88" s="240"/>
      <c r="I88" s="7" t="s">
        <v>90</v>
      </c>
      <c r="J88" s="7"/>
    </row>
    <row r="89" spans="1:17" ht="18" customHeight="1" x14ac:dyDescent="0.25">
      <c r="A89" s="14">
        <f t="shared" si="2"/>
        <v>80</v>
      </c>
      <c r="B89" s="8"/>
      <c r="C89" s="46" t="s">
        <v>246</v>
      </c>
      <c r="D89" s="214" t="s">
        <v>19</v>
      </c>
      <c r="E89" s="32"/>
      <c r="F89" s="17"/>
      <c r="G89" s="18">
        <f t="shared" si="3"/>
        <v>10905.099999999993</v>
      </c>
      <c r="H89" s="240"/>
      <c r="I89" s="7" t="s">
        <v>90</v>
      </c>
      <c r="J89" s="7"/>
    </row>
    <row r="90" spans="1:17" ht="18" customHeight="1" x14ac:dyDescent="0.25">
      <c r="A90" s="14">
        <f t="shared" si="2"/>
        <v>81</v>
      </c>
      <c r="B90" s="8"/>
      <c r="C90" s="46" t="s">
        <v>246</v>
      </c>
      <c r="D90" s="214" t="s">
        <v>19</v>
      </c>
      <c r="E90" s="32"/>
      <c r="F90" s="17"/>
      <c r="G90" s="18">
        <f t="shared" si="3"/>
        <v>10905.099999999993</v>
      </c>
      <c r="H90" s="240"/>
      <c r="I90" s="7" t="s">
        <v>90</v>
      </c>
      <c r="J90" s="7"/>
    </row>
    <row r="91" spans="1:17" ht="18" customHeight="1" x14ac:dyDescent="0.25">
      <c r="A91" s="14">
        <f t="shared" si="2"/>
        <v>82</v>
      </c>
      <c r="B91" s="8"/>
      <c r="C91" s="46" t="s">
        <v>246</v>
      </c>
      <c r="D91" s="214" t="s">
        <v>19</v>
      </c>
      <c r="E91" s="32"/>
      <c r="F91" s="17"/>
      <c r="G91" s="18">
        <f t="shared" si="3"/>
        <v>10905.099999999993</v>
      </c>
      <c r="H91" s="240"/>
      <c r="I91" s="7" t="s">
        <v>14</v>
      </c>
      <c r="J91" s="7"/>
    </row>
    <row r="92" spans="1:17" ht="18" customHeight="1" x14ac:dyDescent="0.25">
      <c r="A92" s="14">
        <f t="shared" si="2"/>
        <v>83</v>
      </c>
      <c r="B92" s="8"/>
      <c r="C92" s="46" t="s">
        <v>246</v>
      </c>
      <c r="D92" s="214" t="s">
        <v>19</v>
      </c>
      <c r="E92" s="32"/>
      <c r="F92" s="17"/>
      <c r="G92" s="18">
        <f t="shared" si="3"/>
        <v>10905.099999999993</v>
      </c>
      <c r="H92" s="240"/>
      <c r="I92" s="7" t="s">
        <v>14</v>
      </c>
      <c r="J92" s="7"/>
      <c r="L92" s="199"/>
      <c r="Q92" s="199"/>
    </row>
    <row r="93" spans="1:17" ht="18" customHeight="1" x14ac:dyDescent="0.25">
      <c r="A93" s="14">
        <f t="shared" si="2"/>
        <v>84</v>
      </c>
      <c r="B93" s="8"/>
      <c r="C93" s="46" t="s">
        <v>246</v>
      </c>
      <c r="D93" s="214" t="s">
        <v>19</v>
      </c>
      <c r="E93" s="32"/>
      <c r="F93" s="27"/>
      <c r="G93" s="18">
        <f t="shared" si="3"/>
        <v>10905.099999999993</v>
      </c>
      <c r="H93" s="240"/>
      <c r="I93" s="7" t="s">
        <v>14</v>
      </c>
      <c r="J93" s="7"/>
      <c r="L93" s="199"/>
      <c r="Q93" s="199"/>
    </row>
    <row r="94" spans="1:17" ht="18" customHeight="1" x14ac:dyDescent="0.25">
      <c r="A94" s="14">
        <f t="shared" si="2"/>
        <v>85</v>
      </c>
      <c r="B94" s="8"/>
      <c r="C94" s="46" t="s">
        <v>246</v>
      </c>
      <c r="D94" s="214" t="s">
        <v>19</v>
      </c>
      <c r="E94" s="32"/>
      <c r="F94" s="27"/>
      <c r="G94" s="18">
        <f t="shared" si="3"/>
        <v>10905.099999999993</v>
      </c>
      <c r="H94" s="240"/>
      <c r="I94" s="7" t="s">
        <v>14</v>
      </c>
      <c r="J94" s="7"/>
      <c r="L94" s="199"/>
      <c r="Q94" s="199"/>
    </row>
    <row r="95" spans="1:17" s="179" customFormat="1" ht="18" customHeight="1" x14ac:dyDescent="0.25">
      <c r="A95" s="14">
        <f t="shared" si="2"/>
        <v>86</v>
      </c>
      <c r="B95" s="242"/>
      <c r="C95" s="46" t="s">
        <v>246</v>
      </c>
      <c r="D95" s="244" t="s">
        <v>19</v>
      </c>
      <c r="E95" s="245"/>
      <c r="F95" s="52"/>
      <c r="G95" s="18">
        <f t="shared" si="3"/>
        <v>10905.099999999993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14">
        <f t="shared" si="2"/>
        <v>87</v>
      </c>
      <c r="B96" s="242"/>
      <c r="C96" s="46" t="s">
        <v>246</v>
      </c>
      <c r="D96" s="244" t="s">
        <v>19</v>
      </c>
      <c r="E96" s="245"/>
      <c r="F96" s="52"/>
      <c r="G96" s="18">
        <f t="shared" si="3"/>
        <v>10905.099999999993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14">
        <f t="shared" si="2"/>
        <v>88</v>
      </c>
      <c r="B97" s="242"/>
      <c r="C97" s="46" t="s">
        <v>246</v>
      </c>
      <c r="D97" s="244" t="s">
        <v>19</v>
      </c>
      <c r="E97" s="245"/>
      <c r="F97" s="52"/>
      <c r="G97" s="18">
        <f t="shared" si="3"/>
        <v>10905.099999999993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14">
        <f t="shared" si="2"/>
        <v>89</v>
      </c>
      <c r="B98" s="242"/>
      <c r="C98" s="46" t="s">
        <v>246</v>
      </c>
      <c r="D98" s="244" t="s">
        <v>19</v>
      </c>
      <c r="E98" s="245"/>
      <c r="F98" s="52"/>
      <c r="G98" s="18">
        <f t="shared" si="3"/>
        <v>10905.099999999993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14">
        <f t="shared" si="2"/>
        <v>90</v>
      </c>
      <c r="B99" s="242"/>
      <c r="C99" s="46" t="s">
        <v>246</v>
      </c>
      <c r="D99" s="244" t="s">
        <v>19</v>
      </c>
      <c r="E99" s="245"/>
      <c r="F99" s="52"/>
      <c r="G99" s="18">
        <f t="shared" si="3"/>
        <v>10905.099999999993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14">
        <f t="shared" si="2"/>
        <v>91</v>
      </c>
      <c r="B100" s="242"/>
      <c r="C100" s="46" t="s">
        <v>246</v>
      </c>
      <c r="D100" s="244" t="s">
        <v>19</v>
      </c>
      <c r="E100" s="245"/>
      <c r="F100" s="52"/>
      <c r="G100" s="18">
        <f t="shared" si="3"/>
        <v>10905.099999999993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14">
        <f t="shared" si="2"/>
        <v>92</v>
      </c>
      <c r="B101" s="242"/>
      <c r="C101" s="46" t="s">
        <v>246</v>
      </c>
      <c r="D101" s="244" t="s">
        <v>19</v>
      </c>
      <c r="E101" s="245"/>
      <c r="F101" s="52"/>
      <c r="G101" s="18">
        <f t="shared" si="3"/>
        <v>10905.099999999993</v>
      </c>
      <c r="H101" s="240"/>
      <c r="I101" s="247" t="s">
        <v>14</v>
      </c>
      <c r="J101" s="247"/>
      <c r="L101" s="248"/>
      <c r="Q101" s="248"/>
    </row>
    <row r="102" spans="1:17" s="179" customFormat="1" ht="18" customHeight="1" x14ac:dyDescent="0.25">
      <c r="A102" s="14">
        <f t="shared" si="2"/>
        <v>93</v>
      </c>
      <c r="B102" s="242"/>
      <c r="C102" s="46" t="s">
        <v>246</v>
      </c>
      <c r="D102" s="244" t="s">
        <v>19</v>
      </c>
      <c r="E102" s="245"/>
      <c r="F102" s="52"/>
      <c r="G102" s="18">
        <f t="shared" si="3"/>
        <v>10905.099999999993</v>
      </c>
      <c r="H102" s="240"/>
      <c r="I102" s="247" t="s">
        <v>14</v>
      </c>
      <c r="J102" s="247"/>
      <c r="L102" s="248"/>
      <c r="Q102" s="248"/>
    </row>
    <row r="103" spans="1:17" s="179" customFormat="1" ht="18" customHeight="1" x14ac:dyDescent="0.25">
      <c r="A103" s="14">
        <f t="shared" si="2"/>
        <v>94</v>
      </c>
      <c r="B103" s="242"/>
      <c r="C103" s="243"/>
      <c r="D103" s="244"/>
      <c r="E103" s="245"/>
      <c r="F103" s="52"/>
      <c r="G103" s="18">
        <f t="shared" si="3"/>
        <v>10905.099999999993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14">
        <f t="shared" si="2"/>
        <v>95</v>
      </c>
      <c r="B104" s="242"/>
      <c r="C104" s="243"/>
      <c r="D104" s="244"/>
      <c r="E104" s="245"/>
      <c r="F104" s="52"/>
      <c r="G104" s="18">
        <f t="shared" si="3"/>
        <v>10905.099999999993</v>
      </c>
      <c r="H104" s="240"/>
      <c r="I104" s="247"/>
      <c r="J104" s="247"/>
      <c r="L104" s="248"/>
      <c r="Q104" s="248"/>
    </row>
    <row r="105" spans="1:17" s="179" customFormat="1" ht="18" customHeight="1" x14ac:dyDescent="0.25">
      <c r="A105" s="14">
        <f t="shared" si="2"/>
        <v>96</v>
      </c>
      <c r="B105" s="242"/>
      <c r="C105" s="243"/>
      <c r="D105" s="244"/>
      <c r="E105" s="245"/>
      <c r="F105" s="52"/>
      <c r="G105" s="18">
        <f t="shared" si="3"/>
        <v>10905.099999999993</v>
      </c>
      <c r="H105" s="240"/>
      <c r="I105" s="247"/>
      <c r="J105" s="247"/>
      <c r="L105" s="248"/>
      <c r="Q105" s="248"/>
    </row>
    <row r="106" spans="1:17" s="179" customFormat="1" ht="18" customHeight="1" x14ac:dyDescent="0.25">
      <c r="A106" s="14">
        <f t="shared" si="2"/>
        <v>97</v>
      </c>
      <c r="B106" s="242"/>
      <c r="C106" s="243"/>
      <c r="D106" s="244"/>
      <c r="E106" s="245"/>
      <c r="F106" s="52"/>
      <c r="G106" s="18">
        <f t="shared" si="3"/>
        <v>10905.099999999993</v>
      </c>
      <c r="H106" s="240"/>
      <c r="I106" s="247"/>
      <c r="J106" s="247"/>
      <c r="L106" s="248"/>
      <c r="Q106" s="248"/>
    </row>
    <row r="107" spans="1:17" ht="18" customHeight="1" x14ac:dyDescent="0.25">
      <c r="A107" s="14">
        <f t="shared" si="2"/>
        <v>98</v>
      </c>
      <c r="B107" s="8"/>
      <c r="C107" s="46"/>
      <c r="D107" s="214"/>
      <c r="E107" s="32"/>
      <c r="F107" s="27"/>
      <c r="G107" s="18">
        <f t="shared" si="3"/>
        <v>10905.099999999993</v>
      </c>
      <c r="H107" s="28"/>
      <c r="I107" s="7"/>
      <c r="J107" s="7"/>
      <c r="L107" s="199"/>
      <c r="Q107" s="199"/>
    </row>
    <row r="108" spans="1:17" ht="18" customHeight="1" x14ac:dyDescent="0.25">
      <c r="A108" s="14">
        <f t="shared" si="2"/>
        <v>99</v>
      </c>
      <c r="B108" s="8"/>
      <c r="C108" s="46"/>
      <c r="D108" s="214"/>
      <c r="E108" s="32"/>
      <c r="F108" s="27"/>
      <c r="G108" s="18">
        <f t="shared" si="3"/>
        <v>10905.099999999993</v>
      </c>
      <c r="H108" s="28"/>
      <c r="I108" s="7"/>
      <c r="J108" s="7"/>
      <c r="L108" s="199"/>
      <c r="Q108" s="199"/>
    </row>
    <row r="109" spans="1:17" ht="18" customHeight="1" x14ac:dyDescent="0.25">
      <c r="A109" s="14">
        <f t="shared" si="2"/>
        <v>100</v>
      </c>
      <c r="B109" s="37"/>
      <c r="C109" s="46"/>
      <c r="D109" s="10"/>
      <c r="E109" s="32"/>
      <c r="F109" s="27"/>
      <c r="G109" s="18">
        <f t="shared" si="3"/>
        <v>10905.099999999993</v>
      </c>
      <c r="H109" s="28"/>
      <c r="I109" s="7"/>
      <c r="J109" s="7"/>
      <c r="L109" s="199"/>
      <c r="Q109" s="199"/>
    </row>
    <row r="110" spans="1:17" ht="18" customHeight="1" x14ac:dyDescent="0.25">
      <c r="A110" s="7"/>
      <c r="B110" s="7"/>
      <c r="C110" s="34" t="s">
        <v>13</v>
      </c>
      <c r="D110" s="14"/>
      <c r="E110" s="35">
        <f>SUM(E8:E109)</f>
        <v>15696.3</v>
      </c>
      <c r="F110" s="35">
        <f>SUM(F8:F109)</f>
        <v>18493.199999999997</v>
      </c>
      <c r="G110" s="35">
        <f>+E110-F110+G8</f>
        <v>10905.100000000002</v>
      </c>
      <c r="H110" s="35">
        <v>1808</v>
      </c>
      <c r="I110" s="36"/>
      <c r="J110" s="7">
        <f>SUM(J9:J109)</f>
        <v>108</v>
      </c>
    </row>
    <row r="111" spans="1:17" ht="18" customHeight="1" x14ac:dyDescent="0.25"/>
    <row r="114" spans="5:9" x14ac:dyDescent="0.25">
      <c r="E114" s="201"/>
      <c r="F114" s="201"/>
      <c r="G114" s="201"/>
      <c r="H114" s="201"/>
    </row>
    <row r="115" spans="5:9" x14ac:dyDescent="0.25">
      <c r="F115" s="26"/>
    </row>
    <row r="116" spans="5:9" x14ac:dyDescent="0.25">
      <c r="E116" s="26"/>
      <c r="F116" s="26"/>
      <c r="G116" s="26"/>
      <c r="H116" s="26"/>
      <c r="I116" s="26"/>
    </row>
    <row r="117" spans="5:9" x14ac:dyDescent="0.25">
      <c r="I117" s="202"/>
    </row>
    <row r="118" spans="5:9" x14ac:dyDescent="0.25">
      <c r="E118" s="199"/>
    </row>
    <row r="119" spans="5:9" x14ac:dyDescent="0.25">
      <c r="E119" s="26"/>
      <c r="F119" s="26"/>
    </row>
    <row r="120" spans="5:9" x14ac:dyDescent="0.25">
      <c r="E120" s="203"/>
      <c r="F120" s="204"/>
      <c r="G120" s="203"/>
      <c r="H120" s="203"/>
    </row>
    <row r="121" spans="5:9" x14ac:dyDescent="0.25">
      <c r="F121" s="26"/>
    </row>
  </sheetData>
  <mergeCells count="1">
    <mergeCell ref="A4:I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8520-0D9C-4749-9EB2-C3C91309D409}">
  <sheetPr codeName="Sheet86"/>
  <dimension ref="A1:Q119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3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t="s">
        <v>162</v>
      </c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8706</v>
      </c>
      <c r="H8" s="7"/>
      <c r="I8" s="7"/>
      <c r="J8" s="7"/>
    </row>
    <row r="9" spans="1:10" ht="17.25" customHeight="1" x14ac:dyDescent="0.25">
      <c r="A9" s="14">
        <v>1</v>
      </c>
      <c r="B9" s="8">
        <v>45702</v>
      </c>
      <c r="C9" s="46" t="s">
        <v>249</v>
      </c>
      <c r="D9" s="214" t="s">
        <v>19</v>
      </c>
      <c r="E9" s="30"/>
      <c r="F9" s="27">
        <v>529.70000000000005</v>
      </c>
      <c r="G9" s="18">
        <f>+G8+E9-F9</f>
        <v>8176.3</v>
      </c>
      <c r="H9" s="28" t="s">
        <v>91</v>
      </c>
      <c r="I9" s="7" t="s">
        <v>90</v>
      </c>
      <c r="J9" s="7">
        <v>3</v>
      </c>
    </row>
    <row r="10" spans="1:10" ht="17.25" customHeight="1" x14ac:dyDescent="0.25">
      <c r="A10" s="14">
        <f t="shared" ref="A10:A73" si="0">+A9+1</f>
        <v>2</v>
      </c>
      <c r="B10" s="8">
        <v>45723</v>
      </c>
      <c r="C10" s="46" t="s">
        <v>249</v>
      </c>
      <c r="D10" s="214" t="s">
        <v>19</v>
      </c>
      <c r="E10" s="11"/>
      <c r="F10" s="27">
        <v>513.5</v>
      </c>
      <c r="G10" s="18">
        <f t="shared" ref="G10:G73" si="1">+G9+E10-F10</f>
        <v>7662.8</v>
      </c>
      <c r="H10" s="28" t="s">
        <v>129</v>
      </c>
      <c r="I10" s="7" t="s">
        <v>90</v>
      </c>
      <c r="J10" s="7"/>
    </row>
    <row r="11" spans="1:10" ht="18" customHeight="1" x14ac:dyDescent="0.25">
      <c r="A11" s="14">
        <f t="shared" si="0"/>
        <v>3</v>
      </c>
      <c r="B11" s="8">
        <v>45727</v>
      </c>
      <c r="C11" s="46" t="s">
        <v>249</v>
      </c>
      <c r="D11" s="214" t="s">
        <v>19</v>
      </c>
      <c r="E11" s="16"/>
      <c r="F11" s="27">
        <v>519.29999999999995</v>
      </c>
      <c r="G11" s="18">
        <f t="shared" si="1"/>
        <v>7143.5</v>
      </c>
      <c r="H11" s="28" t="s">
        <v>129</v>
      </c>
      <c r="I11" s="7" t="s">
        <v>90</v>
      </c>
      <c r="J11" s="140">
        <v>27</v>
      </c>
    </row>
    <row r="12" spans="1:10" ht="18" customHeight="1" x14ac:dyDescent="0.25">
      <c r="A12" s="14">
        <f t="shared" si="0"/>
        <v>4</v>
      </c>
      <c r="B12" s="8">
        <v>45736</v>
      </c>
      <c r="C12" s="46" t="s">
        <v>249</v>
      </c>
      <c r="D12" s="214" t="s">
        <v>19</v>
      </c>
      <c r="E12" s="16"/>
      <c r="F12" s="17">
        <v>507.4</v>
      </c>
      <c r="G12" s="18">
        <f t="shared" si="1"/>
        <v>6636.1</v>
      </c>
      <c r="H12" s="28" t="s">
        <v>129</v>
      </c>
      <c r="I12" s="7" t="s">
        <v>90</v>
      </c>
      <c r="J12" s="140"/>
    </row>
    <row r="13" spans="1:10" ht="18" customHeight="1" x14ac:dyDescent="0.25">
      <c r="A13" s="14">
        <f t="shared" si="0"/>
        <v>5</v>
      </c>
      <c r="B13" s="205">
        <v>45737</v>
      </c>
      <c r="C13" s="46" t="s">
        <v>249</v>
      </c>
      <c r="D13" s="214" t="s">
        <v>19</v>
      </c>
      <c r="E13" s="16"/>
      <c r="F13" s="17">
        <v>517.5</v>
      </c>
      <c r="G13" s="18">
        <f t="shared" si="1"/>
        <v>6118.6</v>
      </c>
      <c r="H13" s="28" t="s">
        <v>129</v>
      </c>
      <c r="I13" s="7" t="s">
        <v>90</v>
      </c>
      <c r="J13" s="140"/>
    </row>
    <row r="14" spans="1:10" ht="18" customHeight="1" x14ac:dyDescent="0.25">
      <c r="A14" s="14">
        <f t="shared" si="0"/>
        <v>6</v>
      </c>
      <c r="B14" s="8">
        <v>45738</v>
      </c>
      <c r="C14" s="46" t="s">
        <v>249</v>
      </c>
      <c r="D14" s="214" t="s">
        <v>19</v>
      </c>
      <c r="E14" s="16"/>
      <c r="F14" s="27">
        <v>507.7</v>
      </c>
      <c r="G14" s="238">
        <f t="shared" si="1"/>
        <v>5610.9000000000005</v>
      </c>
      <c r="H14" s="28" t="s">
        <v>129</v>
      </c>
      <c r="I14" s="7" t="s">
        <v>90</v>
      </c>
      <c r="J14" s="7"/>
    </row>
    <row r="15" spans="1:10" ht="18" customHeight="1" x14ac:dyDescent="0.25">
      <c r="A15" s="14">
        <f t="shared" si="0"/>
        <v>7</v>
      </c>
      <c r="B15" s="8">
        <v>45740</v>
      </c>
      <c r="C15" s="46" t="s">
        <v>249</v>
      </c>
      <c r="D15" s="214" t="s">
        <v>19</v>
      </c>
      <c r="E15" s="16"/>
      <c r="F15" s="27">
        <v>513.70000000000005</v>
      </c>
      <c r="G15" s="18">
        <f t="shared" si="1"/>
        <v>5097.2000000000007</v>
      </c>
      <c r="H15" s="28" t="s">
        <v>129</v>
      </c>
      <c r="I15" s="7" t="s">
        <v>90</v>
      </c>
      <c r="J15" s="140"/>
    </row>
    <row r="16" spans="1:10" ht="18" customHeight="1" x14ac:dyDescent="0.25">
      <c r="A16" s="14">
        <f t="shared" si="0"/>
        <v>8</v>
      </c>
      <c r="B16" s="8">
        <v>45742</v>
      </c>
      <c r="C16" s="46" t="s">
        <v>249</v>
      </c>
      <c r="D16" s="214" t="s">
        <v>19</v>
      </c>
      <c r="E16" s="16"/>
      <c r="F16" s="27">
        <v>507</v>
      </c>
      <c r="G16" s="18">
        <f t="shared" si="1"/>
        <v>4590.2000000000007</v>
      </c>
      <c r="H16" s="28" t="s">
        <v>129</v>
      </c>
      <c r="I16" s="7" t="s">
        <v>90</v>
      </c>
      <c r="J16" s="7"/>
    </row>
    <row r="17" spans="1:14" ht="18" customHeight="1" x14ac:dyDescent="0.25">
      <c r="A17" s="14">
        <f t="shared" si="0"/>
        <v>9</v>
      </c>
      <c r="B17" s="8">
        <v>45799</v>
      </c>
      <c r="C17" s="46" t="s">
        <v>249</v>
      </c>
      <c r="D17" s="214" t="s">
        <v>19</v>
      </c>
      <c r="E17" s="30">
        <v>8517.4</v>
      </c>
      <c r="F17" s="27"/>
      <c r="G17" s="18">
        <f t="shared" si="1"/>
        <v>13107.6</v>
      </c>
      <c r="H17" s="28" t="s">
        <v>129</v>
      </c>
      <c r="I17" s="7" t="s">
        <v>90</v>
      </c>
      <c r="J17" s="7">
        <v>36</v>
      </c>
      <c r="M17">
        <f>258+255.7</f>
        <v>513.70000000000005</v>
      </c>
    </row>
    <row r="18" spans="1:14" s="230" customFormat="1" ht="18" customHeight="1" x14ac:dyDescent="0.25">
      <c r="A18" s="223">
        <f>+A17+1</f>
        <v>10</v>
      </c>
      <c r="B18" s="224">
        <v>45904</v>
      </c>
      <c r="C18" s="46" t="s">
        <v>249</v>
      </c>
      <c r="D18" s="226" t="s">
        <v>19</v>
      </c>
      <c r="E18" s="227"/>
      <c r="F18" s="228">
        <v>522.29999999999995</v>
      </c>
      <c r="G18" s="229">
        <f t="shared" si="1"/>
        <v>12585.300000000001</v>
      </c>
      <c r="H18" s="28" t="s">
        <v>129</v>
      </c>
      <c r="I18" s="7" t="s">
        <v>90</v>
      </c>
      <c r="J18" s="348"/>
    </row>
    <row r="19" spans="1:14" s="230" customFormat="1" ht="18" customHeight="1" x14ac:dyDescent="0.25">
      <c r="A19" s="223">
        <f t="shared" si="0"/>
        <v>11</v>
      </c>
      <c r="B19" s="224">
        <v>45916</v>
      </c>
      <c r="C19" s="46" t="s">
        <v>249</v>
      </c>
      <c r="D19" s="226" t="s">
        <v>19</v>
      </c>
      <c r="E19" s="231"/>
      <c r="F19" s="228">
        <v>505.4</v>
      </c>
      <c r="G19" s="229">
        <f t="shared" si="1"/>
        <v>12079.900000000001</v>
      </c>
      <c r="H19" s="28" t="s">
        <v>91</v>
      </c>
      <c r="I19" s="7" t="s">
        <v>90</v>
      </c>
      <c r="J19" s="348"/>
    </row>
    <row r="20" spans="1:14" ht="18" customHeight="1" x14ac:dyDescent="0.25">
      <c r="A20" s="14">
        <f t="shared" si="0"/>
        <v>12</v>
      </c>
      <c r="B20" s="8">
        <v>45934</v>
      </c>
      <c r="C20" s="46" t="s">
        <v>249</v>
      </c>
      <c r="D20" s="214" t="s">
        <v>19</v>
      </c>
      <c r="E20" s="32"/>
      <c r="F20" s="17">
        <v>512.29999999999995</v>
      </c>
      <c r="G20" s="18">
        <f t="shared" si="1"/>
        <v>11567.600000000002</v>
      </c>
      <c r="H20" s="28" t="s">
        <v>91</v>
      </c>
      <c r="I20" s="7" t="s">
        <v>90</v>
      </c>
      <c r="J20" s="7"/>
      <c r="N20" s="26"/>
    </row>
    <row r="21" spans="1:14" ht="18" customHeight="1" x14ac:dyDescent="0.25">
      <c r="A21" s="14">
        <f t="shared" si="0"/>
        <v>13</v>
      </c>
      <c r="B21" s="8"/>
      <c r="C21" s="46" t="s">
        <v>249</v>
      </c>
      <c r="D21" s="214" t="s">
        <v>19</v>
      </c>
      <c r="E21" s="32"/>
      <c r="F21" s="27"/>
      <c r="G21" s="18">
        <f t="shared" si="1"/>
        <v>11567.600000000002</v>
      </c>
      <c r="H21" s="28" t="s">
        <v>91</v>
      </c>
      <c r="I21" s="7" t="s">
        <v>90</v>
      </c>
      <c r="J21" s="7"/>
    </row>
    <row r="22" spans="1:14" ht="18" customHeight="1" x14ac:dyDescent="0.25">
      <c r="A22" s="14">
        <f t="shared" si="0"/>
        <v>14</v>
      </c>
      <c r="B22" s="232"/>
      <c r="C22" s="46" t="s">
        <v>249</v>
      </c>
      <c r="D22" s="234" t="s">
        <v>19</v>
      </c>
      <c r="E22" s="235"/>
      <c r="F22" s="172"/>
      <c r="G22" s="18">
        <f t="shared" si="1"/>
        <v>11567.600000000002</v>
      </c>
      <c r="H22" s="28" t="s">
        <v>129</v>
      </c>
      <c r="I22" s="7" t="s">
        <v>90</v>
      </c>
      <c r="J22" s="7"/>
    </row>
    <row r="23" spans="1:14" ht="18" customHeight="1" x14ac:dyDescent="0.25">
      <c r="A23" s="14">
        <f t="shared" si="0"/>
        <v>15</v>
      </c>
      <c r="B23" s="8"/>
      <c r="C23" s="46" t="s">
        <v>249</v>
      </c>
      <c r="D23" s="214" t="s">
        <v>19</v>
      </c>
      <c r="E23" s="32"/>
      <c r="F23" s="17"/>
      <c r="G23" s="18">
        <f t="shared" si="1"/>
        <v>11567.600000000002</v>
      </c>
      <c r="H23" s="28" t="s">
        <v>129</v>
      </c>
      <c r="I23" s="7" t="s">
        <v>142</v>
      </c>
      <c r="J23" s="7"/>
    </row>
    <row r="24" spans="1:14" ht="18" customHeight="1" x14ac:dyDescent="0.25">
      <c r="A24" s="14">
        <f t="shared" si="0"/>
        <v>16</v>
      </c>
      <c r="B24" s="8"/>
      <c r="C24" s="46" t="s">
        <v>249</v>
      </c>
      <c r="D24" s="214" t="s">
        <v>19</v>
      </c>
      <c r="E24" s="32"/>
      <c r="F24" s="17"/>
      <c r="G24" s="18">
        <f t="shared" si="1"/>
        <v>11567.600000000002</v>
      </c>
      <c r="H24" s="28" t="s">
        <v>91</v>
      </c>
      <c r="I24" s="7" t="s">
        <v>90</v>
      </c>
      <c r="J24" s="7"/>
    </row>
    <row r="25" spans="1:14" ht="18" customHeight="1" x14ac:dyDescent="0.25">
      <c r="A25" s="14">
        <f t="shared" si="0"/>
        <v>17</v>
      </c>
      <c r="B25" s="8"/>
      <c r="C25" s="46" t="s">
        <v>249</v>
      </c>
      <c r="D25" s="214" t="s">
        <v>19</v>
      </c>
      <c r="E25" s="32"/>
      <c r="F25" s="17"/>
      <c r="G25" s="18">
        <f t="shared" si="1"/>
        <v>11567.600000000002</v>
      </c>
      <c r="H25" s="28" t="s">
        <v>91</v>
      </c>
      <c r="I25" s="7" t="s">
        <v>90</v>
      </c>
      <c r="J25" s="7"/>
    </row>
    <row r="26" spans="1:14" ht="18" customHeight="1" x14ac:dyDescent="0.25">
      <c r="A26" s="14">
        <f t="shared" si="0"/>
        <v>18</v>
      </c>
      <c r="B26" s="8"/>
      <c r="C26" s="46" t="s">
        <v>249</v>
      </c>
      <c r="D26" s="214" t="s">
        <v>19</v>
      </c>
      <c r="E26" s="32"/>
      <c r="F26" s="17"/>
      <c r="G26" s="18">
        <f t="shared" si="1"/>
        <v>11567.600000000002</v>
      </c>
      <c r="H26" s="28" t="s">
        <v>91</v>
      </c>
      <c r="I26" s="7" t="s">
        <v>90</v>
      </c>
      <c r="J26" s="7"/>
    </row>
    <row r="27" spans="1:14" ht="18" customHeight="1" x14ac:dyDescent="0.25">
      <c r="A27" s="14">
        <f>+A26+1</f>
        <v>19</v>
      </c>
      <c r="B27" s="8"/>
      <c r="C27" s="46" t="s">
        <v>249</v>
      </c>
      <c r="D27" s="214" t="s">
        <v>19</v>
      </c>
      <c r="E27" s="32"/>
      <c r="F27" s="17"/>
      <c r="G27" s="18">
        <f t="shared" si="1"/>
        <v>11567.600000000002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20</v>
      </c>
      <c r="B28" s="8"/>
      <c r="C28" s="46" t="s">
        <v>249</v>
      </c>
      <c r="D28" s="214" t="s">
        <v>19</v>
      </c>
      <c r="E28" s="129"/>
      <c r="F28" s="17"/>
      <c r="G28" s="18">
        <f t="shared" si="1"/>
        <v>11567.600000000002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21</v>
      </c>
      <c r="B29" s="8"/>
      <c r="C29" s="46" t="s">
        <v>249</v>
      </c>
      <c r="D29" s="214" t="s">
        <v>19</v>
      </c>
      <c r="E29" s="32"/>
      <c r="F29" s="172"/>
      <c r="G29" s="18">
        <f t="shared" si="1"/>
        <v>11567.600000000002</v>
      </c>
      <c r="H29" s="28" t="s">
        <v>91</v>
      </c>
      <c r="I29" s="7" t="s">
        <v>90</v>
      </c>
      <c r="J29" s="7"/>
    </row>
    <row r="30" spans="1:14" ht="18" customHeight="1" x14ac:dyDescent="0.25">
      <c r="A30" s="14">
        <f t="shared" si="0"/>
        <v>22</v>
      </c>
      <c r="B30" s="8"/>
      <c r="C30" s="46" t="s">
        <v>249</v>
      </c>
      <c r="D30" s="214" t="s">
        <v>19</v>
      </c>
      <c r="E30" s="32"/>
      <c r="F30" s="17"/>
      <c r="G30" s="18">
        <f t="shared" si="1"/>
        <v>11567.600000000002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23</v>
      </c>
      <c r="B31" s="8"/>
      <c r="C31" s="46" t="s">
        <v>249</v>
      </c>
      <c r="D31" s="214" t="s">
        <v>19</v>
      </c>
      <c r="E31" s="32"/>
      <c r="F31" s="17"/>
      <c r="G31" s="18">
        <f t="shared" si="1"/>
        <v>11567.600000000002</v>
      </c>
      <c r="H31" s="28" t="s">
        <v>91</v>
      </c>
      <c r="I31" s="7" t="s">
        <v>90</v>
      </c>
      <c r="J31" s="7"/>
    </row>
    <row r="32" spans="1:14" ht="17.25" customHeight="1" x14ac:dyDescent="0.25">
      <c r="A32" s="14">
        <f t="shared" si="0"/>
        <v>24</v>
      </c>
      <c r="B32" s="8"/>
      <c r="C32" s="46" t="s">
        <v>249</v>
      </c>
      <c r="D32" s="214" t="s">
        <v>19</v>
      </c>
      <c r="E32" s="13"/>
      <c r="F32" s="17"/>
      <c r="G32" s="18">
        <f t="shared" si="1"/>
        <v>11567.600000000002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25</v>
      </c>
      <c r="B33" s="44"/>
      <c r="C33" s="46" t="s">
        <v>249</v>
      </c>
      <c r="D33" s="214" t="s">
        <v>19</v>
      </c>
      <c r="E33" s="13"/>
      <c r="F33" s="17"/>
      <c r="G33" s="18">
        <f t="shared" si="1"/>
        <v>11567.600000000002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249</v>
      </c>
      <c r="D34" s="214" t="s">
        <v>19</v>
      </c>
      <c r="E34" s="32"/>
      <c r="F34" s="40"/>
      <c r="G34" s="18">
        <f t="shared" si="1"/>
        <v>11567.600000000002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249</v>
      </c>
      <c r="D35" s="214" t="s">
        <v>19</v>
      </c>
      <c r="E35" s="32"/>
      <c r="F35" s="40"/>
      <c r="G35" s="18">
        <f t="shared" si="1"/>
        <v>11567.600000000002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249</v>
      </c>
      <c r="D36" s="214" t="s">
        <v>19</v>
      </c>
      <c r="E36" s="32"/>
      <c r="F36" s="40"/>
      <c r="G36" s="18">
        <f t="shared" si="1"/>
        <v>11567.600000000002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249</v>
      </c>
      <c r="D37" s="214" t="s">
        <v>19</v>
      </c>
      <c r="E37" s="32"/>
      <c r="F37" s="17"/>
      <c r="G37" s="18">
        <f t="shared" si="1"/>
        <v>11567.600000000002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249</v>
      </c>
      <c r="D38" s="214" t="s">
        <v>19</v>
      </c>
      <c r="E38" s="32"/>
      <c r="F38" s="17"/>
      <c r="G38" s="18">
        <f t="shared" si="1"/>
        <v>11567.600000000002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249</v>
      </c>
      <c r="D39" s="214" t="s">
        <v>19</v>
      </c>
      <c r="E39" s="32"/>
      <c r="F39" s="17"/>
      <c r="G39" s="18">
        <f t="shared" si="1"/>
        <v>11567.600000000002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249</v>
      </c>
      <c r="D40" s="214" t="s">
        <v>19</v>
      </c>
      <c r="E40" s="32"/>
      <c r="F40" s="17"/>
      <c r="G40" s="18">
        <f t="shared" si="1"/>
        <v>11567.600000000002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249</v>
      </c>
      <c r="D41" s="214" t="s">
        <v>19</v>
      </c>
      <c r="E41" s="32"/>
      <c r="F41" s="172"/>
      <c r="G41" s="18">
        <f t="shared" si="1"/>
        <v>11567.600000000002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249</v>
      </c>
      <c r="D42" s="214" t="s">
        <v>19</v>
      </c>
      <c r="E42" s="32"/>
      <c r="F42" s="17"/>
      <c r="G42" s="18">
        <f t="shared" si="1"/>
        <v>11567.600000000002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249</v>
      </c>
      <c r="D43" s="214" t="s">
        <v>19</v>
      </c>
      <c r="E43" s="32"/>
      <c r="F43" s="17"/>
      <c r="G43" s="18">
        <f t="shared" si="1"/>
        <v>11567.600000000002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249</v>
      </c>
      <c r="D44" s="214" t="s">
        <v>19</v>
      </c>
      <c r="E44" s="32"/>
      <c r="F44" s="17"/>
      <c r="G44" s="18">
        <f t="shared" si="1"/>
        <v>11567.600000000002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249</v>
      </c>
      <c r="D45" s="214" t="s">
        <v>19</v>
      </c>
      <c r="E45" s="32"/>
      <c r="F45" s="17"/>
      <c r="G45" s="18">
        <f t="shared" si="1"/>
        <v>11567.600000000002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249</v>
      </c>
      <c r="D46" s="214" t="s">
        <v>19</v>
      </c>
      <c r="E46" s="32"/>
      <c r="F46" s="17"/>
      <c r="G46" s="18">
        <f t="shared" si="1"/>
        <v>11567.600000000002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249</v>
      </c>
      <c r="D47" s="214" t="s">
        <v>19</v>
      </c>
      <c r="E47" s="32"/>
      <c r="F47" s="17"/>
      <c r="G47" s="18">
        <f t="shared" si="1"/>
        <v>11567.600000000002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249</v>
      </c>
      <c r="D48" s="214" t="s">
        <v>19</v>
      </c>
      <c r="E48" s="32"/>
      <c r="F48" s="17"/>
      <c r="G48" s="18">
        <f t="shared" si="1"/>
        <v>11567.600000000002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249</v>
      </c>
      <c r="D49" s="214" t="s">
        <v>19</v>
      </c>
      <c r="E49" s="32"/>
      <c r="F49" s="17"/>
      <c r="G49" s="18">
        <f t="shared" si="1"/>
        <v>11567.600000000002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249</v>
      </c>
      <c r="D50" s="237" t="s">
        <v>19</v>
      </c>
      <c r="E50" s="175"/>
      <c r="F50" s="172"/>
      <c r="G50" s="238">
        <f t="shared" si="1"/>
        <v>11567.600000000002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249</v>
      </c>
      <c r="D51" s="214" t="s">
        <v>19</v>
      </c>
      <c r="E51" s="32"/>
      <c r="F51" s="17"/>
      <c r="G51" s="18">
        <f t="shared" si="1"/>
        <v>11567.600000000002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249</v>
      </c>
      <c r="D52" s="214" t="s">
        <v>19</v>
      </c>
      <c r="E52" s="32"/>
      <c r="F52" s="17"/>
      <c r="G52" s="18">
        <f t="shared" si="1"/>
        <v>11567.600000000002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249</v>
      </c>
      <c r="D53" s="214" t="s">
        <v>19</v>
      </c>
      <c r="E53" s="32"/>
      <c r="F53" s="17"/>
      <c r="G53" s="18">
        <f t="shared" si="1"/>
        <v>11567.600000000002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249</v>
      </c>
      <c r="D54" s="214" t="s">
        <v>19</v>
      </c>
      <c r="E54" s="32"/>
      <c r="F54" s="17"/>
      <c r="G54" s="18">
        <f t="shared" si="1"/>
        <v>11567.600000000002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249</v>
      </c>
      <c r="D55" s="214" t="s">
        <v>19</v>
      </c>
      <c r="E55" s="32"/>
      <c r="F55" s="17"/>
      <c r="G55" s="18">
        <f t="shared" si="1"/>
        <v>11567.600000000002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249</v>
      </c>
      <c r="D56" s="214" t="s">
        <v>19</v>
      </c>
      <c r="E56" s="32"/>
      <c r="F56" s="17"/>
      <c r="G56" s="18">
        <f t="shared" si="1"/>
        <v>11567.600000000002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249</v>
      </c>
      <c r="D57" s="214" t="s">
        <v>19</v>
      </c>
      <c r="E57" s="32"/>
      <c r="F57" s="17"/>
      <c r="G57" s="18">
        <f t="shared" si="1"/>
        <v>11567.600000000002</v>
      </c>
      <c r="H57" s="240"/>
      <c r="I57" s="7" t="s">
        <v>14</v>
      </c>
      <c r="J57" s="7"/>
    </row>
    <row r="58" spans="1:16" ht="18" customHeight="1" x14ac:dyDescent="0.25">
      <c r="A58" s="14">
        <f t="shared" si="0"/>
        <v>50</v>
      </c>
      <c r="B58" s="8"/>
      <c r="C58" s="46" t="s">
        <v>249</v>
      </c>
      <c r="D58" s="214" t="s">
        <v>19</v>
      </c>
      <c r="E58" s="32"/>
      <c r="F58" s="17"/>
      <c r="G58" s="18">
        <f t="shared" si="1"/>
        <v>11567.600000000002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51</v>
      </c>
      <c r="B59" s="8"/>
      <c r="C59" s="46" t="s">
        <v>249</v>
      </c>
      <c r="D59" s="214" t="s">
        <v>19</v>
      </c>
      <c r="E59" s="32"/>
      <c r="F59" s="17"/>
      <c r="G59" s="18">
        <f t="shared" si="1"/>
        <v>11567.600000000002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52</v>
      </c>
      <c r="B60" s="8"/>
      <c r="C60" s="46" t="s">
        <v>249</v>
      </c>
      <c r="D60" s="214" t="s">
        <v>19</v>
      </c>
      <c r="E60" s="32"/>
      <c r="F60" s="17"/>
      <c r="G60" s="18">
        <f t="shared" si="1"/>
        <v>11567.600000000002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249</v>
      </c>
      <c r="D61" s="214" t="s">
        <v>19</v>
      </c>
      <c r="E61" s="32"/>
      <c r="F61" s="17"/>
      <c r="G61" s="18">
        <f t="shared" si="1"/>
        <v>11567.600000000002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249</v>
      </c>
      <c r="D62" s="214" t="s">
        <v>19</v>
      </c>
      <c r="E62" s="32"/>
      <c r="F62" s="17"/>
      <c r="G62" s="18">
        <f t="shared" si="1"/>
        <v>11567.600000000002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249</v>
      </c>
      <c r="D63" s="214" t="s">
        <v>19</v>
      </c>
      <c r="E63" s="32"/>
      <c r="F63" s="17"/>
      <c r="G63" s="18">
        <f t="shared" si="1"/>
        <v>11567.600000000002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249</v>
      </c>
      <c r="D64" s="214" t="s">
        <v>19</v>
      </c>
      <c r="E64" s="32"/>
      <c r="F64" s="17"/>
      <c r="G64" s="18">
        <f t="shared" si="1"/>
        <v>11567.600000000002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249</v>
      </c>
      <c r="D65" s="214" t="s">
        <v>19</v>
      </c>
      <c r="E65" s="32"/>
      <c r="F65" s="17"/>
      <c r="G65" s="18">
        <f t="shared" si="1"/>
        <v>11567.600000000002</v>
      </c>
      <c r="H65" s="240"/>
      <c r="I65" s="7" t="s">
        <v>14</v>
      </c>
      <c r="J65" s="140"/>
    </row>
    <row r="66" spans="1:10" ht="18" customHeight="1" x14ac:dyDescent="0.25">
      <c r="A66" s="14">
        <f t="shared" si="0"/>
        <v>58</v>
      </c>
      <c r="B66" s="8"/>
      <c r="C66" s="46" t="s">
        <v>249</v>
      </c>
      <c r="D66" s="214" t="s">
        <v>19</v>
      </c>
      <c r="E66" s="32"/>
      <c r="F66" s="17"/>
      <c r="G66" s="18">
        <f t="shared" si="1"/>
        <v>11567.600000000002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249</v>
      </c>
      <c r="D67" s="214" t="s">
        <v>19</v>
      </c>
      <c r="E67" s="32"/>
      <c r="F67" s="17"/>
      <c r="G67" s="18">
        <f>+G66+E67-F67</f>
        <v>11567.600000000002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249</v>
      </c>
      <c r="D68" s="214" t="s">
        <v>19</v>
      </c>
      <c r="E68" s="32"/>
      <c r="F68" s="17"/>
      <c r="G68" s="18">
        <f>+G67+E68-F68</f>
        <v>11567.600000000002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61</v>
      </c>
      <c r="B69" s="8"/>
      <c r="C69" s="46" t="s">
        <v>249</v>
      </c>
      <c r="D69" s="214" t="s">
        <v>19</v>
      </c>
      <c r="E69" s="32"/>
      <c r="F69" s="17"/>
      <c r="G69" s="18">
        <f>+G68+E69-F69</f>
        <v>11567.600000000002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249</v>
      </c>
      <c r="D70" s="214" t="s">
        <v>19</v>
      </c>
      <c r="E70" s="32"/>
      <c r="F70" s="17"/>
      <c r="G70" s="18">
        <f t="shared" si="1"/>
        <v>11567.600000000002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249</v>
      </c>
      <c r="D71" s="214" t="s">
        <v>19</v>
      </c>
      <c r="E71" s="32"/>
      <c r="F71" s="17"/>
      <c r="G71" s="18">
        <f t="shared" si="1"/>
        <v>11567.600000000002</v>
      </c>
      <c r="H71" s="240"/>
      <c r="I71" s="7" t="s">
        <v>14</v>
      </c>
      <c r="J71" s="7"/>
    </row>
    <row r="72" spans="1:10" ht="18" customHeight="1" x14ac:dyDescent="0.25">
      <c r="A72" s="14">
        <f>+A71+1</f>
        <v>64</v>
      </c>
      <c r="B72" s="8"/>
      <c r="C72" s="46" t="s">
        <v>249</v>
      </c>
      <c r="D72" s="214" t="s">
        <v>19</v>
      </c>
      <c r="E72" s="32"/>
      <c r="F72" s="17"/>
      <c r="G72" s="18">
        <f t="shared" si="1"/>
        <v>11567.600000000002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249</v>
      </c>
      <c r="D73" s="214" t="s">
        <v>19</v>
      </c>
      <c r="E73" s="32"/>
      <c r="F73" s="17"/>
      <c r="G73" s="18">
        <f t="shared" si="1"/>
        <v>11567.600000000002</v>
      </c>
      <c r="H73" s="240"/>
      <c r="I73" s="7" t="s">
        <v>14</v>
      </c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249</v>
      </c>
      <c r="D74" s="214" t="s">
        <v>19</v>
      </c>
      <c r="E74" s="32"/>
      <c r="F74" s="17"/>
      <c r="G74" s="18">
        <f t="shared" ref="G74:G91" si="3">+G73+E74-F74</f>
        <v>11567.600000000002</v>
      </c>
      <c r="H74" s="240"/>
      <c r="I74" s="7" t="s">
        <v>14</v>
      </c>
      <c r="J74" s="7"/>
    </row>
    <row r="75" spans="1:10" ht="18" customHeight="1" x14ac:dyDescent="0.25">
      <c r="A75" s="14">
        <f t="shared" si="2"/>
        <v>67</v>
      </c>
      <c r="B75" s="8"/>
      <c r="C75" s="46" t="s">
        <v>249</v>
      </c>
      <c r="D75" s="214" t="s">
        <v>19</v>
      </c>
      <c r="E75" s="32"/>
      <c r="F75" s="17"/>
      <c r="G75" s="18">
        <f t="shared" si="3"/>
        <v>11567.600000000002</v>
      </c>
      <c r="H75" s="240"/>
      <c r="I75" s="7" t="s">
        <v>14</v>
      </c>
      <c r="J75" s="7"/>
    </row>
    <row r="76" spans="1:10" ht="18" customHeight="1" x14ac:dyDescent="0.25">
      <c r="A76" s="14">
        <f t="shared" si="2"/>
        <v>68</v>
      </c>
      <c r="B76" s="8"/>
      <c r="C76" s="46" t="s">
        <v>249</v>
      </c>
      <c r="D76" s="214" t="s">
        <v>19</v>
      </c>
      <c r="E76" s="32"/>
      <c r="F76" s="17"/>
      <c r="G76" s="18">
        <f t="shared" si="3"/>
        <v>11567.600000000002</v>
      </c>
      <c r="H76" s="240"/>
      <c r="I76" s="7" t="s">
        <v>14</v>
      </c>
      <c r="J76" s="7"/>
    </row>
    <row r="77" spans="1:10" ht="18" customHeight="1" x14ac:dyDescent="0.25">
      <c r="A77" s="14">
        <f t="shared" si="2"/>
        <v>69</v>
      </c>
      <c r="B77" s="8"/>
      <c r="C77" s="46" t="s">
        <v>249</v>
      </c>
      <c r="D77" s="214" t="s">
        <v>19</v>
      </c>
      <c r="E77" s="32"/>
      <c r="F77" s="17"/>
      <c r="G77" s="18">
        <f t="shared" si="3"/>
        <v>11567.600000000002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249</v>
      </c>
      <c r="D78" s="214" t="s">
        <v>19</v>
      </c>
      <c r="E78" s="32"/>
      <c r="F78" s="17"/>
      <c r="G78" s="18">
        <f t="shared" si="3"/>
        <v>11567.600000000002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249</v>
      </c>
      <c r="D79" s="214" t="s">
        <v>19</v>
      </c>
      <c r="E79" s="32"/>
      <c r="F79" s="17"/>
      <c r="G79" s="18">
        <f t="shared" si="3"/>
        <v>11567.600000000002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249</v>
      </c>
      <c r="D80" s="214" t="s">
        <v>19</v>
      </c>
      <c r="E80" s="32"/>
      <c r="F80" s="17"/>
      <c r="G80" s="18">
        <f t="shared" si="3"/>
        <v>11567.600000000002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249</v>
      </c>
      <c r="D81" s="214" t="s">
        <v>19</v>
      </c>
      <c r="E81" s="32"/>
      <c r="F81" s="17"/>
      <c r="G81" s="18">
        <f t="shared" si="3"/>
        <v>11567.600000000002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249</v>
      </c>
      <c r="D82" s="214" t="s">
        <v>19</v>
      </c>
      <c r="E82" s="32"/>
      <c r="F82" s="17"/>
      <c r="G82" s="18">
        <f t="shared" si="3"/>
        <v>11567.600000000002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249</v>
      </c>
      <c r="D83" s="214" t="s">
        <v>19</v>
      </c>
      <c r="E83" s="32"/>
      <c r="F83" s="27"/>
      <c r="G83" s="18">
        <f t="shared" si="3"/>
        <v>11567.600000000002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249</v>
      </c>
      <c r="D84" s="214" t="s">
        <v>19</v>
      </c>
      <c r="E84" s="32"/>
      <c r="F84" s="17"/>
      <c r="G84" s="18">
        <f t="shared" si="3"/>
        <v>11567.600000000002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249</v>
      </c>
      <c r="D85" s="214" t="s">
        <v>19</v>
      </c>
      <c r="E85" s="32"/>
      <c r="F85" s="17"/>
      <c r="G85" s="18">
        <f t="shared" si="3"/>
        <v>11567.600000000002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249</v>
      </c>
      <c r="D86" s="214" t="s">
        <v>19</v>
      </c>
      <c r="E86" s="32"/>
      <c r="F86" s="17"/>
      <c r="G86" s="18">
        <f t="shared" si="3"/>
        <v>11567.600000000002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249</v>
      </c>
      <c r="D87" s="214" t="s">
        <v>19</v>
      </c>
      <c r="E87" s="32"/>
      <c r="F87" s="17"/>
      <c r="G87" s="18">
        <f t="shared" si="3"/>
        <v>11567.600000000002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249</v>
      </c>
      <c r="D88" s="214" t="s">
        <v>19</v>
      </c>
      <c r="E88" s="32"/>
      <c r="F88" s="17"/>
      <c r="G88" s="18">
        <f t="shared" si="3"/>
        <v>11567.600000000002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249</v>
      </c>
      <c r="D89" s="214" t="s">
        <v>19</v>
      </c>
      <c r="E89" s="32"/>
      <c r="F89" s="17"/>
      <c r="G89" s="18">
        <f t="shared" si="3"/>
        <v>11567.600000000002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249</v>
      </c>
      <c r="D90" s="214" t="s">
        <v>19</v>
      </c>
      <c r="E90" s="32"/>
      <c r="F90" s="17"/>
      <c r="G90" s="18">
        <f t="shared" si="3"/>
        <v>11567.600000000002</v>
      </c>
      <c r="H90" s="240"/>
      <c r="I90" s="7" t="s">
        <v>14</v>
      </c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249</v>
      </c>
      <c r="D91" s="214" t="s">
        <v>19</v>
      </c>
      <c r="E91" s="32"/>
      <c r="F91" s="27"/>
      <c r="G91" s="18">
        <f t="shared" si="3"/>
        <v>11567.600000000002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249</v>
      </c>
      <c r="D92" s="214" t="s">
        <v>19</v>
      </c>
      <c r="E92" s="32"/>
      <c r="F92" s="27"/>
      <c r="G92" s="18">
        <f>+G91+E92-F92</f>
        <v>11567.600000000002</v>
      </c>
      <c r="H92" s="240"/>
      <c r="I92" s="7" t="s">
        <v>14</v>
      </c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249</v>
      </c>
      <c r="D93" s="244" t="s">
        <v>19</v>
      </c>
      <c r="E93" s="245"/>
      <c r="F93" s="52"/>
      <c r="G93" s="246">
        <f>+G92+E93-F93</f>
        <v>11567.600000000002</v>
      </c>
      <c r="H93" s="240"/>
      <c r="I93" s="247" t="s">
        <v>14</v>
      </c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249</v>
      </c>
      <c r="D94" s="244" t="s">
        <v>19</v>
      </c>
      <c r="E94" s="245"/>
      <c r="F94" s="52"/>
      <c r="G94" s="246">
        <f t="shared" ref="G94:G106" si="4">+G93+E94-F94</f>
        <v>11567.600000000002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249</v>
      </c>
      <c r="D95" s="244" t="s">
        <v>19</v>
      </c>
      <c r="E95" s="245"/>
      <c r="F95" s="52"/>
      <c r="G95" s="246">
        <f t="shared" si="4"/>
        <v>11567.600000000002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249</v>
      </c>
      <c r="D96" s="244" t="s">
        <v>19</v>
      </c>
      <c r="E96" s="245"/>
      <c r="F96" s="52"/>
      <c r="G96" s="246">
        <f t="shared" si="4"/>
        <v>11567.600000000002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249</v>
      </c>
      <c r="D97" s="244" t="s">
        <v>19</v>
      </c>
      <c r="E97" s="245"/>
      <c r="F97" s="52"/>
      <c r="G97" s="246">
        <f t="shared" si="4"/>
        <v>11567.600000000002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249</v>
      </c>
      <c r="D98" s="244" t="s">
        <v>19</v>
      </c>
      <c r="E98" s="245"/>
      <c r="F98" s="52"/>
      <c r="G98" s="246">
        <f t="shared" si="4"/>
        <v>11567.600000000002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249</v>
      </c>
      <c r="D99" s="244" t="s">
        <v>19</v>
      </c>
      <c r="E99" s="245"/>
      <c r="F99" s="52"/>
      <c r="G99" s="246">
        <f t="shared" si="4"/>
        <v>11567.600000000002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249</v>
      </c>
      <c r="D100" s="244" t="s">
        <v>19</v>
      </c>
      <c r="E100" s="245"/>
      <c r="F100" s="52"/>
      <c r="G100" s="246">
        <f t="shared" si="4"/>
        <v>11567.600000000002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11567.600000000002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11567.600000000002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11567.600000000002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11567.600000000002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11567.600000000002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11567.600000000002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11567.600000000002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8517.4</v>
      </c>
      <c r="F108" s="35">
        <f>SUM(F8:F107)</f>
        <v>5655.8</v>
      </c>
      <c r="G108" s="35">
        <f>+E108-F108+G8</f>
        <v>11567.599999999999</v>
      </c>
      <c r="H108" s="35"/>
      <c r="I108" s="36"/>
      <c r="J108" s="7">
        <f>SUM(J9:J107)</f>
        <v>66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099D-43EA-412B-91D7-4906D322C74E}">
  <sheetPr codeName="Sheet87"/>
  <dimension ref="A1:Q119"/>
  <sheetViews>
    <sheetView workbookViewId="0">
      <selection activeCell="J9" sqref="J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3.28515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0" x14ac:dyDescent="0.25">
      <c r="A6" t="s">
        <v>162</v>
      </c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4" t="s">
        <v>172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384</v>
      </c>
      <c r="H8" s="7"/>
      <c r="I8" s="7"/>
      <c r="J8" s="7"/>
    </row>
    <row r="9" spans="1:10" ht="17.25" customHeight="1" x14ac:dyDescent="0.25">
      <c r="A9" s="14">
        <v>1</v>
      </c>
      <c r="B9" s="8"/>
      <c r="C9" s="46" t="s">
        <v>341</v>
      </c>
      <c r="D9" s="214" t="s">
        <v>19</v>
      </c>
      <c r="E9" s="30"/>
      <c r="F9" s="27"/>
      <c r="G9" s="18">
        <f>+G8+E9-F9</f>
        <v>384</v>
      </c>
      <c r="H9" s="28" t="s">
        <v>91</v>
      </c>
      <c r="I9" s="7" t="s">
        <v>90</v>
      </c>
      <c r="J9" s="7">
        <v>8</v>
      </c>
    </row>
    <row r="10" spans="1:10" ht="17.25" customHeight="1" x14ac:dyDescent="0.25">
      <c r="A10" s="14">
        <f t="shared" ref="A10:A73" si="0">+A9+1</f>
        <v>2</v>
      </c>
      <c r="B10" s="8"/>
      <c r="C10" s="46" t="s">
        <v>341</v>
      </c>
      <c r="D10" s="214" t="s">
        <v>19</v>
      </c>
      <c r="E10" s="11"/>
      <c r="F10" s="27"/>
      <c r="G10" s="18">
        <f t="shared" ref="G10:G73" si="1">+G9+E10-F10</f>
        <v>384</v>
      </c>
      <c r="H10" s="28" t="s">
        <v>129</v>
      </c>
      <c r="I10" s="7" t="s">
        <v>90</v>
      </c>
      <c r="J10" s="7"/>
    </row>
    <row r="11" spans="1:10" ht="18" customHeight="1" x14ac:dyDescent="0.25">
      <c r="A11" s="14">
        <f t="shared" si="0"/>
        <v>3</v>
      </c>
      <c r="B11" s="8"/>
      <c r="C11" s="46" t="s">
        <v>341</v>
      </c>
      <c r="D11" s="214" t="s">
        <v>19</v>
      </c>
      <c r="E11" s="16"/>
      <c r="F11" s="27"/>
      <c r="G11" s="18">
        <f t="shared" si="1"/>
        <v>384</v>
      </c>
      <c r="H11" s="28" t="s">
        <v>129</v>
      </c>
      <c r="I11" s="7" t="s">
        <v>90</v>
      </c>
      <c r="J11" s="140"/>
    </row>
    <row r="12" spans="1:10" ht="18" customHeight="1" x14ac:dyDescent="0.25">
      <c r="A12" s="14">
        <f t="shared" si="0"/>
        <v>4</v>
      </c>
      <c r="B12" s="8"/>
      <c r="C12" s="46" t="s">
        <v>341</v>
      </c>
      <c r="D12" s="214" t="s">
        <v>19</v>
      </c>
      <c r="E12" s="16"/>
      <c r="F12" s="17"/>
      <c r="G12" s="18">
        <f t="shared" si="1"/>
        <v>384</v>
      </c>
      <c r="H12" s="28" t="s">
        <v>129</v>
      </c>
      <c r="I12" s="7" t="s">
        <v>90</v>
      </c>
      <c r="J12" s="140"/>
    </row>
    <row r="13" spans="1:10" ht="18" customHeight="1" x14ac:dyDescent="0.25">
      <c r="A13" s="14">
        <f t="shared" si="0"/>
        <v>5</v>
      </c>
      <c r="B13" s="205"/>
      <c r="C13" s="46" t="s">
        <v>341</v>
      </c>
      <c r="D13" s="214" t="s">
        <v>19</v>
      </c>
      <c r="E13" s="16"/>
      <c r="F13" s="17"/>
      <c r="G13" s="18">
        <f t="shared" si="1"/>
        <v>384</v>
      </c>
      <c r="H13" s="28" t="s">
        <v>129</v>
      </c>
      <c r="I13" s="7" t="s">
        <v>90</v>
      </c>
      <c r="J13" s="140"/>
    </row>
    <row r="14" spans="1:10" ht="18" customHeight="1" x14ac:dyDescent="0.25">
      <c r="A14" s="14">
        <f t="shared" si="0"/>
        <v>6</v>
      </c>
      <c r="B14" s="8"/>
      <c r="C14" s="46" t="s">
        <v>341</v>
      </c>
      <c r="D14" s="214" t="s">
        <v>19</v>
      </c>
      <c r="E14" s="16"/>
      <c r="F14" s="27"/>
      <c r="G14" s="18">
        <f t="shared" si="1"/>
        <v>384</v>
      </c>
      <c r="H14" s="28" t="s">
        <v>129</v>
      </c>
      <c r="I14" s="7" t="s">
        <v>90</v>
      </c>
      <c r="J14" s="7"/>
    </row>
    <row r="15" spans="1:10" ht="18" customHeight="1" x14ac:dyDescent="0.25">
      <c r="A15" s="14">
        <f t="shared" si="0"/>
        <v>7</v>
      </c>
      <c r="B15" s="8"/>
      <c r="C15" s="46" t="s">
        <v>341</v>
      </c>
      <c r="D15" s="214" t="s">
        <v>19</v>
      </c>
      <c r="E15" s="16"/>
      <c r="F15" s="27"/>
      <c r="G15" s="18">
        <f t="shared" si="1"/>
        <v>384</v>
      </c>
      <c r="H15" s="28" t="s">
        <v>129</v>
      </c>
      <c r="I15" s="7" t="s">
        <v>90</v>
      </c>
      <c r="J15" s="140"/>
    </row>
    <row r="16" spans="1:10" ht="18" customHeight="1" x14ac:dyDescent="0.25">
      <c r="A16" s="14">
        <f t="shared" si="0"/>
        <v>8</v>
      </c>
      <c r="B16" s="8"/>
      <c r="C16" s="46" t="s">
        <v>341</v>
      </c>
      <c r="D16" s="214" t="s">
        <v>19</v>
      </c>
      <c r="E16" s="16"/>
      <c r="F16" s="27"/>
      <c r="G16" s="18">
        <f t="shared" si="1"/>
        <v>384</v>
      </c>
      <c r="H16" s="28" t="s">
        <v>129</v>
      </c>
      <c r="I16" s="7" t="s">
        <v>90</v>
      </c>
      <c r="J16" s="7"/>
    </row>
    <row r="17" spans="1:14" ht="18" customHeight="1" x14ac:dyDescent="0.25">
      <c r="A17" s="14">
        <f t="shared" si="0"/>
        <v>9</v>
      </c>
      <c r="B17" s="8"/>
      <c r="C17" s="46" t="s">
        <v>341</v>
      </c>
      <c r="D17" s="214" t="s">
        <v>19</v>
      </c>
      <c r="E17" s="30"/>
      <c r="F17" s="27"/>
      <c r="G17" s="18">
        <f t="shared" si="1"/>
        <v>384</v>
      </c>
      <c r="H17" s="28" t="s">
        <v>129</v>
      </c>
      <c r="I17" s="7" t="s">
        <v>90</v>
      </c>
      <c r="J17" s="7"/>
    </row>
    <row r="18" spans="1:14" s="230" customFormat="1" ht="18" customHeight="1" x14ac:dyDescent="0.25">
      <c r="A18" s="223">
        <f>+A17+1</f>
        <v>10</v>
      </c>
      <c r="B18" s="224"/>
      <c r="C18" s="46" t="s">
        <v>341</v>
      </c>
      <c r="D18" s="226" t="s">
        <v>19</v>
      </c>
      <c r="E18" s="227"/>
      <c r="F18" s="228"/>
      <c r="G18" s="229">
        <f t="shared" si="1"/>
        <v>384</v>
      </c>
      <c r="H18" s="28" t="s">
        <v>129</v>
      </c>
      <c r="I18" s="7" t="s">
        <v>90</v>
      </c>
      <c r="J18" s="348"/>
    </row>
    <row r="19" spans="1:14" s="230" customFormat="1" ht="18" customHeight="1" x14ac:dyDescent="0.25">
      <c r="A19" s="223">
        <f t="shared" si="0"/>
        <v>11</v>
      </c>
      <c r="B19" s="224"/>
      <c r="C19" s="46" t="s">
        <v>341</v>
      </c>
      <c r="D19" s="226" t="s">
        <v>19</v>
      </c>
      <c r="E19" s="231"/>
      <c r="F19" s="228"/>
      <c r="G19" s="229">
        <f t="shared" si="1"/>
        <v>384</v>
      </c>
      <c r="H19" s="28" t="s">
        <v>91</v>
      </c>
      <c r="I19" s="7" t="s">
        <v>90</v>
      </c>
      <c r="J19" s="348"/>
    </row>
    <row r="20" spans="1:14" ht="18" customHeight="1" x14ac:dyDescent="0.25">
      <c r="A20" s="14">
        <f t="shared" si="0"/>
        <v>12</v>
      </c>
      <c r="B20" s="8"/>
      <c r="C20" s="46" t="s">
        <v>341</v>
      </c>
      <c r="D20" s="214" t="s">
        <v>19</v>
      </c>
      <c r="E20" s="32"/>
      <c r="F20" s="17"/>
      <c r="G20" s="18">
        <f t="shared" si="1"/>
        <v>384</v>
      </c>
      <c r="H20" s="28" t="s">
        <v>91</v>
      </c>
      <c r="I20" s="7" t="s">
        <v>90</v>
      </c>
      <c r="J20" s="7"/>
      <c r="N20" s="26"/>
    </row>
    <row r="21" spans="1:14" ht="18" customHeight="1" x14ac:dyDescent="0.25">
      <c r="A21" s="14">
        <f t="shared" si="0"/>
        <v>13</v>
      </c>
      <c r="B21" s="8"/>
      <c r="C21" s="46" t="s">
        <v>341</v>
      </c>
      <c r="D21" s="214" t="s">
        <v>19</v>
      </c>
      <c r="E21" s="32"/>
      <c r="F21" s="27"/>
      <c r="G21" s="18">
        <f t="shared" si="1"/>
        <v>384</v>
      </c>
      <c r="H21" s="28" t="s">
        <v>91</v>
      </c>
      <c r="I21" s="7" t="s">
        <v>90</v>
      </c>
      <c r="J21" s="7"/>
    </row>
    <row r="22" spans="1:14" ht="18" customHeight="1" x14ac:dyDescent="0.25">
      <c r="A22" s="14">
        <f t="shared" si="0"/>
        <v>14</v>
      </c>
      <c r="B22" s="232"/>
      <c r="C22" s="46" t="s">
        <v>341</v>
      </c>
      <c r="D22" s="234" t="s">
        <v>19</v>
      </c>
      <c r="E22" s="235"/>
      <c r="F22" s="172"/>
      <c r="G22" s="18">
        <f t="shared" si="1"/>
        <v>384</v>
      </c>
      <c r="H22" s="28" t="s">
        <v>129</v>
      </c>
      <c r="I22" s="7" t="s">
        <v>90</v>
      </c>
      <c r="J22" s="7"/>
    </row>
    <row r="23" spans="1:14" ht="18" customHeight="1" x14ac:dyDescent="0.25">
      <c r="A23" s="14">
        <f t="shared" si="0"/>
        <v>15</v>
      </c>
      <c r="B23" s="8"/>
      <c r="C23" s="46" t="s">
        <v>341</v>
      </c>
      <c r="D23" s="214" t="s">
        <v>19</v>
      </c>
      <c r="E23" s="32"/>
      <c r="F23" s="17"/>
      <c r="G23" s="18">
        <f t="shared" si="1"/>
        <v>384</v>
      </c>
      <c r="H23" s="28" t="s">
        <v>129</v>
      </c>
      <c r="I23" s="7" t="s">
        <v>142</v>
      </c>
      <c r="J23" s="7"/>
    </row>
    <row r="24" spans="1:14" ht="18" customHeight="1" x14ac:dyDescent="0.25">
      <c r="A24" s="14">
        <f t="shared" si="0"/>
        <v>16</v>
      </c>
      <c r="B24" s="8"/>
      <c r="C24" s="46" t="s">
        <v>341</v>
      </c>
      <c r="D24" s="214" t="s">
        <v>19</v>
      </c>
      <c r="E24" s="32"/>
      <c r="F24" s="17"/>
      <c r="G24" s="18">
        <f t="shared" si="1"/>
        <v>384</v>
      </c>
      <c r="H24" s="28" t="s">
        <v>91</v>
      </c>
      <c r="I24" s="7" t="s">
        <v>90</v>
      </c>
      <c r="J24" s="7"/>
    </row>
    <row r="25" spans="1:14" ht="18" customHeight="1" x14ac:dyDescent="0.25">
      <c r="A25" s="14">
        <f t="shared" si="0"/>
        <v>17</v>
      </c>
      <c r="B25" s="8"/>
      <c r="C25" s="46" t="s">
        <v>341</v>
      </c>
      <c r="D25" s="214" t="s">
        <v>19</v>
      </c>
      <c r="E25" s="32"/>
      <c r="F25" s="17"/>
      <c r="G25" s="18">
        <f t="shared" si="1"/>
        <v>384</v>
      </c>
      <c r="H25" s="28" t="s">
        <v>91</v>
      </c>
      <c r="I25" s="7" t="s">
        <v>90</v>
      </c>
      <c r="J25" s="7"/>
    </row>
    <row r="26" spans="1:14" ht="18" customHeight="1" x14ac:dyDescent="0.25">
      <c r="A26" s="14">
        <f t="shared" si="0"/>
        <v>18</v>
      </c>
      <c r="B26" s="8"/>
      <c r="C26" s="46" t="s">
        <v>341</v>
      </c>
      <c r="D26" s="214" t="s">
        <v>19</v>
      </c>
      <c r="E26" s="32"/>
      <c r="F26" s="17"/>
      <c r="G26" s="18">
        <f t="shared" si="1"/>
        <v>384</v>
      </c>
      <c r="H26" s="28" t="s">
        <v>91</v>
      </c>
      <c r="I26" s="7" t="s">
        <v>90</v>
      </c>
      <c r="J26" s="7"/>
    </row>
    <row r="27" spans="1:14" ht="18" customHeight="1" x14ac:dyDescent="0.25">
      <c r="A27" s="14">
        <f>+A26+1</f>
        <v>19</v>
      </c>
      <c r="B27" s="8"/>
      <c r="C27" s="46" t="s">
        <v>341</v>
      </c>
      <c r="D27" s="214" t="s">
        <v>19</v>
      </c>
      <c r="E27" s="32"/>
      <c r="F27" s="17"/>
      <c r="G27" s="18">
        <f t="shared" si="1"/>
        <v>384</v>
      </c>
      <c r="H27" s="28" t="s">
        <v>91</v>
      </c>
      <c r="I27" s="7" t="s">
        <v>90</v>
      </c>
      <c r="J27" s="7"/>
    </row>
    <row r="28" spans="1:14" ht="18" customHeight="1" x14ac:dyDescent="0.25">
      <c r="A28" s="14">
        <f t="shared" si="0"/>
        <v>20</v>
      </c>
      <c r="B28" s="8"/>
      <c r="C28" s="46" t="s">
        <v>341</v>
      </c>
      <c r="D28" s="214" t="s">
        <v>19</v>
      </c>
      <c r="E28" s="129"/>
      <c r="F28" s="17"/>
      <c r="G28" s="18">
        <f t="shared" si="1"/>
        <v>384</v>
      </c>
      <c r="H28" s="28" t="s">
        <v>91</v>
      </c>
      <c r="I28" s="7" t="s">
        <v>90</v>
      </c>
      <c r="J28" s="7"/>
    </row>
    <row r="29" spans="1:14" ht="18" customHeight="1" x14ac:dyDescent="0.25">
      <c r="A29" s="14">
        <f t="shared" si="0"/>
        <v>21</v>
      </c>
      <c r="B29" s="8"/>
      <c r="C29" s="46" t="s">
        <v>341</v>
      </c>
      <c r="D29" s="214" t="s">
        <v>19</v>
      </c>
      <c r="E29" s="32"/>
      <c r="F29" s="172"/>
      <c r="G29" s="18">
        <f t="shared" si="1"/>
        <v>384</v>
      </c>
      <c r="H29" s="28" t="s">
        <v>91</v>
      </c>
      <c r="I29" s="7" t="s">
        <v>90</v>
      </c>
      <c r="J29" s="7"/>
    </row>
    <row r="30" spans="1:14" ht="18" customHeight="1" x14ac:dyDescent="0.25">
      <c r="A30" s="14">
        <f t="shared" si="0"/>
        <v>22</v>
      </c>
      <c r="B30" s="8"/>
      <c r="C30" s="46" t="s">
        <v>341</v>
      </c>
      <c r="D30" s="214" t="s">
        <v>19</v>
      </c>
      <c r="E30" s="32"/>
      <c r="F30" s="17"/>
      <c r="G30" s="18">
        <f t="shared" si="1"/>
        <v>384</v>
      </c>
      <c r="H30" s="28" t="s">
        <v>91</v>
      </c>
      <c r="I30" s="7" t="s">
        <v>90</v>
      </c>
      <c r="J30" s="7"/>
    </row>
    <row r="31" spans="1:14" ht="18" customHeight="1" x14ac:dyDescent="0.25">
      <c r="A31" s="14">
        <f t="shared" si="0"/>
        <v>23</v>
      </c>
      <c r="B31" s="8"/>
      <c r="C31" s="46" t="s">
        <v>341</v>
      </c>
      <c r="D31" s="214" t="s">
        <v>19</v>
      </c>
      <c r="E31" s="32"/>
      <c r="F31" s="17"/>
      <c r="G31" s="18">
        <f t="shared" si="1"/>
        <v>384</v>
      </c>
      <c r="H31" s="28" t="s">
        <v>91</v>
      </c>
      <c r="I31" s="7" t="s">
        <v>90</v>
      </c>
      <c r="J31" s="7"/>
    </row>
    <row r="32" spans="1:14" ht="17.25" customHeight="1" x14ac:dyDescent="0.25">
      <c r="A32" s="14">
        <f t="shared" si="0"/>
        <v>24</v>
      </c>
      <c r="B32" s="8"/>
      <c r="C32" s="46" t="s">
        <v>341</v>
      </c>
      <c r="D32" s="214" t="s">
        <v>19</v>
      </c>
      <c r="E32" s="13"/>
      <c r="F32" s="17"/>
      <c r="G32" s="18">
        <f t="shared" si="1"/>
        <v>384</v>
      </c>
      <c r="H32" s="28" t="s">
        <v>91</v>
      </c>
      <c r="I32" s="7" t="s">
        <v>90</v>
      </c>
      <c r="J32" s="7"/>
    </row>
    <row r="33" spans="1:16" ht="17.25" customHeight="1" x14ac:dyDescent="0.25">
      <c r="A33" s="14">
        <f t="shared" si="0"/>
        <v>25</v>
      </c>
      <c r="B33" s="44"/>
      <c r="C33" s="46" t="s">
        <v>341</v>
      </c>
      <c r="D33" s="214" t="s">
        <v>19</v>
      </c>
      <c r="E33" s="13"/>
      <c r="F33" s="17"/>
      <c r="G33" s="18">
        <f t="shared" si="1"/>
        <v>384</v>
      </c>
      <c r="H33" s="178"/>
      <c r="I33" s="7"/>
      <c r="J33" s="7"/>
    </row>
    <row r="34" spans="1:16" ht="18" customHeight="1" x14ac:dyDescent="0.25">
      <c r="A34" s="14">
        <f t="shared" si="0"/>
        <v>26</v>
      </c>
      <c r="B34" s="8"/>
      <c r="C34" s="46" t="s">
        <v>341</v>
      </c>
      <c r="D34" s="214" t="s">
        <v>19</v>
      </c>
      <c r="E34" s="32"/>
      <c r="F34" s="40"/>
      <c r="G34" s="18">
        <f t="shared" si="1"/>
        <v>384</v>
      </c>
      <c r="H34" s="178"/>
      <c r="I34" s="7"/>
      <c r="J34" s="7"/>
    </row>
    <row r="35" spans="1:16" ht="18" customHeight="1" x14ac:dyDescent="0.25">
      <c r="A35" s="14">
        <f t="shared" si="0"/>
        <v>27</v>
      </c>
      <c r="B35" s="45"/>
      <c r="C35" s="46" t="s">
        <v>341</v>
      </c>
      <c r="D35" s="214" t="s">
        <v>19</v>
      </c>
      <c r="E35" s="32"/>
      <c r="F35" s="40"/>
      <c r="G35" s="18">
        <f t="shared" si="1"/>
        <v>384</v>
      </c>
      <c r="H35" s="178"/>
      <c r="I35" s="7"/>
      <c r="J35" s="7"/>
    </row>
    <row r="36" spans="1:16" ht="18" customHeight="1" x14ac:dyDescent="0.25">
      <c r="A36" s="14">
        <f t="shared" si="0"/>
        <v>28</v>
      </c>
      <c r="B36" s="8"/>
      <c r="C36" s="46" t="s">
        <v>341</v>
      </c>
      <c r="D36" s="214" t="s">
        <v>19</v>
      </c>
      <c r="E36" s="32"/>
      <c r="F36" s="40"/>
      <c r="G36" s="18">
        <f t="shared" si="1"/>
        <v>384</v>
      </c>
      <c r="H36" s="178"/>
      <c r="I36" s="7"/>
      <c r="J36" s="7"/>
    </row>
    <row r="37" spans="1:16" ht="18" customHeight="1" x14ac:dyDescent="0.25">
      <c r="A37" s="14">
        <f t="shared" si="0"/>
        <v>29</v>
      </c>
      <c r="B37" s="8"/>
      <c r="C37" s="46" t="s">
        <v>341</v>
      </c>
      <c r="D37" s="214" t="s">
        <v>19</v>
      </c>
      <c r="E37" s="32"/>
      <c r="F37" s="17"/>
      <c r="G37" s="18">
        <f t="shared" si="1"/>
        <v>384</v>
      </c>
      <c r="H37" s="178"/>
      <c r="I37" s="7"/>
      <c r="J37" s="7"/>
    </row>
    <row r="38" spans="1:16" ht="18" customHeight="1" x14ac:dyDescent="0.25">
      <c r="A38" s="14">
        <f t="shared" si="0"/>
        <v>30</v>
      </c>
      <c r="B38" s="8"/>
      <c r="C38" s="46" t="s">
        <v>341</v>
      </c>
      <c r="D38" s="214" t="s">
        <v>19</v>
      </c>
      <c r="E38" s="32"/>
      <c r="F38" s="17"/>
      <c r="G38" s="18">
        <f t="shared" si="1"/>
        <v>384</v>
      </c>
      <c r="H38" s="178"/>
      <c r="I38" s="7"/>
      <c r="J38" s="7"/>
    </row>
    <row r="39" spans="1:16" ht="18" customHeight="1" x14ac:dyDescent="0.25">
      <c r="A39" s="14">
        <f t="shared" si="0"/>
        <v>31</v>
      </c>
      <c r="B39" s="8"/>
      <c r="C39" s="46" t="s">
        <v>341</v>
      </c>
      <c r="D39" s="214" t="s">
        <v>19</v>
      </c>
      <c r="E39" s="32"/>
      <c r="F39" s="17"/>
      <c r="G39" s="18">
        <f t="shared" si="1"/>
        <v>384</v>
      </c>
      <c r="H39" s="178"/>
      <c r="I39" s="7"/>
      <c r="J39" s="7"/>
    </row>
    <row r="40" spans="1:16" ht="18" customHeight="1" x14ac:dyDescent="0.25">
      <c r="A40" s="14">
        <f t="shared" si="0"/>
        <v>32</v>
      </c>
      <c r="B40" s="8"/>
      <c r="C40" s="46" t="s">
        <v>341</v>
      </c>
      <c r="D40" s="214" t="s">
        <v>19</v>
      </c>
      <c r="E40" s="32"/>
      <c r="F40" s="17"/>
      <c r="G40" s="18">
        <f t="shared" si="1"/>
        <v>384</v>
      </c>
      <c r="H40" s="178"/>
      <c r="I40" s="7"/>
      <c r="J40" s="7"/>
    </row>
    <row r="41" spans="1:16" ht="18" customHeight="1" x14ac:dyDescent="0.25">
      <c r="A41" s="14">
        <f t="shared" si="0"/>
        <v>33</v>
      </c>
      <c r="B41" s="8"/>
      <c r="C41" s="46" t="s">
        <v>341</v>
      </c>
      <c r="D41" s="214" t="s">
        <v>19</v>
      </c>
      <c r="E41" s="32"/>
      <c r="F41" s="172"/>
      <c r="G41" s="18">
        <f t="shared" si="1"/>
        <v>384</v>
      </c>
      <c r="H41" s="178"/>
      <c r="I41" s="7"/>
      <c r="J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341</v>
      </c>
      <c r="D42" s="214" t="s">
        <v>19</v>
      </c>
      <c r="E42" s="32"/>
      <c r="F42" s="17"/>
      <c r="G42" s="18">
        <f t="shared" si="1"/>
        <v>384</v>
      </c>
      <c r="H42" s="178"/>
      <c r="I42" s="7"/>
      <c r="J42" s="7"/>
    </row>
    <row r="43" spans="1:16" ht="18" customHeight="1" x14ac:dyDescent="0.25">
      <c r="A43" s="14">
        <f t="shared" si="0"/>
        <v>35</v>
      </c>
      <c r="B43" s="8"/>
      <c r="C43" s="46" t="s">
        <v>341</v>
      </c>
      <c r="D43" s="214" t="s">
        <v>19</v>
      </c>
      <c r="E43" s="32"/>
      <c r="F43" s="17"/>
      <c r="G43" s="18">
        <f t="shared" si="1"/>
        <v>384</v>
      </c>
      <c r="H43" s="178"/>
      <c r="I43" s="7"/>
      <c r="J43" s="7"/>
    </row>
    <row r="44" spans="1:16" ht="18" customHeight="1" x14ac:dyDescent="0.25">
      <c r="A44" s="14">
        <f t="shared" si="0"/>
        <v>36</v>
      </c>
      <c r="B44" s="8"/>
      <c r="C44" s="46" t="s">
        <v>341</v>
      </c>
      <c r="D44" s="214" t="s">
        <v>19</v>
      </c>
      <c r="E44" s="32"/>
      <c r="F44" s="17"/>
      <c r="G44" s="18">
        <f t="shared" si="1"/>
        <v>384</v>
      </c>
      <c r="H44" s="178"/>
      <c r="I44" s="7"/>
      <c r="J44" s="7"/>
    </row>
    <row r="45" spans="1:16" ht="18" customHeight="1" x14ac:dyDescent="0.25">
      <c r="A45" s="14">
        <f t="shared" si="0"/>
        <v>37</v>
      </c>
      <c r="B45" s="8"/>
      <c r="C45" s="46" t="s">
        <v>341</v>
      </c>
      <c r="D45" s="214" t="s">
        <v>19</v>
      </c>
      <c r="E45" s="32"/>
      <c r="F45" s="17"/>
      <c r="G45" s="18">
        <f t="shared" si="1"/>
        <v>384</v>
      </c>
      <c r="H45" s="178"/>
      <c r="I45" s="29"/>
      <c r="J45" s="7"/>
    </row>
    <row r="46" spans="1:16" ht="18" customHeight="1" x14ac:dyDescent="0.25">
      <c r="A46" s="14">
        <f t="shared" si="0"/>
        <v>38</v>
      </c>
      <c r="B46" s="8"/>
      <c r="C46" s="46" t="s">
        <v>341</v>
      </c>
      <c r="D46" s="214" t="s">
        <v>19</v>
      </c>
      <c r="E46" s="32"/>
      <c r="F46" s="17"/>
      <c r="G46" s="18">
        <f t="shared" si="1"/>
        <v>384</v>
      </c>
      <c r="H46" s="178"/>
      <c r="I46" s="29"/>
      <c r="J46" s="7"/>
    </row>
    <row r="47" spans="1:16" ht="18" customHeight="1" x14ac:dyDescent="0.25">
      <c r="A47" s="14">
        <f t="shared" si="0"/>
        <v>39</v>
      </c>
      <c r="B47" s="8"/>
      <c r="C47" s="46" t="s">
        <v>341</v>
      </c>
      <c r="D47" s="214" t="s">
        <v>19</v>
      </c>
      <c r="E47" s="32"/>
      <c r="F47" s="17"/>
      <c r="G47" s="18">
        <f t="shared" si="1"/>
        <v>384</v>
      </c>
      <c r="H47" s="178"/>
      <c r="I47" s="29"/>
      <c r="J47" s="7"/>
    </row>
    <row r="48" spans="1:16" ht="18" customHeight="1" x14ac:dyDescent="0.25">
      <c r="A48" s="14">
        <f t="shared" si="0"/>
        <v>40</v>
      </c>
      <c r="B48" s="8"/>
      <c r="C48" s="46" t="s">
        <v>341</v>
      </c>
      <c r="D48" s="214" t="s">
        <v>19</v>
      </c>
      <c r="E48" s="32"/>
      <c r="F48" s="17"/>
      <c r="G48" s="18">
        <f t="shared" si="1"/>
        <v>384</v>
      </c>
      <c r="H48" s="178"/>
      <c r="I48" s="29"/>
      <c r="J48" s="7"/>
    </row>
    <row r="49" spans="1:16" ht="18" customHeight="1" x14ac:dyDescent="0.25">
      <c r="A49" s="14">
        <f t="shared" si="0"/>
        <v>41</v>
      </c>
      <c r="B49" s="8"/>
      <c r="C49" s="46" t="s">
        <v>341</v>
      </c>
      <c r="D49" s="214" t="s">
        <v>19</v>
      </c>
      <c r="E49" s="32"/>
      <c r="F49" s="17"/>
      <c r="G49" s="18">
        <f t="shared" si="1"/>
        <v>384</v>
      </c>
      <c r="H49" s="178"/>
      <c r="I49" s="7"/>
      <c r="J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341</v>
      </c>
      <c r="D50" s="237" t="s">
        <v>19</v>
      </c>
      <c r="E50" s="175"/>
      <c r="F50" s="172"/>
      <c r="G50" s="238">
        <f t="shared" si="1"/>
        <v>384</v>
      </c>
      <c r="H50" s="178"/>
      <c r="I50" s="7"/>
      <c r="J50" s="271"/>
      <c r="P50"/>
    </row>
    <row r="51" spans="1:16" ht="18" customHeight="1" x14ac:dyDescent="0.25">
      <c r="A51" s="14">
        <f t="shared" si="0"/>
        <v>43</v>
      </c>
      <c r="B51" s="8"/>
      <c r="C51" s="46" t="s">
        <v>341</v>
      </c>
      <c r="D51" s="214" t="s">
        <v>19</v>
      </c>
      <c r="E51" s="32"/>
      <c r="F51" s="17"/>
      <c r="G51" s="18">
        <f t="shared" si="1"/>
        <v>384</v>
      </c>
      <c r="H51" s="239"/>
      <c r="I51" s="7"/>
      <c r="J51" s="7"/>
    </row>
    <row r="52" spans="1:16" ht="18" customHeight="1" x14ac:dyDescent="0.25">
      <c r="A52" s="14">
        <f t="shared" si="0"/>
        <v>44</v>
      </c>
      <c r="B52" s="8"/>
      <c r="C52" s="46" t="s">
        <v>341</v>
      </c>
      <c r="D52" s="214" t="s">
        <v>19</v>
      </c>
      <c r="E52" s="32"/>
      <c r="F52" s="17"/>
      <c r="G52" s="18">
        <f t="shared" si="1"/>
        <v>384</v>
      </c>
      <c r="H52" s="239"/>
      <c r="I52" s="7"/>
      <c r="J52" s="7"/>
    </row>
    <row r="53" spans="1:16" ht="18" customHeight="1" x14ac:dyDescent="0.25">
      <c r="A53" s="14">
        <f t="shared" si="0"/>
        <v>45</v>
      </c>
      <c r="B53" s="8"/>
      <c r="C53" s="46" t="s">
        <v>341</v>
      </c>
      <c r="D53" s="214" t="s">
        <v>19</v>
      </c>
      <c r="E53" s="32"/>
      <c r="F53" s="17"/>
      <c r="G53" s="18">
        <f t="shared" si="1"/>
        <v>384</v>
      </c>
      <c r="H53" s="239"/>
      <c r="I53" s="7"/>
      <c r="J53" s="7"/>
    </row>
    <row r="54" spans="1:16" ht="18" customHeight="1" x14ac:dyDescent="0.25">
      <c r="A54" s="14">
        <f t="shared" si="0"/>
        <v>46</v>
      </c>
      <c r="B54" s="8"/>
      <c r="C54" s="46" t="s">
        <v>341</v>
      </c>
      <c r="D54" s="214" t="s">
        <v>19</v>
      </c>
      <c r="E54" s="32"/>
      <c r="F54" s="17"/>
      <c r="G54" s="18">
        <f t="shared" si="1"/>
        <v>384</v>
      </c>
      <c r="H54" s="28"/>
      <c r="I54" s="7"/>
      <c r="J54" s="7"/>
    </row>
    <row r="55" spans="1:16" ht="18" customHeight="1" x14ac:dyDescent="0.25">
      <c r="A55" s="14">
        <f t="shared" si="0"/>
        <v>47</v>
      </c>
      <c r="B55" s="8"/>
      <c r="C55" s="46" t="s">
        <v>341</v>
      </c>
      <c r="D55" s="214" t="s">
        <v>19</v>
      </c>
      <c r="E55" s="32"/>
      <c r="F55" s="17"/>
      <c r="G55" s="18">
        <f t="shared" si="1"/>
        <v>384</v>
      </c>
      <c r="H55" s="240"/>
      <c r="I55" s="7"/>
      <c r="J55" s="7"/>
    </row>
    <row r="56" spans="1:16" ht="18" customHeight="1" x14ac:dyDescent="0.25">
      <c r="A56" s="14">
        <f t="shared" si="0"/>
        <v>48</v>
      </c>
      <c r="B56" s="8"/>
      <c r="C56" s="46" t="s">
        <v>341</v>
      </c>
      <c r="D56" s="214" t="s">
        <v>19</v>
      </c>
      <c r="E56" s="32"/>
      <c r="F56" s="17"/>
      <c r="G56" s="18">
        <f t="shared" si="1"/>
        <v>384</v>
      </c>
      <c r="H56" s="240"/>
      <c r="I56" s="7"/>
      <c r="J56" s="7"/>
    </row>
    <row r="57" spans="1:16" ht="18" customHeight="1" x14ac:dyDescent="0.25">
      <c r="A57" s="14">
        <f t="shared" si="0"/>
        <v>49</v>
      </c>
      <c r="B57" s="8"/>
      <c r="C57" s="46" t="s">
        <v>341</v>
      </c>
      <c r="D57" s="214" t="s">
        <v>19</v>
      </c>
      <c r="E57" s="32"/>
      <c r="F57" s="17"/>
      <c r="G57" s="18">
        <f t="shared" si="1"/>
        <v>384</v>
      </c>
      <c r="H57" s="240"/>
      <c r="I57" s="7" t="s">
        <v>14</v>
      </c>
      <c r="J57" s="7"/>
    </row>
    <row r="58" spans="1:16" ht="18" customHeight="1" x14ac:dyDescent="0.25">
      <c r="A58" s="14">
        <f t="shared" si="0"/>
        <v>50</v>
      </c>
      <c r="B58" s="8"/>
      <c r="C58" s="46" t="s">
        <v>341</v>
      </c>
      <c r="D58" s="214" t="s">
        <v>19</v>
      </c>
      <c r="E58" s="32"/>
      <c r="F58" s="17"/>
      <c r="G58" s="18">
        <f t="shared" si="1"/>
        <v>384</v>
      </c>
      <c r="H58" s="240"/>
      <c r="I58" s="7" t="s">
        <v>14</v>
      </c>
      <c r="J58" s="7"/>
    </row>
    <row r="59" spans="1:16" ht="18" customHeight="1" x14ac:dyDescent="0.25">
      <c r="A59" s="14">
        <f t="shared" si="0"/>
        <v>51</v>
      </c>
      <c r="B59" s="8"/>
      <c r="C59" s="46" t="s">
        <v>341</v>
      </c>
      <c r="D59" s="214" t="s">
        <v>19</v>
      </c>
      <c r="E59" s="32"/>
      <c r="F59" s="17"/>
      <c r="G59" s="18">
        <f t="shared" si="1"/>
        <v>384</v>
      </c>
      <c r="H59" s="240"/>
      <c r="I59" s="7" t="s">
        <v>14</v>
      </c>
      <c r="J59" s="7"/>
    </row>
    <row r="60" spans="1:16" ht="18" customHeight="1" x14ac:dyDescent="0.25">
      <c r="A60" s="14">
        <f t="shared" si="0"/>
        <v>52</v>
      </c>
      <c r="B60" s="8"/>
      <c r="C60" s="46" t="s">
        <v>341</v>
      </c>
      <c r="D60" s="214" t="s">
        <v>19</v>
      </c>
      <c r="E60" s="32"/>
      <c r="F60" s="17"/>
      <c r="G60" s="18">
        <f t="shared" si="1"/>
        <v>384</v>
      </c>
      <c r="H60" s="240"/>
      <c r="I60" s="7" t="s">
        <v>14</v>
      </c>
      <c r="J60" s="7"/>
    </row>
    <row r="61" spans="1:16" ht="18" customHeight="1" x14ac:dyDescent="0.25">
      <c r="A61" s="14">
        <f t="shared" si="0"/>
        <v>53</v>
      </c>
      <c r="B61" s="8"/>
      <c r="C61" s="46" t="s">
        <v>341</v>
      </c>
      <c r="D61" s="214" t="s">
        <v>19</v>
      </c>
      <c r="E61" s="32"/>
      <c r="F61" s="17"/>
      <c r="G61" s="18">
        <f t="shared" si="1"/>
        <v>384</v>
      </c>
      <c r="H61" s="240"/>
      <c r="I61" s="7" t="s">
        <v>14</v>
      </c>
      <c r="J61" s="7"/>
    </row>
    <row r="62" spans="1:16" ht="18" customHeight="1" x14ac:dyDescent="0.25">
      <c r="A62" s="14">
        <f t="shared" si="0"/>
        <v>54</v>
      </c>
      <c r="B62" s="8"/>
      <c r="C62" s="46" t="s">
        <v>341</v>
      </c>
      <c r="D62" s="214" t="s">
        <v>19</v>
      </c>
      <c r="E62" s="32"/>
      <c r="F62" s="17"/>
      <c r="G62" s="18">
        <f t="shared" si="1"/>
        <v>384</v>
      </c>
      <c r="H62" s="240"/>
      <c r="I62" s="7" t="s">
        <v>14</v>
      </c>
      <c r="J62" s="7"/>
    </row>
    <row r="63" spans="1:16" ht="18" customHeight="1" x14ac:dyDescent="0.25">
      <c r="A63" s="14">
        <f t="shared" si="0"/>
        <v>55</v>
      </c>
      <c r="B63" s="8"/>
      <c r="C63" s="46" t="s">
        <v>341</v>
      </c>
      <c r="D63" s="214" t="s">
        <v>19</v>
      </c>
      <c r="E63" s="32"/>
      <c r="F63" s="17"/>
      <c r="G63" s="18">
        <f t="shared" si="1"/>
        <v>384</v>
      </c>
      <c r="H63" s="240"/>
      <c r="I63" s="7" t="s">
        <v>14</v>
      </c>
      <c r="J63" s="7"/>
    </row>
    <row r="64" spans="1:16" ht="18" customHeight="1" x14ac:dyDescent="0.25">
      <c r="A64" s="14">
        <f t="shared" si="0"/>
        <v>56</v>
      </c>
      <c r="B64" s="8"/>
      <c r="C64" s="46" t="s">
        <v>341</v>
      </c>
      <c r="D64" s="214" t="s">
        <v>19</v>
      </c>
      <c r="E64" s="32"/>
      <c r="F64" s="17"/>
      <c r="G64" s="18">
        <f t="shared" si="1"/>
        <v>384</v>
      </c>
      <c r="H64" s="240"/>
      <c r="I64" s="7" t="s">
        <v>14</v>
      </c>
      <c r="J64" s="7"/>
    </row>
    <row r="65" spans="1:10" ht="18" customHeight="1" x14ac:dyDescent="0.25">
      <c r="A65" s="14">
        <f t="shared" si="0"/>
        <v>57</v>
      </c>
      <c r="B65" s="8"/>
      <c r="C65" s="46" t="s">
        <v>341</v>
      </c>
      <c r="D65" s="214" t="s">
        <v>19</v>
      </c>
      <c r="E65" s="32"/>
      <c r="F65" s="17"/>
      <c r="G65" s="18">
        <f t="shared" si="1"/>
        <v>384</v>
      </c>
      <c r="H65" s="240"/>
      <c r="I65" s="7" t="s">
        <v>14</v>
      </c>
      <c r="J65" s="140"/>
    </row>
    <row r="66" spans="1:10" ht="18" customHeight="1" x14ac:dyDescent="0.25">
      <c r="A66" s="14">
        <f t="shared" si="0"/>
        <v>58</v>
      </c>
      <c r="B66" s="8"/>
      <c r="C66" s="46" t="s">
        <v>341</v>
      </c>
      <c r="D66" s="214" t="s">
        <v>19</v>
      </c>
      <c r="E66" s="32"/>
      <c r="F66" s="17"/>
      <c r="G66" s="18">
        <f t="shared" si="1"/>
        <v>384</v>
      </c>
      <c r="H66" s="240"/>
      <c r="I66" s="7" t="s">
        <v>14</v>
      </c>
      <c r="J66" s="7"/>
    </row>
    <row r="67" spans="1:10" ht="18" customHeight="1" x14ac:dyDescent="0.25">
      <c r="A67" s="14">
        <f t="shared" si="0"/>
        <v>59</v>
      </c>
      <c r="B67" s="8"/>
      <c r="C67" s="46" t="s">
        <v>341</v>
      </c>
      <c r="D67" s="214" t="s">
        <v>19</v>
      </c>
      <c r="E67" s="32"/>
      <c r="F67" s="17"/>
      <c r="G67" s="18">
        <f>+G66+E67-F67</f>
        <v>384</v>
      </c>
      <c r="H67" s="240"/>
      <c r="I67" s="7" t="s">
        <v>14</v>
      </c>
      <c r="J67" s="7"/>
    </row>
    <row r="68" spans="1:10" ht="18" customHeight="1" x14ac:dyDescent="0.25">
      <c r="A68" s="14">
        <f t="shared" si="0"/>
        <v>60</v>
      </c>
      <c r="B68" s="8"/>
      <c r="C68" s="46" t="s">
        <v>341</v>
      </c>
      <c r="D68" s="214" t="s">
        <v>19</v>
      </c>
      <c r="E68" s="32"/>
      <c r="F68" s="17"/>
      <c r="G68" s="18">
        <f>+G67+E68-F68</f>
        <v>384</v>
      </c>
      <c r="H68" s="240"/>
      <c r="I68" s="7" t="s">
        <v>14</v>
      </c>
      <c r="J68" s="7"/>
    </row>
    <row r="69" spans="1:10" ht="18" customHeight="1" x14ac:dyDescent="0.25">
      <c r="A69" s="14">
        <f t="shared" si="0"/>
        <v>61</v>
      </c>
      <c r="B69" s="8"/>
      <c r="C69" s="46" t="s">
        <v>341</v>
      </c>
      <c r="D69" s="214" t="s">
        <v>19</v>
      </c>
      <c r="E69" s="32"/>
      <c r="F69" s="17"/>
      <c r="G69" s="18">
        <f>+G68+E69-F69</f>
        <v>384</v>
      </c>
      <c r="H69" s="240"/>
      <c r="I69" s="7" t="s">
        <v>14</v>
      </c>
      <c r="J69" s="7"/>
    </row>
    <row r="70" spans="1:10" ht="18" customHeight="1" x14ac:dyDescent="0.25">
      <c r="A70" s="14">
        <f t="shared" si="0"/>
        <v>62</v>
      </c>
      <c r="B70" s="8"/>
      <c r="C70" s="46" t="s">
        <v>341</v>
      </c>
      <c r="D70" s="214" t="s">
        <v>19</v>
      </c>
      <c r="E70" s="32"/>
      <c r="F70" s="17"/>
      <c r="G70" s="18">
        <f t="shared" si="1"/>
        <v>384</v>
      </c>
      <c r="H70" s="240"/>
      <c r="I70" s="7" t="s">
        <v>14</v>
      </c>
      <c r="J70" s="7"/>
    </row>
    <row r="71" spans="1:10" ht="18" customHeight="1" x14ac:dyDescent="0.25">
      <c r="A71" s="14">
        <f t="shared" si="0"/>
        <v>63</v>
      </c>
      <c r="B71" s="8"/>
      <c r="C71" s="46" t="s">
        <v>341</v>
      </c>
      <c r="D71" s="214" t="s">
        <v>19</v>
      </c>
      <c r="E71" s="32"/>
      <c r="F71" s="17"/>
      <c r="G71" s="18">
        <f t="shared" si="1"/>
        <v>384</v>
      </c>
      <c r="H71" s="240"/>
      <c r="I71" s="7" t="s">
        <v>14</v>
      </c>
      <c r="J71" s="7"/>
    </row>
    <row r="72" spans="1:10" ht="18" customHeight="1" x14ac:dyDescent="0.25">
      <c r="A72" s="14">
        <f>+A71+1</f>
        <v>64</v>
      </c>
      <c r="B72" s="8"/>
      <c r="C72" s="46" t="s">
        <v>341</v>
      </c>
      <c r="D72" s="214" t="s">
        <v>19</v>
      </c>
      <c r="E72" s="32"/>
      <c r="F72" s="17"/>
      <c r="G72" s="18">
        <f t="shared" si="1"/>
        <v>384</v>
      </c>
      <c r="H72" s="240"/>
      <c r="I72" s="7" t="s">
        <v>14</v>
      </c>
      <c r="J72" s="7"/>
    </row>
    <row r="73" spans="1:10" ht="18" customHeight="1" x14ac:dyDescent="0.25">
      <c r="A73" s="14">
        <f t="shared" si="0"/>
        <v>65</v>
      </c>
      <c r="B73" s="8"/>
      <c r="C73" s="46" t="s">
        <v>341</v>
      </c>
      <c r="D73" s="214" t="s">
        <v>19</v>
      </c>
      <c r="E73" s="32"/>
      <c r="F73" s="17"/>
      <c r="G73" s="18">
        <f t="shared" si="1"/>
        <v>384</v>
      </c>
      <c r="H73" s="240"/>
      <c r="I73" s="7" t="s">
        <v>14</v>
      </c>
      <c r="J73" s="7"/>
    </row>
    <row r="74" spans="1:10" ht="18" customHeight="1" x14ac:dyDescent="0.25">
      <c r="A74" s="14">
        <f t="shared" ref="A74:A107" si="2">+A73+1</f>
        <v>66</v>
      </c>
      <c r="B74" s="8"/>
      <c r="C74" s="46" t="s">
        <v>341</v>
      </c>
      <c r="D74" s="214" t="s">
        <v>19</v>
      </c>
      <c r="E74" s="32"/>
      <c r="F74" s="17"/>
      <c r="G74" s="18">
        <f t="shared" ref="G74:G91" si="3">+G73+E74-F74</f>
        <v>384</v>
      </c>
      <c r="H74" s="240"/>
      <c r="I74" s="7" t="s">
        <v>14</v>
      </c>
      <c r="J74" s="7"/>
    </row>
    <row r="75" spans="1:10" ht="18" customHeight="1" x14ac:dyDescent="0.25">
      <c r="A75" s="14">
        <f t="shared" si="2"/>
        <v>67</v>
      </c>
      <c r="B75" s="8"/>
      <c r="C75" s="46" t="s">
        <v>341</v>
      </c>
      <c r="D75" s="214" t="s">
        <v>19</v>
      </c>
      <c r="E75" s="32"/>
      <c r="F75" s="17"/>
      <c r="G75" s="18">
        <f t="shared" si="3"/>
        <v>384</v>
      </c>
      <c r="H75" s="240"/>
      <c r="I75" s="7" t="s">
        <v>14</v>
      </c>
      <c r="J75" s="7"/>
    </row>
    <row r="76" spans="1:10" ht="18" customHeight="1" x14ac:dyDescent="0.25">
      <c r="A76" s="14">
        <f t="shared" si="2"/>
        <v>68</v>
      </c>
      <c r="B76" s="8"/>
      <c r="C76" s="46" t="s">
        <v>341</v>
      </c>
      <c r="D76" s="214" t="s">
        <v>19</v>
      </c>
      <c r="E76" s="32"/>
      <c r="F76" s="17"/>
      <c r="G76" s="18">
        <f t="shared" si="3"/>
        <v>384</v>
      </c>
      <c r="H76" s="240"/>
      <c r="I76" s="7" t="s">
        <v>14</v>
      </c>
      <c r="J76" s="7"/>
    </row>
    <row r="77" spans="1:10" ht="18" customHeight="1" x14ac:dyDescent="0.25">
      <c r="A77" s="14">
        <f t="shared" si="2"/>
        <v>69</v>
      </c>
      <c r="B77" s="8"/>
      <c r="C77" s="46" t="s">
        <v>341</v>
      </c>
      <c r="D77" s="214" t="s">
        <v>19</v>
      </c>
      <c r="E77" s="32"/>
      <c r="F77" s="17"/>
      <c r="G77" s="18">
        <f t="shared" si="3"/>
        <v>384</v>
      </c>
      <c r="H77" s="240"/>
      <c r="I77" s="7" t="s">
        <v>14</v>
      </c>
      <c r="J77" s="7"/>
    </row>
    <row r="78" spans="1:10" ht="18" customHeight="1" x14ac:dyDescent="0.25">
      <c r="A78" s="14">
        <f t="shared" si="2"/>
        <v>70</v>
      </c>
      <c r="B78" s="8"/>
      <c r="C78" s="46" t="s">
        <v>341</v>
      </c>
      <c r="D78" s="214" t="s">
        <v>19</v>
      </c>
      <c r="E78" s="32"/>
      <c r="F78" s="17"/>
      <c r="G78" s="18">
        <f t="shared" si="3"/>
        <v>384</v>
      </c>
      <c r="H78" s="240"/>
      <c r="I78" s="7" t="s">
        <v>14</v>
      </c>
      <c r="J78" s="7"/>
    </row>
    <row r="79" spans="1:10" ht="18" customHeight="1" x14ac:dyDescent="0.25">
      <c r="A79" s="14">
        <f t="shared" si="2"/>
        <v>71</v>
      </c>
      <c r="B79" s="8"/>
      <c r="C79" s="46" t="s">
        <v>341</v>
      </c>
      <c r="D79" s="214" t="s">
        <v>19</v>
      </c>
      <c r="E79" s="32"/>
      <c r="F79" s="17"/>
      <c r="G79" s="18">
        <f t="shared" si="3"/>
        <v>384</v>
      </c>
      <c r="H79" s="240"/>
      <c r="I79" s="7" t="s">
        <v>14</v>
      </c>
      <c r="J79" s="7"/>
    </row>
    <row r="80" spans="1:10" ht="18" customHeight="1" x14ac:dyDescent="0.25">
      <c r="A80" s="14">
        <f t="shared" si="2"/>
        <v>72</v>
      </c>
      <c r="B80" s="8"/>
      <c r="C80" s="46" t="s">
        <v>341</v>
      </c>
      <c r="D80" s="214" t="s">
        <v>19</v>
      </c>
      <c r="E80" s="32"/>
      <c r="F80" s="17"/>
      <c r="G80" s="18">
        <f t="shared" si="3"/>
        <v>384</v>
      </c>
      <c r="H80" s="240"/>
      <c r="I80" s="7" t="s">
        <v>14</v>
      </c>
      <c r="J80" s="7"/>
    </row>
    <row r="81" spans="1:17" ht="18" customHeight="1" x14ac:dyDescent="0.25">
      <c r="A81" s="14">
        <f t="shared" si="2"/>
        <v>73</v>
      </c>
      <c r="B81" s="8"/>
      <c r="C81" s="46" t="s">
        <v>341</v>
      </c>
      <c r="D81" s="214" t="s">
        <v>19</v>
      </c>
      <c r="E81" s="32"/>
      <c r="F81" s="17"/>
      <c r="G81" s="18">
        <f t="shared" si="3"/>
        <v>384</v>
      </c>
      <c r="H81" s="240"/>
      <c r="I81" s="7" t="s">
        <v>14</v>
      </c>
      <c r="J81" s="7"/>
    </row>
    <row r="82" spans="1:17" ht="18" customHeight="1" x14ac:dyDescent="0.25">
      <c r="A82" s="14">
        <f t="shared" si="2"/>
        <v>74</v>
      </c>
      <c r="B82" s="8"/>
      <c r="C82" s="46" t="s">
        <v>341</v>
      </c>
      <c r="D82" s="214" t="s">
        <v>19</v>
      </c>
      <c r="E82" s="32"/>
      <c r="F82" s="17"/>
      <c r="G82" s="18">
        <f t="shared" si="3"/>
        <v>384</v>
      </c>
      <c r="H82" s="240"/>
      <c r="I82" s="7" t="s">
        <v>14</v>
      </c>
      <c r="J82" s="7"/>
    </row>
    <row r="83" spans="1:17" ht="18" customHeight="1" x14ac:dyDescent="0.25">
      <c r="A83" s="14">
        <f t="shared" si="2"/>
        <v>75</v>
      </c>
      <c r="B83" s="8"/>
      <c r="C83" s="46" t="s">
        <v>341</v>
      </c>
      <c r="D83" s="214" t="s">
        <v>19</v>
      </c>
      <c r="E83" s="32"/>
      <c r="F83" s="27"/>
      <c r="G83" s="18">
        <f t="shared" si="3"/>
        <v>384</v>
      </c>
      <c r="H83" s="240"/>
      <c r="I83" s="7" t="s">
        <v>14</v>
      </c>
      <c r="J83" s="7"/>
    </row>
    <row r="84" spans="1:17" ht="18" customHeight="1" x14ac:dyDescent="0.25">
      <c r="A84" s="14">
        <f t="shared" si="2"/>
        <v>76</v>
      </c>
      <c r="B84" s="8"/>
      <c r="C84" s="46" t="s">
        <v>341</v>
      </c>
      <c r="D84" s="214" t="s">
        <v>19</v>
      </c>
      <c r="E84" s="32"/>
      <c r="F84" s="17"/>
      <c r="G84" s="18">
        <f t="shared" si="3"/>
        <v>384</v>
      </c>
      <c r="H84" s="240"/>
      <c r="I84" s="7" t="s">
        <v>14</v>
      </c>
      <c r="J84" s="7"/>
    </row>
    <row r="85" spans="1:17" ht="18" customHeight="1" x14ac:dyDescent="0.25">
      <c r="A85" s="14">
        <f t="shared" si="2"/>
        <v>77</v>
      </c>
      <c r="B85" s="8"/>
      <c r="C85" s="46" t="s">
        <v>341</v>
      </c>
      <c r="D85" s="214" t="s">
        <v>19</v>
      </c>
      <c r="E85" s="32"/>
      <c r="F85" s="17"/>
      <c r="G85" s="18">
        <f t="shared" si="3"/>
        <v>384</v>
      </c>
      <c r="H85" s="240"/>
      <c r="I85" s="7" t="s">
        <v>14</v>
      </c>
      <c r="J85" s="7"/>
    </row>
    <row r="86" spans="1:17" ht="18" customHeight="1" x14ac:dyDescent="0.25">
      <c r="A86" s="14">
        <f t="shared" si="2"/>
        <v>78</v>
      </c>
      <c r="B86" s="8"/>
      <c r="C86" s="46" t="s">
        <v>341</v>
      </c>
      <c r="D86" s="214" t="s">
        <v>19</v>
      </c>
      <c r="E86" s="32"/>
      <c r="F86" s="17"/>
      <c r="G86" s="18">
        <f t="shared" si="3"/>
        <v>384</v>
      </c>
      <c r="H86" s="240"/>
      <c r="I86" s="7" t="s">
        <v>14</v>
      </c>
      <c r="J86" s="7"/>
    </row>
    <row r="87" spans="1:17" ht="18" customHeight="1" x14ac:dyDescent="0.25">
      <c r="A87" s="14">
        <f t="shared" si="2"/>
        <v>79</v>
      </c>
      <c r="B87" s="8"/>
      <c r="C87" s="46" t="s">
        <v>341</v>
      </c>
      <c r="D87" s="214" t="s">
        <v>19</v>
      </c>
      <c r="E87" s="32"/>
      <c r="F87" s="17"/>
      <c r="G87" s="18">
        <f t="shared" si="3"/>
        <v>384</v>
      </c>
      <c r="H87" s="240"/>
      <c r="I87" s="7" t="s">
        <v>14</v>
      </c>
      <c r="J87" s="7"/>
    </row>
    <row r="88" spans="1:17" ht="18" customHeight="1" x14ac:dyDescent="0.25">
      <c r="A88" s="14">
        <f t="shared" si="2"/>
        <v>80</v>
      </c>
      <c r="B88" s="8"/>
      <c r="C88" s="46" t="s">
        <v>341</v>
      </c>
      <c r="D88" s="214" t="s">
        <v>19</v>
      </c>
      <c r="E88" s="32"/>
      <c r="F88" s="17"/>
      <c r="G88" s="18">
        <f t="shared" si="3"/>
        <v>384</v>
      </c>
      <c r="H88" s="240"/>
      <c r="I88" s="7" t="s">
        <v>14</v>
      </c>
      <c r="J88" s="7"/>
    </row>
    <row r="89" spans="1:17" ht="18" customHeight="1" x14ac:dyDescent="0.25">
      <c r="A89" s="14">
        <f t="shared" si="2"/>
        <v>81</v>
      </c>
      <c r="B89" s="8"/>
      <c r="C89" s="46" t="s">
        <v>341</v>
      </c>
      <c r="D89" s="214" t="s">
        <v>19</v>
      </c>
      <c r="E89" s="32"/>
      <c r="F89" s="17"/>
      <c r="G89" s="18">
        <f t="shared" si="3"/>
        <v>384</v>
      </c>
      <c r="H89" s="240"/>
      <c r="I89" s="7" t="s">
        <v>14</v>
      </c>
      <c r="J89" s="7"/>
    </row>
    <row r="90" spans="1:17" ht="18" customHeight="1" x14ac:dyDescent="0.25">
      <c r="A90" s="14">
        <f t="shared" si="2"/>
        <v>82</v>
      </c>
      <c r="B90" s="8"/>
      <c r="C90" s="46" t="s">
        <v>341</v>
      </c>
      <c r="D90" s="214" t="s">
        <v>19</v>
      </c>
      <c r="E90" s="32"/>
      <c r="F90" s="17"/>
      <c r="G90" s="18">
        <f t="shared" si="3"/>
        <v>384</v>
      </c>
      <c r="H90" s="240"/>
      <c r="I90" s="7" t="s">
        <v>14</v>
      </c>
      <c r="J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341</v>
      </c>
      <c r="D91" s="214" t="s">
        <v>19</v>
      </c>
      <c r="E91" s="32"/>
      <c r="F91" s="27"/>
      <c r="G91" s="18">
        <f t="shared" si="3"/>
        <v>384</v>
      </c>
      <c r="H91" s="240"/>
      <c r="I91" s="7" t="s">
        <v>14</v>
      </c>
      <c r="J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341</v>
      </c>
      <c r="D92" s="214" t="s">
        <v>19</v>
      </c>
      <c r="E92" s="32"/>
      <c r="F92" s="27"/>
      <c r="G92" s="18">
        <f>+G91+E92-F92</f>
        <v>384</v>
      </c>
      <c r="H92" s="240"/>
      <c r="I92" s="7" t="s">
        <v>14</v>
      </c>
      <c r="J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341</v>
      </c>
      <c r="D93" s="244" t="s">
        <v>19</v>
      </c>
      <c r="E93" s="245"/>
      <c r="F93" s="52"/>
      <c r="G93" s="246">
        <f>+G92+E93-F93</f>
        <v>384</v>
      </c>
      <c r="H93" s="240"/>
      <c r="I93" s="247" t="s">
        <v>14</v>
      </c>
      <c r="J93" s="247"/>
      <c r="L93" s="248"/>
      <c r="Q93" s="248"/>
    </row>
    <row r="94" spans="1:17" s="179" customFormat="1" ht="18" customHeight="1" x14ac:dyDescent="0.25">
      <c r="A94" s="241"/>
      <c r="B94" s="242"/>
      <c r="C94" s="46" t="s">
        <v>341</v>
      </c>
      <c r="D94" s="244" t="s">
        <v>19</v>
      </c>
      <c r="E94" s="245"/>
      <c r="F94" s="52"/>
      <c r="G94" s="246">
        <f t="shared" ref="G94:G106" si="4">+G93+E94-F94</f>
        <v>384</v>
      </c>
      <c r="H94" s="240"/>
      <c r="I94" s="247" t="s">
        <v>14</v>
      </c>
      <c r="J94" s="247"/>
      <c r="L94" s="248"/>
      <c r="Q94" s="248"/>
    </row>
    <row r="95" spans="1:17" s="179" customFormat="1" ht="18" customHeight="1" x14ac:dyDescent="0.25">
      <c r="A95" s="241"/>
      <c r="B95" s="242"/>
      <c r="C95" s="46" t="s">
        <v>341</v>
      </c>
      <c r="D95" s="244" t="s">
        <v>19</v>
      </c>
      <c r="E95" s="245"/>
      <c r="F95" s="52"/>
      <c r="G95" s="246">
        <f t="shared" si="4"/>
        <v>384</v>
      </c>
      <c r="H95" s="240"/>
      <c r="I95" s="247" t="s">
        <v>14</v>
      </c>
      <c r="J95" s="247"/>
      <c r="L95" s="248"/>
      <c r="Q95" s="248"/>
    </row>
    <row r="96" spans="1:17" s="179" customFormat="1" ht="18" customHeight="1" x14ac:dyDescent="0.25">
      <c r="A96" s="241"/>
      <c r="B96" s="242"/>
      <c r="C96" s="46" t="s">
        <v>341</v>
      </c>
      <c r="D96" s="244" t="s">
        <v>19</v>
      </c>
      <c r="E96" s="245"/>
      <c r="F96" s="52"/>
      <c r="G96" s="246">
        <f t="shared" si="4"/>
        <v>384</v>
      </c>
      <c r="H96" s="240"/>
      <c r="I96" s="247" t="s">
        <v>14</v>
      </c>
      <c r="J96" s="247"/>
      <c r="L96" s="248"/>
      <c r="Q96" s="248"/>
    </row>
    <row r="97" spans="1:17" s="179" customFormat="1" ht="18" customHeight="1" x14ac:dyDescent="0.25">
      <c r="A97" s="241"/>
      <c r="B97" s="242"/>
      <c r="C97" s="46" t="s">
        <v>341</v>
      </c>
      <c r="D97" s="244" t="s">
        <v>19</v>
      </c>
      <c r="E97" s="245"/>
      <c r="F97" s="52"/>
      <c r="G97" s="246">
        <f t="shared" si="4"/>
        <v>384</v>
      </c>
      <c r="H97" s="240"/>
      <c r="I97" s="247" t="s">
        <v>14</v>
      </c>
      <c r="J97" s="247"/>
      <c r="L97" s="248"/>
      <c r="Q97" s="248"/>
    </row>
    <row r="98" spans="1:17" s="179" customFormat="1" ht="18" customHeight="1" x14ac:dyDescent="0.25">
      <c r="A98" s="241"/>
      <c r="B98" s="242"/>
      <c r="C98" s="46" t="s">
        <v>341</v>
      </c>
      <c r="D98" s="244" t="s">
        <v>19</v>
      </c>
      <c r="E98" s="245"/>
      <c r="F98" s="52"/>
      <c r="G98" s="246">
        <f t="shared" si="4"/>
        <v>384</v>
      </c>
      <c r="H98" s="240"/>
      <c r="I98" s="247" t="s">
        <v>14</v>
      </c>
      <c r="J98" s="247"/>
      <c r="L98" s="248"/>
      <c r="Q98" s="248"/>
    </row>
    <row r="99" spans="1:17" s="179" customFormat="1" ht="18" customHeight="1" x14ac:dyDescent="0.25">
      <c r="A99" s="241"/>
      <c r="B99" s="242"/>
      <c r="C99" s="46" t="s">
        <v>341</v>
      </c>
      <c r="D99" s="244" t="s">
        <v>19</v>
      </c>
      <c r="E99" s="245"/>
      <c r="F99" s="52"/>
      <c r="G99" s="246">
        <f t="shared" si="4"/>
        <v>384</v>
      </c>
      <c r="H99" s="240"/>
      <c r="I99" s="247" t="s">
        <v>14</v>
      </c>
      <c r="J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341</v>
      </c>
      <c r="D100" s="244" t="s">
        <v>19</v>
      </c>
      <c r="E100" s="245"/>
      <c r="F100" s="52"/>
      <c r="G100" s="246">
        <f t="shared" si="4"/>
        <v>384</v>
      </c>
      <c r="H100" s="240"/>
      <c r="I100" s="247" t="s">
        <v>14</v>
      </c>
      <c r="J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341</v>
      </c>
      <c r="D101" s="244"/>
      <c r="E101" s="245"/>
      <c r="F101" s="52"/>
      <c r="G101" s="246">
        <f t="shared" si="4"/>
        <v>384</v>
      </c>
      <c r="H101" s="240"/>
      <c r="I101" s="247"/>
      <c r="J101" s="247"/>
      <c r="L101" s="248"/>
      <c r="Q101" s="248"/>
    </row>
    <row r="102" spans="1:17" s="179" customFormat="1" ht="18" customHeight="1" x14ac:dyDescent="0.25">
      <c r="A102" s="241"/>
      <c r="B102" s="242"/>
      <c r="C102" s="46" t="s">
        <v>341</v>
      </c>
      <c r="D102" s="244"/>
      <c r="E102" s="245"/>
      <c r="F102" s="52"/>
      <c r="G102" s="246">
        <f t="shared" si="4"/>
        <v>384</v>
      </c>
      <c r="H102" s="240"/>
      <c r="I102" s="247"/>
      <c r="J102" s="247"/>
      <c r="L102" s="248"/>
      <c r="Q102" s="248"/>
    </row>
    <row r="103" spans="1:17" s="179" customFormat="1" ht="18" customHeight="1" x14ac:dyDescent="0.25">
      <c r="A103" s="241"/>
      <c r="B103" s="242"/>
      <c r="C103" s="46" t="s">
        <v>341</v>
      </c>
      <c r="D103" s="244"/>
      <c r="E103" s="245"/>
      <c r="F103" s="52"/>
      <c r="G103" s="246">
        <f t="shared" si="4"/>
        <v>384</v>
      </c>
      <c r="H103" s="240"/>
      <c r="I103" s="247"/>
      <c r="J103" s="247"/>
      <c r="L103" s="248"/>
      <c r="Q103" s="248"/>
    </row>
    <row r="104" spans="1:17" s="179" customFormat="1" ht="18" customHeight="1" x14ac:dyDescent="0.25">
      <c r="A104" s="241"/>
      <c r="B104" s="242"/>
      <c r="C104" s="46" t="s">
        <v>341</v>
      </c>
      <c r="D104" s="244"/>
      <c r="E104" s="245"/>
      <c r="F104" s="52"/>
      <c r="G104" s="246">
        <f t="shared" si="4"/>
        <v>384</v>
      </c>
      <c r="H104" s="240"/>
      <c r="I104" s="247"/>
      <c r="J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384</v>
      </c>
      <c r="H105" s="28"/>
      <c r="I105" s="7"/>
      <c r="J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384</v>
      </c>
      <c r="H106" s="28"/>
      <c r="I106" s="7"/>
      <c r="J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384</v>
      </c>
      <c r="H107" s="28"/>
      <c r="I107" s="7"/>
      <c r="J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0</v>
      </c>
      <c r="G108" s="35">
        <f>+E108-F108+G8</f>
        <v>384</v>
      </c>
      <c r="H108" s="35"/>
      <c r="I108" s="36"/>
      <c r="J108" s="7">
        <f>SUM(J9:J107)</f>
        <v>8</v>
      </c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1CDC-4559-4682-B420-69B28D0E79A9}">
  <sheetPr codeName="Sheet88"/>
  <dimension ref="A1:Q119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5127</v>
      </c>
      <c r="H8" s="7"/>
      <c r="I8" s="7"/>
      <c r="J8" s="7"/>
      <c r="K8" s="7"/>
    </row>
    <row r="9" spans="1:13" ht="17.25" customHeight="1" x14ac:dyDescent="0.25">
      <c r="A9" s="14">
        <v>1</v>
      </c>
      <c r="B9" s="8">
        <v>45728</v>
      </c>
      <c r="C9" s="46" t="s">
        <v>179</v>
      </c>
      <c r="D9" s="214" t="s">
        <v>19</v>
      </c>
      <c r="E9" s="30"/>
      <c r="F9" s="27">
        <v>309.5</v>
      </c>
      <c r="G9" s="18">
        <f>+G8+E9-F9</f>
        <v>4817.5</v>
      </c>
      <c r="H9" s="28" t="s">
        <v>91</v>
      </c>
      <c r="I9" s="7" t="s">
        <v>90</v>
      </c>
      <c r="J9" s="7">
        <v>4</v>
      </c>
      <c r="K9" s="7">
        <v>1457</v>
      </c>
      <c r="L9">
        <f>362.5+401.5+338.5+348.5</f>
        <v>1451</v>
      </c>
      <c r="M9">
        <f>+K9-L9</f>
        <v>6</v>
      </c>
    </row>
    <row r="10" spans="1:13" ht="17.25" customHeight="1" x14ac:dyDescent="0.25">
      <c r="A10" s="14">
        <f t="shared" ref="A10:A73" si="0">+A9+1</f>
        <v>2</v>
      </c>
      <c r="B10" s="8">
        <v>45926</v>
      </c>
      <c r="C10" s="46" t="s">
        <v>179</v>
      </c>
      <c r="D10" s="214" t="s">
        <v>19</v>
      </c>
      <c r="E10" s="11"/>
      <c r="F10" s="27">
        <v>706</v>
      </c>
      <c r="G10" s="18">
        <f t="shared" ref="G10:G73" si="1">+G9+E10-F10</f>
        <v>4111.5</v>
      </c>
      <c r="H10" s="28" t="s">
        <v>140</v>
      </c>
      <c r="I10" s="7" t="s">
        <v>90</v>
      </c>
      <c r="J10" s="7"/>
      <c r="K10" s="7"/>
    </row>
    <row r="11" spans="1:13" ht="18" customHeight="1" x14ac:dyDescent="0.25">
      <c r="A11" s="14">
        <f t="shared" si="0"/>
        <v>3</v>
      </c>
      <c r="B11" s="8"/>
      <c r="C11" s="46" t="s">
        <v>179</v>
      </c>
      <c r="D11" s="214" t="s">
        <v>19</v>
      </c>
      <c r="E11" s="16"/>
      <c r="F11" s="27"/>
      <c r="G11" s="18">
        <f t="shared" si="1"/>
        <v>4111.5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/>
      <c r="C12" s="46" t="s">
        <v>179</v>
      </c>
      <c r="D12" s="214" t="s">
        <v>19</v>
      </c>
      <c r="E12" s="16"/>
      <c r="F12" s="17"/>
      <c r="G12" s="18">
        <f t="shared" si="1"/>
        <v>4111.5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 t="s">
        <v>179</v>
      </c>
      <c r="D13" s="214" t="s">
        <v>19</v>
      </c>
      <c r="E13" s="16"/>
      <c r="F13" s="17"/>
      <c r="G13" s="18">
        <f t="shared" si="1"/>
        <v>4111.5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 t="s">
        <v>179</v>
      </c>
      <c r="D14" s="214" t="s">
        <v>19</v>
      </c>
      <c r="E14" s="16"/>
      <c r="F14" s="118"/>
      <c r="G14" s="18">
        <f t="shared" si="1"/>
        <v>4111.5</v>
      </c>
      <c r="H14" s="28" t="s">
        <v>91</v>
      </c>
      <c r="I14" s="7" t="s">
        <v>90</v>
      </c>
      <c r="J14" s="7"/>
      <c r="K14" s="7"/>
    </row>
    <row r="15" spans="1:13" ht="18" customHeight="1" x14ac:dyDescent="0.25">
      <c r="A15" s="14">
        <f t="shared" si="0"/>
        <v>7</v>
      </c>
      <c r="B15" s="8"/>
      <c r="C15" s="46" t="s">
        <v>179</v>
      </c>
      <c r="D15" s="214" t="s">
        <v>19</v>
      </c>
      <c r="E15" s="16"/>
      <c r="F15" s="27"/>
      <c r="G15" s="18">
        <f t="shared" si="1"/>
        <v>4111.5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 t="s">
        <v>179</v>
      </c>
      <c r="D16" s="214" t="s">
        <v>19</v>
      </c>
      <c r="E16" s="16"/>
      <c r="F16" s="27"/>
      <c r="G16" s="18">
        <f t="shared" si="1"/>
        <v>4111.5</v>
      </c>
      <c r="H16" s="28" t="s">
        <v>91</v>
      </c>
      <c r="I16" s="7" t="s">
        <v>90</v>
      </c>
      <c r="J16" s="7"/>
      <c r="K16" s="7"/>
    </row>
    <row r="17" spans="1:16" ht="18" customHeight="1" x14ac:dyDescent="0.25">
      <c r="A17" s="14">
        <f t="shared" si="0"/>
        <v>9</v>
      </c>
      <c r="B17" s="8"/>
      <c r="C17" s="46" t="s">
        <v>179</v>
      </c>
      <c r="D17" s="214" t="s">
        <v>19</v>
      </c>
      <c r="E17" s="30"/>
      <c r="F17" s="27"/>
      <c r="G17" s="18">
        <f t="shared" si="1"/>
        <v>4111.5</v>
      </c>
      <c r="H17" s="28" t="s">
        <v>91</v>
      </c>
      <c r="I17" s="7" t="s">
        <v>90</v>
      </c>
      <c r="J17" s="7"/>
      <c r="K17" s="7"/>
    </row>
    <row r="18" spans="1:16" s="230" customFormat="1" ht="18" customHeight="1" x14ac:dyDescent="0.25">
      <c r="A18" s="223">
        <f>+A17+1</f>
        <v>10</v>
      </c>
      <c r="B18" s="224"/>
      <c r="C18" s="46" t="s">
        <v>179</v>
      </c>
      <c r="D18" s="226" t="s">
        <v>19</v>
      </c>
      <c r="E18" s="227"/>
      <c r="F18" s="228"/>
      <c r="G18" s="229">
        <f t="shared" si="1"/>
        <v>4111.5</v>
      </c>
      <c r="H18" s="28" t="s">
        <v>91</v>
      </c>
      <c r="I18" s="7" t="s">
        <v>90</v>
      </c>
      <c r="J18" s="348"/>
      <c r="K18" s="348"/>
    </row>
    <row r="19" spans="1:16" s="230" customFormat="1" ht="18" customHeight="1" x14ac:dyDescent="0.25">
      <c r="A19" s="223">
        <f t="shared" si="0"/>
        <v>11</v>
      </c>
      <c r="B19" s="224"/>
      <c r="C19" s="46" t="s">
        <v>179</v>
      </c>
      <c r="D19" s="226" t="s">
        <v>19</v>
      </c>
      <c r="E19" s="231"/>
      <c r="F19" s="228"/>
      <c r="G19" s="229">
        <f t="shared" si="1"/>
        <v>4111.5</v>
      </c>
      <c r="H19" s="28" t="s">
        <v>91</v>
      </c>
      <c r="I19" s="7" t="s">
        <v>90</v>
      </c>
      <c r="J19" s="348"/>
      <c r="K19" s="348"/>
    </row>
    <row r="20" spans="1:16" ht="18" customHeight="1" x14ac:dyDescent="0.25">
      <c r="A20" s="14">
        <f t="shared" si="0"/>
        <v>12</v>
      </c>
      <c r="B20" s="8"/>
      <c r="C20" s="46" t="s">
        <v>179</v>
      </c>
      <c r="D20" s="214" t="s">
        <v>19</v>
      </c>
      <c r="E20" s="32"/>
      <c r="F20" s="17"/>
      <c r="G20" s="18">
        <f t="shared" si="1"/>
        <v>4111.5</v>
      </c>
      <c r="H20" s="28" t="s">
        <v>91</v>
      </c>
      <c r="I20" s="7" t="s">
        <v>90</v>
      </c>
      <c r="J20" s="7"/>
      <c r="K20" s="7"/>
      <c r="N20" s="26"/>
    </row>
    <row r="21" spans="1:16" ht="18" customHeight="1" x14ac:dyDescent="0.25">
      <c r="A21" s="14">
        <f t="shared" si="0"/>
        <v>13</v>
      </c>
      <c r="B21" s="8"/>
      <c r="C21" s="46" t="s">
        <v>179</v>
      </c>
      <c r="D21" s="214" t="s">
        <v>19</v>
      </c>
      <c r="E21" s="32"/>
      <c r="F21" s="27"/>
      <c r="G21" s="18">
        <f t="shared" si="1"/>
        <v>4111.5</v>
      </c>
      <c r="H21" s="28" t="s">
        <v>91</v>
      </c>
      <c r="I21" s="7" t="s">
        <v>90</v>
      </c>
      <c r="J21" s="7"/>
      <c r="K21" s="7"/>
    </row>
    <row r="22" spans="1:16" ht="18" customHeight="1" x14ac:dyDescent="0.25">
      <c r="A22" s="14">
        <f t="shared" si="0"/>
        <v>14</v>
      </c>
      <c r="B22" s="232"/>
      <c r="C22" s="46" t="s">
        <v>179</v>
      </c>
      <c r="D22" s="234" t="s">
        <v>19</v>
      </c>
      <c r="E22" s="235"/>
      <c r="F22" s="172"/>
      <c r="G22" s="18">
        <f t="shared" si="1"/>
        <v>4111.5</v>
      </c>
      <c r="H22" s="28" t="s">
        <v>129</v>
      </c>
      <c r="I22" s="7" t="s">
        <v>90</v>
      </c>
      <c r="J22" s="7"/>
      <c r="K22" s="7"/>
      <c r="P22">
        <f>200*100</f>
        <v>20000</v>
      </c>
    </row>
    <row r="23" spans="1:16" ht="18" customHeight="1" x14ac:dyDescent="0.25">
      <c r="A23" s="14">
        <f t="shared" si="0"/>
        <v>15</v>
      </c>
      <c r="B23" s="8"/>
      <c r="C23" s="46" t="s">
        <v>179</v>
      </c>
      <c r="D23" s="214" t="s">
        <v>19</v>
      </c>
      <c r="E23" s="32"/>
      <c r="F23" s="17"/>
      <c r="G23" s="18">
        <f t="shared" si="1"/>
        <v>4111.5</v>
      </c>
      <c r="H23" s="28" t="s">
        <v>129</v>
      </c>
      <c r="I23" s="7" t="s">
        <v>142</v>
      </c>
      <c r="J23" s="7"/>
      <c r="K23" s="7"/>
      <c r="P23">
        <f>+P22*0.083</f>
        <v>1660</v>
      </c>
    </row>
    <row r="24" spans="1:16" ht="18" customHeight="1" x14ac:dyDescent="0.25">
      <c r="A24" s="14">
        <f t="shared" si="0"/>
        <v>16</v>
      </c>
      <c r="B24" s="8"/>
      <c r="C24" s="46" t="s">
        <v>179</v>
      </c>
      <c r="D24" s="214" t="s">
        <v>19</v>
      </c>
      <c r="E24" s="32"/>
      <c r="F24" s="17"/>
      <c r="G24" s="18">
        <f t="shared" si="1"/>
        <v>4111.5</v>
      </c>
      <c r="H24" s="28" t="s">
        <v>91</v>
      </c>
      <c r="I24" s="7" t="s">
        <v>90</v>
      </c>
      <c r="J24" s="7"/>
      <c r="K24" s="7"/>
    </row>
    <row r="25" spans="1:16" ht="18" customHeight="1" x14ac:dyDescent="0.25">
      <c r="A25" s="14">
        <f t="shared" si="0"/>
        <v>17</v>
      </c>
      <c r="B25" s="8"/>
      <c r="C25" s="46" t="s">
        <v>179</v>
      </c>
      <c r="D25" s="214" t="s">
        <v>19</v>
      </c>
      <c r="E25" s="32"/>
      <c r="F25" s="17"/>
      <c r="G25" s="18">
        <f t="shared" si="1"/>
        <v>4111.5</v>
      </c>
      <c r="H25" s="28" t="s">
        <v>91</v>
      </c>
      <c r="I25" s="7" t="s">
        <v>90</v>
      </c>
      <c r="J25" s="7"/>
      <c r="K25" s="7"/>
    </row>
    <row r="26" spans="1:16" ht="18" customHeight="1" x14ac:dyDescent="0.25">
      <c r="A26" s="14">
        <f t="shared" si="0"/>
        <v>18</v>
      </c>
      <c r="B26" s="8"/>
      <c r="C26" s="46" t="s">
        <v>179</v>
      </c>
      <c r="D26" s="214" t="s">
        <v>19</v>
      </c>
      <c r="E26" s="32"/>
      <c r="F26" s="17"/>
      <c r="G26" s="18">
        <f t="shared" si="1"/>
        <v>4111.5</v>
      </c>
      <c r="H26" s="28" t="s">
        <v>91</v>
      </c>
      <c r="I26" s="7" t="s">
        <v>90</v>
      </c>
      <c r="J26" s="7"/>
      <c r="K26" s="7"/>
    </row>
    <row r="27" spans="1:16" ht="18" customHeight="1" x14ac:dyDescent="0.25">
      <c r="A27" s="14">
        <f>+A26+1</f>
        <v>19</v>
      </c>
      <c r="B27" s="8"/>
      <c r="C27" s="46" t="s">
        <v>179</v>
      </c>
      <c r="D27" s="214" t="s">
        <v>19</v>
      </c>
      <c r="E27" s="32"/>
      <c r="F27" s="17"/>
      <c r="G27" s="18">
        <f t="shared" si="1"/>
        <v>4111.5</v>
      </c>
      <c r="H27" s="28" t="s">
        <v>91</v>
      </c>
      <c r="I27" s="7" t="s">
        <v>90</v>
      </c>
      <c r="J27" s="7"/>
      <c r="K27" s="7"/>
    </row>
    <row r="28" spans="1:16" ht="18" customHeight="1" x14ac:dyDescent="0.25">
      <c r="A28" s="14">
        <f t="shared" si="0"/>
        <v>20</v>
      </c>
      <c r="B28" s="8"/>
      <c r="C28" s="46" t="s">
        <v>179</v>
      </c>
      <c r="D28" s="214" t="s">
        <v>19</v>
      </c>
      <c r="E28" s="129"/>
      <c r="F28" s="17"/>
      <c r="G28" s="18">
        <f t="shared" si="1"/>
        <v>4111.5</v>
      </c>
      <c r="H28" s="28" t="s">
        <v>91</v>
      </c>
      <c r="I28" s="7" t="s">
        <v>90</v>
      </c>
      <c r="J28" s="7"/>
      <c r="K28" s="7"/>
    </row>
    <row r="29" spans="1:16" ht="18" customHeight="1" x14ac:dyDescent="0.25">
      <c r="A29" s="14">
        <f t="shared" si="0"/>
        <v>21</v>
      </c>
      <c r="B29" s="8"/>
      <c r="C29" s="46" t="s">
        <v>179</v>
      </c>
      <c r="D29" s="214" t="s">
        <v>19</v>
      </c>
      <c r="E29" s="32"/>
      <c r="F29" s="172"/>
      <c r="G29" s="18">
        <f t="shared" si="1"/>
        <v>4111.5</v>
      </c>
      <c r="H29" s="28" t="s">
        <v>91</v>
      </c>
      <c r="I29" s="7" t="s">
        <v>90</v>
      </c>
      <c r="J29" s="7"/>
      <c r="K29" s="7"/>
    </row>
    <row r="30" spans="1:16" ht="18" customHeight="1" x14ac:dyDescent="0.25">
      <c r="A30" s="14">
        <f t="shared" si="0"/>
        <v>22</v>
      </c>
      <c r="B30" s="8"/>
      <c r="C30" s="46" t="s">
        <v>179</v>
      </c>
      <c r="D30" s="214" t="s">
        <v>19</v>
      </c>
      <c r="E30" s="32"/>
      <c r="F30" s="17"/>
      <c r="G30" s="18">
        <f t="shared" si="1"/>
        <v>4111.5</v>
      </c>
      <c r="H30" s="28" t="s">
        <v>91</v>
      </c>
      <c r="I30" s="7" t="s">
        <v>90</v>
      </c>
      <c r="J30" s="7"/>
      <c r="K30" s="7"/>
    </row>
    <row r="31" spans="1:16" ht="18" customHeight="1" x14ac:dyDescent="0.25">
      <c r="A31" s="14">
        <f t="shared" si="0"/>
        <v>23</v>
      </c>
      <c r="B31" s="8"/>
      <c r="C31" s="46" t="s">
        <v>179</v>
      </c>
      <c r="D31" s="214" t="s">
        <v>19</v>
      </c>
      <c r="E31" s="32"/>
      <c r="F31" s="17"/>
      <c r="G31" s="18">
        <f t="shared" si="1"/>
        <v>4111.5</v>
      </c>
      <c r="H31" s="28" t="s">
        <v>91</v>
      </c>
      <c r="I31" s="7" t="s">
        <v>90</v>
      </c>
      <c r="J31" s="7"/>
      <c r="K31" s="7"/>
    </row>
    <row r="32" spans="1:16" ht="17.25" customHeight="1" x14ac:dyDescent="0.25">
      <c r="A32" s="14">
        <f t="shared" si="0"/>
        <v>24</v>
      </c>
      <c r="B32" s="8"/>
      <c r="C32" s="46" t="s">
        <v>179</v>
      </c>
      <c r="D32" s="214" t="s">
        <v>19</v>
      </c>
      <c r="E32" s="13"/>
      <c r="F32" s="17"/>
      <c r="G32" s="18">
        <f t="shared" si="1"/>
        <v>4111.5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179</v>
      </c>
      <c r="D33" s="214" t="s">
        <v>19</v>
      </c>
      <c r="E33" s="13"/>
      <c r="F33" s="17"/>
      <c r="G33" s="18">
        <f t="shared" si="1"/>
        <v>4111.5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179</v>
      </c>
      <c r="D34" s="214" t="s">
        <v>19</v>
      </c>
      <c r="E34" s="32"/>
      <c r="F34" s="40"/>
      <c r="G34" s="18">
        <f t="shared" si="1"/>
        <v>4111.5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179</v>
      </c>
      <c r="D35" s="214" t="s">
        <v>19</v>
      </c>
      <c r="E35" s="32"/>
      <c r="F35" s="40"/>
      <c r="G35" s="18">
        <f t="shared" si="1"/>
        <v>4111.5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179</v>
      </c>
      <c r="D36" s="214" t="s">
        <v>19</v>
      </c>
      <c r="E36" s="32"/>
      <c r="F36" s="40"/>
      <c r="G36" s="18">
        <f t="shared" si="1"/>
        <v>4111.5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179</v>
      </c>
      <c r="D37" s="214" t="s">
        <v>19</v>
      </c>
      <c r="E37" s="32"/>
      <c r="F37" s="17"/>
      <c r="G37" s="18">
        <f t="shared" si="1"/>
        <v>4111.5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179</v>
      </c>
      <c r="D38" s="214" t="s">
        <v>19</v>
      </c>
      <c r="E38" s="32"/>
      <c r="F38" s="17"/>
      <c r="G38" s="18">
        <f t="shared" si="1"/>
        <v>4111.5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179</v>
      </c>
      <c r="D39" s="214" t="s">
        <v>19</v>
      </c>
      <c r="E39" s="32"/>
      <c r="F39" s="17"/>
      <c r="G39" s="18">
        <f t="shared" si="1"/>
        <v>4111.5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179</v>
      </c>
      <c r="D40" s="214" t="s">
        <v>19</v>
      </c>
      <c r="E40" s="32"/>
      <c r="F40" s="17"/>
      <c r="G40" s="18">
        <f t="shared" si="1"/>
        <v>4111.5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179</v>
      </c>
      <c r="D41" s="214" t="s">
        <v>19</v>
      </c>
      <c r="E41" s="32"/>
      <c r="F41" s="172"/>
      <c r="G41" s="18">
        <f t="shared" si="1"/>
        <v>4111.5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179</v>
      </c>
      <c r="D42" s="214" t="s">
        <v>19</v>
      </c>
      <c r="E42" s="32"/>
      <c r="F42" s="17"/>
      <c r="G42" s="18">
        <f t="shared" si="1"/>
        <v>4111.5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179</v>
      </c>
      <c r="D43" s="214" t="s">
        <v>19</v>
      </c>
      <c r="E43" s="32"/>
      <c r="F43" s="17"/>
      <c r="G43" s="18">
        <f t="shared" si="1"/>
        <v>4111.5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179</v>
      </c>
      <c r="D44" s="214" t="s">
        <v>19</v>
      </c>
      <c r="E44" s="32"/>
      <c r="F44" s="17"/>
      <c r="G44" s="18">
        <f t="shared" si="1"/>
        <v>4111.5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179</v>
      </c>
      <c r="D45" s="214" t="s">
        <v>19</v>
      </c>
      <c r="E45" s="32"/>
      <c r="F45" s="17"/>
      <c r="G45" s="18">
        <f t="shared" si="1"/>
        <v>4111.5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179</v>
      </c>
      <c r="D46" s="214" t="s">
        <v>19</v>
      </c>
      <c r="E46" s="32"/>
      <c r="F46" s="17"/>
      <c r="G46" s="18">
        <f t="shared" si="1"/>
        <v>4111.5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179</v>
      </c>
      <c r="D47" s="214" t="s">
        <v>19</v>
      </c>
      <c r="E47" s="32"/>
      <c r="F47" s="17"/>
      <c r="G47" s="18">
        <f t="shared" si="1"/>
        <v>4111.5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179</v>
      </c>
      <c r="D48" s="214" t="s">
        <v>19</v>
      </c>
      <c r="E48" s="32"/>
      <c r="F48" s="17"/>
      <c r="G48" s="18">
        <f t="shared" si="1"/>
        <v>4111.5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179</v>
      </c>
      <c r="D49" s="214" t="s">
        <v>19</v>
      </c>
      <c r="E49" s="32"/>
      <c r="F49" s="17"/>
      <c r="G49" s="18">
        <f t="shared" si="1"/>
        <v>4111.5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179</v>
      </c>
      <c r="D50" s="237" t="s">
        <v>19</v>
      </c>
      <c r="E50" s="175"/>
      <c r="F50" s="172"/>
      <c r="G50" s="238">
        <f t="shared" si="1"/>
        <v>4111.5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179</v>
      </c>
      <c r="D51" s="214" t="s">
        <v>19</v>
      </c>
      <c r="E51" s="32"/>
      <c r="F51" s="17"/>
      <c r="G51" s="18">
        <f t="shared" si="1"/>
        <v>4111.5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179</v>
      </c>
      <c r="D52" s="214" t="s">
        <v>19</v>
      </c>
      <c r="E52" s="32"/>
      <c r="F52" s="17"/>
      <c r="G52" s="18">
        <f t="shared" si="1"/>
        <v>4111.5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179</v>
      </c>
      <c r="D53" s="214" t="s">
        <v>19</v>
      </c>
      <c r="E53" s="32"/>
      <c r="F53" s="17"/>
      <c r="G53" s="18">
        <f t="shared" si="1"/>
        <v>4111.5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179</v>
      </c>
      <c r="D54" s="214" t="s">
        <v>19</v>
      </c>
      <c r="E54" s="32"/>
      <c r="F54" s="17"/>
      <c r="G54" s="18">
        <f t="shared" si="1"/>
        <v>4111.5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179</v>
      </c>
      <c r="D55" s="214" t="s">
        <v>19</v>
      </c>
      <c r="E55" s="32"/>
      <c r="F55" s="17"/>
      <c r="G55" s="18">
        <f t="shared" si="1"/>
        <v>4111.5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179</v>
      </c>
      <c r="D56" s="214" t="s">
        <v>19</v>
      </c>
      <c r="E56" s="32"/>
      <c r="F56" s="17"/>
      <c r="G56" s="18">
        <f t="shared" si="1"/>
        <v>4111.5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179</v>
      </c>
      <c r="D57" s="214" t="s">
        <v>19</v>
      </c>
      <c r="E57" s="32"/>
      <c r="F57" s="17"/>
      <c r="G57" s="18">
        <f t="shared" si="1"/>
        <v>4111.5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179</v>
      </c>
      <c r="D58" s="214" t="s">
        <v>19</v>
      </c>
      <c r="E58" s="32"/>
      <c r="F58" s="17"/>
      <c r="G58" s="18">
        <f t="shared" si="1"/>
        <v>4111.5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179</v>
      </c>
      <c r="D59" s="214" t="s">
        <v>19</v>
      </c>
      <c r="E59" s="32"/>
      <c r="F59" s="17"/>
      <c r="G59" s="18">
        <f t="shared" si="1"/>
        <v>4111.5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179</v>
      </c>
      <c r="D60" s="214" t="s">
        <v>19</v>
      </c>
      <c r="E60" s="32"/>
      <c r="F60" s="17"/>
      <c r="G60" s="18">
        <f t="shared" si="1"/>
        <v>4111.5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179</v>
      </c>
      <c r="D61" s="214" t="s">
        <v>19</v>
      </c>
      <c r="E61" s="32"/>
      <c r="F61" s="17"/>
      <c r="G61" s="18">
        <f t="shared" si="1"/>
        <v>4111.5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179</v>
      </c>
      <c r="D62" s="214" t="s">
        <v>19</v>
      </c>
      <c r="E62" s="32"/>
      <c r="F62" s="17"/>
      <c r="G62" s="18">
        <f t="shared" si="1"/>
        <v>4111.5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179</v>
      </c>
      <c r="D63" s="214" t="s">
        <v>19</v>
      </c>
      <c r="E63" s="32"/>
      <c r="F63" s="17"/>
      <c r="G63" s="18">
        <f t="shared" si="1"/>
        <v>4111.5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179</v>
      </c>
      <c r="D64" s="214" t="s">
        <v>19</v>
      </c>
      <c r="E64" s="32"/>
      <c r="F64" s="17"/>
      <c r="G64" s="18">
        <f t="shared" si="1"/>
        <v>4111.5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179</v>
      </c>
      <c r="D65" s="214" t="s">
        <v>19</v>
      </c>
      <c r="E65" s="32"/>
      <c r="F65" s="17"/>
      <c r="G65" s="18">
        <f t="shared" si="1"/>
        <v>4111.5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179</v>
      </c>
      <c r="D66" s="214" t="s">
        <v>19</v>
      </c>
      <c r="E66" s="32"/>
      <c r="F66" s="17"/>
      <c r="G66" s="18">
        <f t="shared" si="1"/>
        <v>4111.5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179</v>
      </c>
      <c r="D67" s="214" t="s">
        <v>19</v>
      </c>
      <c r="E67" s="32"/>
      <c r="F67" s="17"/>
      <c r="G67" s="18">
        <f>+G66+E67-F67</f>
        <v>4111.5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179</v>
      </c>
      <c r="D68" s="214" t="s">
        <v>19</v>
      </c>
      <c r="E68" s="32"/>
      <c r="F68" s="17"/>
      <c r="G68" s="18">
        <f>+G67+E68-F68</f>
        <v>4111.5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179</v>
      </c>
      <c r="D69" s="214" t="s">
        <v>19</v>
      </c>
      <c r="E69" s="32"/>
      <c r="F69" s="17"/>
      <c r="G69" s="18">
        <f>+G68+E69-F69</f>
        <v>4111.5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179</v>
      </c>
      <c r="D70" s="214" t="s">
        <v>19</v>
      </c>
      <c r="E70" s="32"/>
      <c r="F70" s="17"/>
      <c r="G70" s="18">
        <f t="shared" si="1"/>
        <v>4111.5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179</v>
      </c>
      <c r="D71" s="214" t="s">
        <v>19</v>
      </c>
      <c r="E71" s="32"/>
      <c r="F71" s="17"/>
      <c r="G71" s="18">
        <f t="shared" si="1"/>
        <v>4111.5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179</v>
      </c>
      <c r="D72" s="214" t="s">
        <v>19</v>
      </c>
      <c r="E72" s="32"/>
      <c r="F72" s="17"/>
      <c r="G72" s="18">
        <f t="shared" si="1"/>
        <v>4111.5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179</v>
      </c>
      <c r="D73" s="214" t="s">
        <v>19</v>
      </c>
      <c r="E73" s="32"/>
      <c r="F73" s="17"/>
      <c r="G73" s="18">
        <f t="shared" si="1"/>
        <v>4111.5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179</v>
      </c>
      <c r="D74" s="214" t="s">
        <v>19</v>
      </c>
      <c r="E74" s="32"/>
      <c r="F74" s="17"/>
      <c r="G74" s="18">
        <f t="shared" ref="G74:G91" si="3">+G73+E74-F74</f>
        <v>4111.5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179</v>
      </c>
      <c r="D75" s="214" t="s">
        <v>19</v>
      </c>
      <c r="E75" s="32"/>
      <c r="F75" s="17"/>
      <c r="G75" s="18">
        <f t="shared" si="3"/>
        <v>4111.5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179</v>
      </c>
      <c r="D76" s="214" t="s">
        <v>19</v>
      </c>
      <c r="E76" s="32"/>
      <c r="F76" s="17"/>
      <c r="G76" s="18">
        <f t="shared" si="3"/>
        <v>4111.5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179</v>
      </c>
      <c r="D77" s="214" t="s">
        <v>19</v>
      </c>
      <c r="E77" s="32"/>
      <c r="F77" s="17"/>
      <c r="G77" s="18">
        <f t="shared" si="3"/>
        <v>4111.5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179</v>
      </c>
      <c r="D78" s="214" t="s">
        <v>19</v>
      </c>
      <c r="E78" s="32"/>
      <c r="F78" s="17"/>
      <c r="G78" s="18">
        <f t="shared" si="3"/>
        <v>4111.5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179</v>
      </c>
      <c r="D79" s="214" t="s">
        <v>19</v>
      </c>
      <c r="E79" s="32"/>
      <c r="F79" s="17"/>
      <c r="G79" s="18">
        <f t="shared" si="3"/>
        <v>4111.5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179</v>
      </c>
      <c r="D80" s="214" t="s">
        <v>19</v>
      </c>
      <c r="E80" s="32"/>
      <c r="F80" s="17"/>
      <c r="G80" s="18">
        <f t="shared" si="3"/>
        <v>4111.5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179</v>
      </c>
      <c r="D81" s="214" t="s">
        <v>19</v>
      </c>
      <c r="E81" s="32"/>
      <c r="F81" s="17"/>
      <c r="G81" s="18">
        <f t="shared" si="3"/>
        <v>4111.5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179</v>
      </c>
      <c r="D82" s="214" t="s">
        <v>19</v>
      </c>
      <c r="E82" s="32"/>
      <c r="F82" s="17"/>
      <c r="G82" s="18">
        <f t="shared" si="3"/>
        <v>4111.5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179</v>
      </c>
      <c r="D83" s="214" t="s">
        <v>19</v>
      </c>
      <c r="E83" s="32"/>
      <c r="F83" s="27"/>
      <c r="G83" s="18">
        <f t="shared" si="3"/>
        <v>4111.5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179</v>
      </c>
      <c r="D84" s="214" t="s">
        <v>19</v>
      </c>
      <c r="E84" s="32"/>
      <c r="F84" s="17"/>
      <c r="G84" s="18">
        <f t="shared" si="3"/>
        <v>4111.5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179</v>
      </c>
      <c r="D85" s="214" t="s">
        <v>19</v>
      </c>
      <c r="E85" s="32"/>
      <c r="F85" s="17"/>
      <c r="G85" s="18">
        <f t="shared" si="3"/>
        <v>4111.5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179</v>
      </c>
      <c r="D86" s="214" t="s">
        <v>19</v>
      </c>
      <c r="E86" s="32"/>
      <c r="F86" s="17"/>
      <c r="G86" s="18">
        <f t="shared" si="3"/>
        <v>4111.5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179</v>
      </c>
      <c r="D87" s="214" t="s">
        <v>19</v>
      </c>
      <c r="E87" s="32"/>
      <c r="F87" s="17"/>
      <c r="G87" s="18">
        <f t="shared" si="3"/>
        <v>4111.5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179</v>
      </c>
      <c r="D88" s="214" t="s">
        <v>19</v>
      </c>
      <c r="E88" s="32"/>
      <c r="F88" s="17"/>
      <c r="G88" s="18">
        <f t="shared" si="3"/>
        <v>4111.5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179</v>
      </c>
      <c r="D89" s="214" t="s">
        <v>19</v>
      </c>
      <c r="E89" s="32"/>
      <c r="F89" s="17"/>
      <c r="G89" s="18">
        <f t="shared" si="3"/>
        <v>4111.5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179</v>
      </c>
      <c r="D90" s="214" t="s">
        <v>19</v>
      </c>
      <c r="E90" s="32"/>
      <c r="F90" s="17"/>
      <c r="G90" s="18">
        <f t="shared" si="3"/>
        <v>4111.5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179</v>
      </c>
      <c r="D91" s="214" t="s">
        <v>19</v>
      </c>
      <c r="E91" s="32"/>
      <c r="F91" s="27"/>
      <c r="G91" s="18">
        <f t="shared" si="3"/>
        <v>4111.5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179</v>
      </c>
      <c r="D92" s="214" t="s">
        <v>19</v>
      </c>
      <c r="E92" s="32"/>
      <c r="F92" s="27"/>
      <c r="G92" s="18">
        <f>+G91+E92-F92</f>
        <v>4111.5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179</v>
      </c>
      <c r="D93" s="244" t="s">
        <v>19</v>
      </c>
      <c r="E93" s="245"/>
      <c r="F93" s="52"/>
      <c r="G93" s="246">
        <f>+G92+E93-F93</f>
        <v>4111.5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179</v>
      </c>
      <c r="D94" s="244" t="s">
        <v>19</v>
      </c>
      <c r="E94" s="245"/>
      <c r="F94" s="52"/>
      <c r="G94" s="246">
        <f t="shared" ref="G94:G106" si="4">+G93+E94-F94</f>
        <v>4111.5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179</v>
      </c>
      <c r="D95" s="244" t="s">
        <v>19</v>
      </c>
      <c r="E95" s="245"/>
      <c r="F95" s="52"/>
      <c r="G95" s="246">
        <f t="shared" si="4"/>
        <v>4111.5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179</v>
      </c>
      <c r="D96" s="244" t="s">
        <v>19</v>
      </c>
      <c r="E96" s="245"/>
      <c r="F96" s="52"/>
      <c r="G96" s="246">
        <f t="shared" si="4"/>
        <v>4111.5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179</v>
      </c>
      <c r="D97" s="244" t="s">
        <v>19</v>
      </c>
      <c r="E97" s="245"/>
      <c r="F97" s="52"/>
      <c r="G97" s="246">
        <f t="shared" si="4"/>
        <v>4111.5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179</v>
      </c>
      <c r="D98" s="244" t="s">
        <v>19</v>
      </c>
      <c r="E98" s="245"/>
      <c r="F98" s="52"/>
      <c r="G98" s="246">
        <f t="shared" si="4"/>
        <v>4111.5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179</v>
      </c>
      <c r="D99" s="244" t="s">
        <v>19</v>
      </c>
      <c r="E99" s="245"/>
      <c r="F99" s="52"/>
      <c r="G99" s="246">
        <f t="shared" si="4"/>
        <v>4111.5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179</v>
      </c>
      <c r="D100" s="244" t="s">
        <v>19</v>
      </c>
      <c r="E100" s="245"/>
      <c r="F100" s="52"/>
      <c r="G100" s="246">
        <f t="shared" si="4"/>
        <v>4111.5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179</v>
      </c>
      <c r="D101" s="244"/>
      <c r="E101" s="245"/>
      <c r="F101" s="52"/>
      <c r="G101" s="246">
        <f t="shared" si="4"/>
        <v>4111.5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4111.5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4111.5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4111.5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4111.5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4111.5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4111.5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1015.5</v>
      </c>
      <c r="G108" s="35">
        <f>+E108-F108+G8</f>
        <v>4111.5</v>
      </c>
      <c r="H108" s="35"/>
      <c r="I108" s="36"/>
      <c r="J108" s="7">
        <f>SUM(J9:J107)</f>
        <v>4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F4BA-A37E-4ADF-A678-616786FDC798}">
  <sheetPr codeName="Sheet89"/>
  <dimension ref="A1:Q119"/>
  <sheetViews>
    <sheetView workbookViewId="0">
      <selection activeCell="C10" sqref="C10:C10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1143</v>
      </c>
      <c r="H8" s="7"/>
      <c r="I8" s="7"/>
      <c r="J8" s="7"/>
      <c r="K8" s="7"/>
    </row>
    <row r="9" spans="1:13" ht="17.25" customHeight="1" x14ac:dyDescent="0.25">
      <c r="A9" s="14">
        <v>1</v>
      </c>
      <c r="B9" s="8"/>
      <c r="C9" s="46" t="s">
        <v>344</v>
      </c>
      <c r="D9" s="214" t="s">
        <v>19</v>
      </c>
      <c r="E9" s="30"/>
      <c r="F9" s="27"/>
      <c r="G9" s="18">
        <f>+G8+E9-F9</f>
        <v>1143</v>
      </c>
      <c r="H9" s="28" t="s">
        <v>91</v>
      </c>
      <c r="I9" s="7" t="s">
        <v>90</v>
      </c>
      <c r="J9" s="7">
        <v>4</v>
      </c>
      <c r="K9" s="7">
        <v>1457</v>
      </c>
      <c r="L9">
        <f>362.5+401.5+338.5+348.5</f>
        <v>1451</v>
      </c>
      <c r="M9">
        <f>+K9-L9</f>
        <v>6</v>
      </c>
    </row>
    <row r="10" spans="1:13" ht="17.25" customHeight="1" x14ac:dyDescent="0.25">
      <c r="A10" s="14">
        <f t="shared" ref="A10:A73" si="0">+A9+1</f>
        <v>2</v>
      </c>
      <c r="B10" s="8"/>
      <c r="C10" s="46" t="s">
        <v>344</v>
      </c>
      <c r="D10" s="214" t="s">
        <v>19</v>
      </c>
      <c r="E10" s="11"/>
      <c r="F10" s="27"/>
      <c r="G10" s="18">
        <f t="shared" ref="G10:G73" si="1">+G9+E10-F10</f>
        <v>1143</v>
      </c>
      <c r="H10" s="28" t="s">
        <v>140</v>
      </c>
      <c r="I10" s="7" t="s">
        <v>90</v>
      </c>
      <c r="J10" s="7"/>
      <c r="K10" s="7"/>
    </row>
    <row r="11" spans="1:13" ht="18" customHeight="1" x14ac:dyDescent="0.25">
      <c r="A11" s="14">
        <f t="shared" si="0"/>
        <v>3</v>
      </c>
      <c r="B11" s="8"/>
      <c r="C11" s="46" t="s">
        <v>344</v>
      </c>
      <c r="D11" s="214" t="s">
        <v>19</v>
      </c>
      <c r="E11" s="16"/>
      <c r="F11" s="27"/>
      <c r="G11" s="18">
        <f t="shared" si="1"/>
        <v>1143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/>
      <c r="C12" s="46" t="s">
        <v>344</v>
      </c>
      <c r="D12" s="214" t="s">
        <v>19</v>
      </c>
      <c r="E12" s="16"/>
      <c r="F12" s="17"/>
      <c r="G12" s="18">
        <f t="shared" si="1"/>
        <v>1143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 t="s">
        <v>344</v>
      </c>
      <c r="D13" s="214" t="s">
        <v>19</v>
      </c>
      <c r="E13" s="16"/>
      <c r="F13" s="17"/>
      <c r="G13" s="18">
        <f t="shared" si="1"/>
        <v>1143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 t="s">
        <v>344</v>
      </c>
      <c r="D14" s="214" t="s">
        <v>19</v>
      </c>
      <c r="E14" s="16"/>
      <c r="F14" s="27"/>
      <c r="G14" s="18">
        <f t="shared" si="1"/>
        <v>1143</v>
      </c>
      <c r="H14" s="28" t="s">
        <v>91</v>
      </c>
      <c r="I14" s="7" t="s">
        <v>90</v>
      </c>
      <c r="J14" s="7"/>
      <c r="K14" s="7"/>
    </row>
    <row r="15" spans="1:13" ht="18" customHeight="1" x14ac:dyDescent="0.25">
      <c r="A15" s="14">
        <f t="shared" si="0"/>
        <v>7</v>
      </c>
      <c r="B15" s="8"/>
      <c r="C15" s="46" t="s">
        <v>344</v>
      </c>
      <c r="D15" s="214" t="s">
        <v>19</v>
      </c>
      <c r="E15" s="16"/>
      <c r="F15" s="27"/>
      <c r="G15" s="18">
        <f t="shared" si="1"/>
        <v>1143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 t="s">
        <v>344</v>
      </c>
      <c r="D16" s="214" t="s">
        <v>19</v>
      </c>
      <c r="E16" s="16"/>
      <c r="F16" s="27"/>
      <c r="G16" s="18">
        <f t="shared" si="1"/>
        <v>1143</v>
      </c>
      <c r="H16" s="28" t="s">
        <v>91</v>
      </c>
      <c r="I16" s="7" t="s">
        <v>90</v>
      </c>
      <c r="J16" s="7"/>
      <c r="K16" s="7"/>
    </row>
    <row r="17" spans="1:14" ht="18" customHeight="1" x14ac:dyDescent="0.25">
      <c r="A17" s="14">
        <f t="shared" si="0"/>
        <v>9</v>
      </c>
      <c r="B17" s="8"/>
      <c r="C17" s="46" t="s">
        <v>344</v>
      </c>
      <c r="D17" s="214" t="s">
        <v>19</v>
      </c>
      <c r="E17" s="30"/>
      <c r="F17" s="27"/>
      <c r="G17" s="18">
        <f t="shared" si="1"/>
        <v>1143</v>
      </c>
      <c r="H17" s="28" t="s">
        <v>91</v>
      </c>
      <c r="I17" s="7" t="s">
        <v>90</v>
      </c>
      <c r="J17" s="7"/>
      <c r="K17" s="7"/>
    </row>
    <row r="18" spans="1:14" s="230" customFormat="1" ht="18" customHeight="1" x14ac:dyDescent="0.25">
      <c r="A18" s="223">
        <f>+A17+1</f>
        <v>10</v>
      </c>
      <c r="B18" s="224"/>
      <c r="C18" s="46" t="s">
        <v>344</v>
      </c>
      <c r="D18" s="226" t="s">
        <v>19</v>
      </c>
      <c r="E18" s="227"/>
      <c r="F18" s="228"/>
      <c r="G18" s="229">
        <f t="shared" si="1"/>
        <v>1143</v>
      </c>
      <c r="H18" s="28" t="s">
        <v>91</v>
      </c>
      <c r="I18" s="7" t="s">
        <v>90</v>
      </c>
      <c r="J18" s="348"/>
      <c r="K18" s="348"/>
    </row>
    <row r="19" spans="1:14" s="230" customFormat="1" ht="18" customHeight="1" x14ac:dyDescent="0.25">
      <c r="A19" s="223">
        <f t="shared" si="0"/>
        <v>11</v>
      </c>
      <c r="B19" s="224"/>
      <c r="C19" s="46" t="s">
        <v>344</v>
      </c>
      <c r="D19" s="226" t="s">
        <v>19</v>
      </c>
      <c r="E19" s="231"/>
      <c r="F19" s="228"/>
      <c r="G19" s="229">
        <f t="shared" si="1"/>
        <v>1143</v>
      </c>
      <c r="H19" s="28" t="s">
        <v>91</v>
      </c>
      <c r="I19" s="7" t="s">
        <v>90</v>
      </c>
      <c r="J19" s="348"/>
      <c r="K19" s="348"/>
    </row>
    <row r="20" spans="1:14" ht="18" customHeight="1" x14ac:dyDescent="0.25">
      <c r="A20" s="14">
        <f t="shared" si="0"/>
        <v>12</v>
      </c>
      <c r="B20" s="8"/>
      <c r="C20" s="46" t="s">
        <v>344</v>
      </c>
      <c r="D20" s="214" t="s">
        <v>19</v>
      </c>
      <c r="E20" s="32"/>
      <c r="F20" s="17"/>
      <c r="G20" s="18">
        <f t="shared" si="1"/>
        <v>1143</v>
      </c>
      <c r="H20" s="28" t="s">
        <v>91</v>
      </c>
      <c r="I20" s="7" t="s">
        <v>90</v>
      </c>
      <c r="J20" s="7"/>
      <c r="K20" s="7"/>
      <c r="N20" s="26"/>
    </row>
    <row r="21" spans="1:14" ht="18" customHeight="1" x14ac:dyDescent="0.25">
      <c r="A21" s="14">
        <f t="shared" si="0"/>
        <v>13</v>
      </c>
      <c r="B21" s="8"/>
      <c r="C21" s="46" t="s">
        <v>344</v>
      </c>
      <c r="D21" s="214" t="s">
        <v>19</v>
      </c>
      <c r="E21" s="32"/>
      <c r="F21" s="27"/>
      <c r="G21" s="18">
        <f t="shared" si="1"/>
        <v>1143</v>
      </c>
      <c r="H21" s="28" t="s">
        <v>91</v>
      </c>
      <c r="I21" s="7" t="s">
        <v>90</v>
      </c>
      <c r="J21" s="7"/>
      <c r="K21" s="7"/>
    </row>
    <row r="22" spans="1:14" ht="18" customHeight="1" x14ac:dyDescent="0.25">
      <c r="A22" s="14">
        <f t="shared" si="0"/>
        <v>14</v>
      </c>
      <c r="B22" s="232"/>
      <c r="C22" s="46" t="s">
        <v>344</v>
      </c>
      <c r="D22" s="234" t="s">
        <v>19</v>
      </c>
      <c r="E22" s="235"/>
      <c r="F22" s="172"/>
      <c r="G22" s="18">
        <f t="shared" si="1"/>
        <v>1143</v>
      </c>
      <c r="H22" s="28" t="s">
        <v>129</v>
      </c>
      <c r="I22" s="7" t="s">
        <v>90</v>
      </c>
      <c r="J22" s="7"/>
      <c r="K22" s="7"/>
    </row>
    <row r="23" spans="1:14" ht="18" customHeight="1" x14ac:dyDescent="0.25">
      <c r="A23" s="14">
        <f t="shared" si="0"/>
        <v>15</v>
      </c>
      <c r="B23" s="8"/>
      <c r="C23" s="46" t="s">
        <v>344</v>
      </c>
      <c r="D23" s="214" t="s">
        <v>19</v>
      </c>
      <c r="E23" s="32"/>
      <c r="F23" s="17"/>
      <c r="G23" s="18">
        <f t="shared" si="1"/>
        <v>1143</v>
      </c>
      <c r="H23" s="28" t="s">
        <v>129</v>
      </c>
      <c r="I23" s="7" t="s">
        <v>142</v>
      </c>
      <c r="J23" s="7"/>
      <c r="K23" s="7"/>
    </row>
    <row r="24" spans="1:14" ht="18" customHeight="1" x14ac:dyDescent="0.25">
      <c r="A24" s="14">
        <f t="shared" si="0"/>
        <v>16</v>
      </c>
      <c r="B24" s="8"/>
      <c r="C24" s="46" t="s">
        <v>344</v>
      </c>
      <c r="D24" s="214" t="s">
        <v>19</v>
      </c>
      <c r="E24" s="32"/>
      <c r="F24" s="17"/>
      <c r="G24" s="18">
        <f t="shared" si="1"/>
        <v>1143</v>
      </c>
      <c r="H24" s="28" t="s">
        <v>91</v>
      </c>
      <c r="I24" s="7" t="s">
        <v>90</v>
      </c>
      <c r="J24" s="7"/>
      <c r="K24" s="7"/>
    </row>
    <row r="25" spans="1:14" ht="18" customHeight="1" x14ac:dyDescent="0.25">
      <c r="A25" s="14">
        <f t="shared" si="0"/>
        <v>17</v>
      </c>
      <c r="B25" s="8"/>
      <c r="C25" s="46" t="s">
        <v>344</v>
      </c>
      <c r="D25" s="214" t="s">
        <v>19</v>
      </c>
      <c r="E25" s="32"/>
      <c r="F25" s="17"/>
      <c r="G25" s="18">
        <f t="shared" si="1"/>
        <v>1143</v>
      </c>
      <c r="H25" s="28" t="s">
        <v>91</v>
      </c>
      <c r="I25" s="7" t="s">
        <v>90</v>
      </c>
      <c r="J25" s="7"/>
      <c r="K25" s="7"/>
    </row>
    <row r="26" spans="1:14" ht="18" customHeight="1" x14ac:dyDescent="0.25">
      <c r="A26" s="14">
        <f t="shared" si="0"/>
        <v>18</v>
      </c>
      <c r="B26" s="8"/>
      <c r="C26" s="46" t="s">
        <v>344</v>
      </c>
      <c r="D26" s="214" t="s">
        <v>19</v>
      </c>
      <c r="E26" s="32"/>
      <c r="F26" s="17"/>
      <c r="G26" s="18">
        <f t="shared" si="1"/>
        <v>1143</v>
      </c>
      <c r="H26" s="28" t="s">
        <v>91</v>
      </c>
      <c r="I26" s="7" t="s">
        <v>90</v>
      </c>
      <c r="J26" s="7"/>
      <c r="K26" s="7"/>
    </row>
    <row r="27" spans="1:14" ht="18" customHeight="1" x14ac:dyDescent="0.25">
      <c r="A27" s="14">
        <f>+A26+1</f>
        <v>19</v>
      </c>
      <c r="B27" s="8"/>
      <c r="C27" s="46" t="s">
        <v>344</v>
      </c>
      <c r="D27" s="214" t="s">
        <v>19</v>
      </c>
      <c r="E27" s="32"/>
      <c r="F27" s="17"/>
      <c r="G27" s="18">
        <f t="shared" si="1"/>
        <v>1143</v>
      </c>
      <c r="H27" s="28" t="s">
        <v>91</v>
      </c>
      <c r="I27" s="7" t="s">
        <v>90</v>
      </c>
      <c r="J27" s="7"/>
      <c r="K27" s="7"/>
    </row>
    <row r="28" spans="1:14" ht="18" customHeight="1" x14ac:dyDescent="0.25">
      <c r="A28" s="14">
        <f t="shared" si="0"/>
        <v>20</v>
      </c>
      <c r="B28" s="8"/>
      <c r="C28" s="46" t="s">
        <v>344</v>
      </c>
      <c r="D28" s="214" t="s">
        <v>19</v>
      </c>
      <c r="E28" s="129"/>
      <c r="F28" s="17"/>
      <c r="G28" s="18">
        <f t="shared" si="1"/>
        <v>1143</v>
      </c>
      <c r="H28" s="28" t="s">
        <v>91</v>
      </c>
      <c r="I28" s="7" t="s">
        <v>90</v>
      </c>
      <c r="J28" s="7"/>
      <c r="K28" s="7"/>
    </row>
    <row r="29" spans="1:14" ht="18" customHeight="1" x14ac:dyDescent="0.25">
      <c r="A29" s="14">
        <f t="shared" si="0"/>
        <v>21</v>
      </c>
      <c r="B29" s="8"/>
      <c r="C29" s="46" t="s">
        <v>344</v>
      </c>
      <c r="D29" s="214" t="s">
        <v>19</v>
      </c>
      <c r="E29" s="32"/>
      <c r="F29" s="172"/>
      <c r="G29" s="18">
        <f t="shared" si="1"/>
        <v>1143</v>
      </c>
      <c r="H29" s="28" t="s">
        <v>91</v>
      </c>
      <c r="I29" s="7" t="s">
        <v>90</v>
      </c>
      <c r="J29" s="7"/>
      <c r="K29" s="7"/>
    </row>
    <row r="30" spans="1:14" ht="18" customHeight="1" x14ac:dyDescent="0.25">
      <c r="A30" s="14">
        <f t="shared" si="0"/>
        <v>22</v>
      </c>
      <c r="B30" s="8"/>
      <c r="C30" s="46" t="s">
        <v>344</v>
      </c>
      <c r="D30" s="214" t="s">
        <v>19</v>
      </c>
      <c r="E30" s="32"/>
      <c r="F30" s="17"/>
      <c r="G30" s="18">
        <f t="shared" si="1"/>
        <v>1143</v>
      </c>
      <c r="H30" s="28" t="s">
        <v>91</v>
      </c>
      <c r="I30" s="7" t="s">
        <v>90</v>
      </c>
      <c r="J30" s="7"/>
      <c r="K30" s="7"/>
    </row>
    <row r="31" spans="1:14" ht="18" customHeight="1" x14ac:dyDescent="0.25">
      <c r="A31" s="14">
        <f t="shared" si="0"/>
        <v>23</v>
      </c>
      <c r="B31" s="8"/>
      <c r="C31" s="46" t="s">
        <v>344</v>
      </c>
      <c r="D31" s="214" t="s">
        <v>19</v>
      </c>
      <c r="E31" s="32"/>
      <c r="F31" s="17"/>
      <c r="G31" s="18">
        <f t="shared" si="1"/>
        <v>1143</v>
      </c>
      <c r="H31" s="28" t="s">
        <v>91</v>
      </c>
      <c r="I31" s="7" t="s">
        <v>90</v>
      </c>
      <c r="J31" s="7"/>
      <c r="K31" s="7"/>
    </row>
    <row r="32" spans="1:14" ht="17.25" customHeight="1" x14ac:dyDescent="0.25">
      <c r="A32" s="14">
        <f t="shared" si="0"/>
        <v>24</v>
      </c>
      <c r="B32" s="8"/>
      <c r="C32" s="46" t="s">
        <v>344</v>
      </c>
      <c r="D32" s="214" t="s">
        <v>19</v>
      </c>
      <c r="E32" s="13"/>
      <c r="F32" s="17"/>
      <c r="G32" s="18">
        <f t="shared" si="1"/>
        <v>1143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344</v>
      </c>
      <c r="D33" s="214" t="s">
        <v>19</v>
      </c>
      <c r="E33" s="13"/>
      <c r="F33" s="17"/>
      <c r="G33" s="18">
        <f t="shared" si="1"/>
        <v>1143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344</v>
      </c>
      <c r="D34" s="214" t="s">
        <v>19</v>
      </c>
      <c r="E34" s="32"/>
      <c r="F34" s="40"/>
      <c r="G34" s="18">
        <f t="shared" si="1"/>
        <v>1143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344</v>
      </c>
      <c r="D35" s="214" t="s">
        <v>19</v>
      </c>
      <c r="E35" s="32"/>
      <c r="F35" s="40"/>
      <c r="G35" s="18">
        <f t="shared" si="1"/>
        <v>1143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344</v>
      </c>
      <c r="D36" s="214" t="s">
        <v>19</v>
      </c>
      <c r="E36" s="32"/>
      <c r="F36" s="40"/>
      <c r="G36" s="18">
        <f t="shared" si="1"/>
        <v>1143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344</v>
      </c>
      <c r="D37" s="214" t="s">
        <v>19</v>
      </c>
      <c r="E37" s="32"/>
      <c r="F37" s="17"/>
      <c r="G37" s="18">
        <f t="shared" si="1"/>
        <v>1143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344</v>
      </c>
      <c r="D38" s="214" t="s">
        <v>19</v>
      </c>
      <c r="E38" s="32"/>
      <c r="F38" s="17"/>
      <c r="G38" s="18">
        <f t="shared" si="1"/>
        <v>1143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344</v>
      </c>
      <c r="D39" s="214" t="s">
        <v>19</v>
      </c>
      <c r="E39" s="32"/>
      <c r="F39" s="17"/>
      <c r="G39" s="18">
        <f t="shared" si="1"/>
        <v>1143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344</v>
      </c>
      <c r="D40" s="214" t="s">
        <v>19</v>
      </c>
      <c r="E40" s="32"/>
      <c r="F40" s="17"/>
      <c r="G40" s="18">
        <f t="shared" si="1"/>
        <v>1143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344</v>
      </c>
      <c r="D41" s="214" t="s">
        <v>19</v>
      </c>
      <c r="E41" s="32"/>
      <c r="F41" s="172"/>
      <c r="G41" s="18">
        <f t="shared" si="1"/>
        <v>1143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344</v>
      </c>
      <c r="D42" s="214" t="s">
        <v>19</v>
      </c>
      <c r="E42" s="32"/>
      <c r="F42" s="17"/>
      <c r="G42" s="18">
        <f t="shared" si="1"/>
        <v>1143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344</v>
      </c>
      <c r="D43" s="214" t="s">
        <v>19</v>
      </c>
      <c r="E43" s="32"/>
      <c r="F43" s="17"/>
      <c r="G43" s="18">
        <f t="shared" si="1"/>
        <v>1143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344</v>
      </c>
      <c r="D44" s="214" t="s">
        <v>19</v>
      </c>
      <c r="E44" s="32"/>
      <c r="F44" s="17"/>
      <c r="G44" s="18">
        <f t="shared" si="1"/>
        <v>1143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344</v>
      </c>
      <c r="D45" s="214" t="s">
        <v>19</v>
      </c>
      <c r="E45" s="32"/>
      <c r="F45" s="17"/>
      <c r="G45" s="18">
        <f t="shared" si="1"/>
        <v>1143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344</v>
      </c>
      <c r="D46" s="214" t="s">
        <v>19</v>
      </c>
      <c r="E46" s="32"/>
      <c r="F46" s="17"/>
      <c r="G46" s="18">
        <f t="shared" si="1"/>
        <v>1143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344</v>
      </c>
      <c r="D47" s="214" t="s">
        <v>19</v>
      </c>
      <c r="E47" s="32"/>
      <c r="F47" s="17"/>
      <c r="G47" s="18">
        <f t="shared" si="1"/>
        <v>1143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344</v>
      </c>
      <c r="D48" s="214" t="s">
        <v>19</v>
      </c>
      <c r="E48" s="32"/>
      <c r="F48" s="17"/>
      <c r="G48" s="18">
        <f t="shared" si="1"/>
        <v>1143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344</v>
      </c>
      <c r="D49" s="214" t="s">
        <v>19</v>
      </c>
      <c r="E49" s="32"/>
      <c r="F49" s="17"/>
      <c r="G49" s="18">
        <f t="shared" si="1"/>
        <v>1143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344</v>
      </c>
      <c r="D50" s="237" t="s">
        <v>19</v>
      </c>
      <c r="E50" s="175"/>
      <c r="F50" s="172"/>
      <c r="G50" s="238">
        <f t="shared" si="1"/>
        <v>1143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344</v>
      </c>
      <c r="D51" s="214" t="s">
        <v>19</v>
      </c>
      <c r="E51" s="32"/>
      <c r="F51" s="17"/>
      <c r="G51" s="18">
        <f t="shared" si="1"/>
        <v>1143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344</v>
      </c>
      <c r="D52" s="214" t="s">
        <v>19</v>
      </c>
      <c r="E52" s="32"/>
      <c r="F52" s="17"/>
      <c r="G52" s="18">
        <f t="shared" si="1"/>
        <v>1143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344</v>
      </c>
      <c r="D53" s="214" t="s">
        <v>19</v>
      </c>
      <c r="E53" s="32"/>
      <c r="F53" s="17"/>
      <c r="G53" s="18">
        <f t="shared" si="1"/>
        <v>1143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344</v>
      </c>
      <c r="D54" s="214" t="s">
        <v>19</v>
      </c>
      <c r="E54" s="32"/>
      <c r="F54" s="17"/>
      <c r="G54" s="18">
        <f t="shared" si="1"/>
        <v>1143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344</v>
      </c>
      <c r="D55" s="214" t="s">
        <v>19</v>
      </c>
      <c r="E55" s="32"/>
      <c r="F55" s="17"/>
      <c r="G55" s="18">
        <f t="shared" si="1"/>
        <v>1143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344</v>
      </c>
      <c r="D56" s="214" t="s">
        <v>19</v>
      </c>
      <c r="E56" s="32"/>
      <c r="F56" s="17"/>
      <c r="G56" s="18">
        <f t="shared" si="1"/>
        <v>1143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344</v>
      </c>
      <c r="D57" s="214" t="s">
        <v>19</v>
      </c>
      <c r="E57" s="32"/>
      <c r="F57" s="17"/>
      <c r="G57" s="18">
        <f t="shared" si="1"/>
        <v>1143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344</v>
      </c>
      <c r="D58" s="214" t="s">
        <v>19</v>
      </c>
      <c r="E58" s="32"/>
      <c r="F58" s="17"/>
      <c r="G58" s="18">
        <f t="shared" si="1"/>
        <v>1143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344</v>
      </c>
      <c r="D59" s="214" t="s">
        <v>19</v>
      </c>
      <c r="E59" s="32"/>
      <c r="F59" s="17"/>
      <c r="G59" s="18">
        <f t="shared" si="1"/>
        <v>1143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344</v>
      </c>
      <c r="D60" s="214" t="s">
        <v>19</v>
      </c>
      <c r="E60" s="32"/>
      <c r="F60" s="17"/>
      <c r="G60" s="18">
        <f t="shared" si="1"/>
        <v>1143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344</v>
      </c>
      <c r="D61" s="214" t="s">
        <v>19</v>
      </c>
      <c r="E61" s="32"/>
      <c r="F61" s="17"/>
      <c r="G61" s="18">
        <f t="shared" si="1"/>
        <v>1143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344</v>
      </c>
      <c r="D62" s="214" t="s">
        <v>19</v>
      </c>
      <c r="E62" s="32"/>
      <c r="F62" s="17"/>
      <c r="G62" s="18">
        <f t="shared" si="1"/>
        <v>1143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344</v>
      </c>
      <c r="D63" s="214" t="s">
        <v>19</v>
      </c>
      <c r="E63" s="32"/>
      <c r="F63" s="17"/>
      <c r="G63" s="18">
        <f t="shared" si="1"/>
        <v>1143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344</v>
      </c>
      <c r="D64" s="214" t="s">
        <v>19</v>
      </c>
      <c r="E64" s="32"/>
      <c r="F64" s="17"/>
      <c r="G64" s="18">
        <f t="shared" si="1"/>
        <v>1143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344</v>
      </c>
      <c r="D65" s="214" t="s">
        <v>19</v>
      </c>
      <c r="E65" s="32"/>
      <c r="F65" s="17"/>
      <c r="G65" s="18">
        <f t="shared" si="1"/>
        <v>1143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344</v>
      </c>
      <c r="D66" s="214" t="s">
        <v>19</v>
      </c>
      <c r="E66" s="32"/>
      <c r="F66" s="17"/>
      <c r="G66" s="18">
        <f t="shared" si="1"/>
        <v>1143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344</v>
      </c>
      <c r="D67" s="214" t="s">
        <v>19</v>
      </c>
      <c r="E67" s="32"/>
      <c r="F67" s="17"/>
      <c r="G67" s="18">
        <f>+G66+E67-F67</f>
        <v>1143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344</v>
      </c>
      <c r="D68" s="214" t="s">
        <v>19</v>
      </c>
      <c r="E68" s="32"/>
      <c r="F68" s="17"/>
      <c r="G68" s="18">
        <f>+G67+E68-F68</f>
        <v>1143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344</v>
      </c>
      <c r="D69" s="214" t="s">
        <v>19</v>
      </c>
      <c r="E69" s="32"/>
      <c r="F69" s="17"/>
      <c r="G69" s="18">
        <f>+G68+E69-F69</f>
        <v>1143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344</v>
      </c>
      <c r="D70" s="214" t="s">
        <v>19</v>
      </c>
      <c r="E70" s="32"/>
      <c r="F70" s="17"/>
      <c r="G70" s="18">
        <f t="shared" si="1"/>
        <v>1143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344</v>
      </c>
      <c r="D71" s="214" t="s">
        <v>19</v>
      </c>
      <c r="E71" s="32"/>
      <c r="F71" s="17"/>
      <c r="G71" s="18">
        <f t="shared" si="1"/>
        <v>1143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344</v>
      </c>
      <c r="D72" s="214" t="s">
        <v>19</v>
      </c>
      <c r="E72" s="32"/>
      <c r="F72" s="17"/>
      <c r="G72" s="18">
        <f t="shared" si="1"/>
        <v>1143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344</v>
      </c>
      <c r="D73" s="214" t="s">
        <v>19</v>
      </c>
      <c r="E73" s="32"/>
      <c r="F73" s="17"/>
      <c r="G73" s="18">
        <f t="shared" si="1"/>
        <v>1143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344</v>
      </c>
      <c r="D74" s="214" t="s">
        <v>19</v>
      </c>
      <c r="E74" s="32"/>
      <c r="F74" s="17"/>
      <c r="G74" s="18">
        <f t="shared" ref="G74:G91" si="3">+G73+E74-F74</f>
        <v>1143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344</v>
      </c>
      <c r="D75" s="214" t="s">
        <v>19</v>
      </c>
      <c r="E75" s="32"/>
      <c r="F75" s="17"/>
      <c r="G75" s="18">
        <f t="shared" si="3"/>
        <v>1143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344</v>
      </c>
      <c r="D76" s="214" t="s">
        <v>19</v>
      </c>
      <c r="E76" s="32"/>
      <c r="F76" s="17"/>
      <c r="G76" s="18">
        <f t="shared" si="3"/>
        <v>1143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344</v>
      </c>
      <c r="D77" s="214" t="s">
        <v>19</v>
      </c>
      <c r="E77" s="32"/>
      <c r="F77" s="17"/>
      <c r="G77" s="18">
        <f t="shared" si="3"/>
        <v>1143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344</v>
      </c>
      <c r="D78" s="214" t="s">
        <v>19</v>
      </c>
      <c r="E78" s="32"/>
      <c r="F78" s="17"/>
      <c r="G78" s="18">
        <f t="shared" si="3"/>
        <v>1143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344</v>
      </c>
      <c r="D79" s="214" t="s">
        <v>19</v>
      </c>
      <c r="E79" s="32"/>
      <c r="F79" s="17"/>
      <c r="G79" s="18">
        <f t="shared" si="3"/>
        <v>1143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344</v>
      </c>
      <c r="D80" s="214" t="s">
        <v>19</v>
      </c>
      <c r="E80" s="32"/>
      <c r="F80" s="17"/>
      <c r="G80" s="18">
        <f t="shared" si="3"/>
        <v>1143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344</v>
      </c>
      <c r="D81" s="214" t="s">
        <v>19</v>
      </c>
      <c r="E81" s="32"/>
      <c r="F81" s="17"/>
      <c r="G81" s="18">
        <f t="shared" si="3"/>
        <v>1143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344</v>
      </c>
      <c r="D82" s="214" t="s">
        <v>19</v>
      </c>
      <c r="E82" s="32"/>
      <c r="F82" s="17"/>
      <c r="G82" s="18">
        <f t="shared" si="3"/>
        <v>1143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344</v>
      </c>
      <c r="D83" s="214" t="s">
        <v>19</v>
      </c>
      <c r="E83" s="32"/>
      <c r="F83" s="27"/>
      <c r="G83" s="18">
        <f t="shared" si="3"/>
        <v>1143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344</v>
      </c>
      <c r="D84" s="214" t="s">
        <v>19</v>
      </c>
      <c r="E84" s="32"/>
      <c r="F84" s="17"/>
      <c r="G84" s="18">
        <f t="shared" si="3"/>
        <v>1143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344</v>
      </c>
      <c r="D85" s="214" t="s">
        <v>19</v>
      </c>
      <c r="E85" s="32"/>
      <c r="F85" s="17"/>
      <c r="G85" s="18">
        <f t="shared" si="3"/>
        <v>1143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344</v>
      </c>
      <c r="D86" s="214" t="s">
        <v>19</v>
      </c>
      <c r="E86" s="32"/>
      <c r="F86" s="17"/>
      <c r="G86" s="18">
        <f t="shared" si="3"/>
        <v>1143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344</v>
      </c>
      <c r="D87" s="214" t="s">
        <v>19</v>
      </c>
      <c r="E87" s="32"/>
      <c r="F87" s="17"/>
      <c r="G87" s="18">
        <f t="shared" si="3"/>
        <v>1143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344</v>
      </c>
      <c r="D88" s="214" t="s">
        <v>19</v>
      </c>
      <c r="E88" s="32"/>
      <c r="F88" s="17"/>
      <c r="G88" s="18">
        <f t="shared" si="3"/>
        <v>1143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344</v>
      </c>
      <c r="D89" s="214" t="s">
        <v>19</v>
      </c>
      <c r="E89" s="32"/>
      <c r="F89" s="17"/>
      <c r="G89" s="18">
        <f t="shared" si="3"/>
        <v>1143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344</v>
      </c>
      <c r="D90" s="214" t="s">
        <v>19</v>
      </c>
      <c r="E90" s="32"/>
      <c r="F90" s="17"/>
      <c r="G90" s="18">
        <f t="shared" si="3"/>
        <v>1143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344</v>
      </c>
      <c r="D91" s="214" t="s">
        <v>19</v>
      </c>
      <c r="E91" s="32"/>
      <c r="F91" s="27"/>
      <c r="G91" s="18">
        <f t="shared" si="3"/>
        <v>1143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344</v>
      </c>
      <c r="D92" s="214" t="s">
        <v>19</v>
      </c>
      <c r="E92" s="32"/>
      <c r="F92" s="27"/>
      <c r="G92" s="18">
        <f>+G91+E92-F92</f>
        <v>1143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344</v>
      </c>
      <c r="D93" s="244" t="s">
        <v>19</v>
      </c>
      <c r="E93" s="245"/>
      <c r="F93" s="52"/>
      <c r="G93" s="246">
        <f>+G92+E93-F93</f>
        <v>1143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344</v>
      </c>
      <c r="D94" s="244" t="s">
        <v>19</v>
      </c>
      <c r="E94" s="245"/>
      <c r="F94" s="52"/>
      <c r="G94" s="246">
        <f t="shared" ref="G94:G106" si="4">+G93+E94-F94</f>
        <v>1143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344</v>
      </c>
      <c r="D95" s="244" t="s">
        <v>19</v>
      </c>
      <c r="E95" s="245"/>
      <c r="F95" s="52"/>
      <c r="G95" s="246">
        <f t="shared" si="4"/>
        <v>1143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344</v>
      </c>
      <c r="D96" s="244" t="s">
        <v>19</v>
      </c>
      <c r="E96" s="245"/>
      <c r="F96" s="52"/>
      <c r="G96" s="246">
        <f t="shared" si="4"/>
        <v>1143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344</v>
      </c>
      <c r="D97" s="244" t="s">
        <v>19</v>
      </c>
      <c r="E97" s="245"/>
      <c r="F97" s="52"/>
      <c r="G97" s="246">
        <f t="shared" si="4"/>
        <v>1143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344</v>
      </c>
      <c r="D98" s="244" t="s">
        <v>19</v>
      </c>
      <c r="E98" s="245"/>
      <c r="F98" s="52"/>
      <c r="G98" s="246">
        <f t="shared" si="4"/>
        <v>1143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344</v>
      </c>
      <c r="D99" s="244" t="s">
        <v>19</v>
      </c>
      <c r="E99" s="245"/>
      <c r="F99" s="52"/>
      <c r="G99" s="246">
        <f t="shared" si="4"/>
        <v>1143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344</v>
      </c>
      <c r="D100" s="244" t="s">
        <v>19</v>
      </c>
      <c r="E100" s="245"/>
      <c r="F100" s="52"/>
      <c r="G100" s="246">
        <f t="shared" si="4"/>
        <v>1143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1143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1143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1143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1143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1143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1143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1143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0</v>
      </c>
      <c r="G108" s="35">
        <f>+E108-F108+G8</f>
        <v>1143</v>
      </c>
      <c r="H108" s="35"/>
      <c r="I108" s="36"/>
      <c r="J108" s="7">
        <f>SUM(J9:J107)</f>
        <v>4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4525-E7CD-438D-9694-E0A5922378AD}">
  <sheetPr codeName="Sheet90"/>
  <dimension ref="A1:Q119"/>
  <sheetViews>
    <sheetView topLeftCell="A7" workbookViewId="0">
      <selection activeCell="L15" sqref="L15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6977</v>
      </c>
      <c r="H8" s="7"/>
      <c r="I8" s="7"/>
      <c r="J8" s="7"/>
      <c r="K8" s="7"/>
    </row>
    <row r="9" spans="1:13" ht="17.25" customHeight="1" x14ac:dyDescent="0.25">
      <c r="A9" s="14">
        <v>1</v>
      </c>
      <c r="B9" s="8"/>
      <c r="C9" s="46" t="s">
        <v>343</v>
      </c>
      <c r="D9" s="214" t="s">
        <v>19</v>
      </c>
      <c r="E9" s="30"/>
      <c r="F9" s="27"/>
      <c r="G9" s="18">
        <f>+G8+E9-F9</f>
        <v>6977</v>
      </c>
      <c r="H9" s="28" t="s">
        <v>91</v>
      </c>
      <c r="I9" s="7" t="s">
        <v>90</v>
      </c>
      <c r="J9" s="7"/>
      <c r="K9" s="7"/>
      <c r="M9">
        <f>+K9-L9</f>
        <v>0</v>
      </c>
    </row>
    <row r="10" spans="1:13" ht="17.25" customHeight="1" x14ac:dyDescent="0.25">
      <c r="A10" s="14">
        <f t="shared" ref="A10:A73" si="0">+A9+1</f>
        <v>2</v>
      </c>
      <c r="B10" s="8"/>
      <c r="C10" s="46" t="s">
        <v>343</v>
      </c>
      <c r="D10" s="214" t="s">
        <v>19</v>
      </c>
      <c r="E10" s="11"/>
      <c r="F10" s="27"/>
      <c r="G10" s="18">
        <f t="shared" ref="G10:G73" si="1">+G9+E10-F10</f>
        <v>6977</v>
      </c>
      <c r="H10" s="28" t="s">
        <v>140</v>
      </c>
      <c r="I10" s="7" t="s">
        <v>90</v>
      </c>
      <c r="J10" s="7"/>
      <c r="K10" s="7">
        <v>4745.2</v>
      </c>
      <c r="L10" t="s">
        <v>413</v>
      </c>
    </row>
    <row r="11" spans="1:13" ht="18" customHeight="1" x14ac:dyDescent="0.25">
      <c r="A11" s="14">
        <f t="shared" si="0"/>
        <v>3</v>
      </c>
      <c r="B11" s="8"/>
      <c r="C11" s="46" t="s">
        <v>343</v>
      </c>
      <c r="D11" s="214" t="s">
        <v>19</v>
      </c>
      <c r="E11" s="16"/>
      <c r="F11" s="27"/>
      <c r="G11" s="18">
        <f t="shared" si="1"/>
        <v>6977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/>
      <c r="C12" s="46" t="s">
        <v>343</v>
      </c>
      <c r="D12" s="214" t="s">
        <v>19</v>
      </c>
      <c r="E12" s="16"/>
      <c r="F12" s="17"/>
      <c r="G12" s="18">
        <f t="shared" si="1"/>
        <v>6977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 t="s">
        <v>343</v>
      </c>
      <c r="D13" s="214" t="s">
        <v>19</v>
      </c>
      <c r="E13" s="16"/>
      <c r="F13" s="17"/>
      <c r="G13" s="18">
        <f t="shared" si="1"/>
        <v>6977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 t="s">
        <v>343</v>
      </c>
      <c r="D14" s="214" t="s">
        <v>19</v>
      </c>
      <c r="E14" s="16"/>
      <c r="F14" s="27"/>
      <c r="G14" s="18">
        <f t="shared" si="1"/>
        <v>6977</v>
      </c>
      <c r="H14" s="28" t="s">
        <v>91</v>
      </c>
      <c r="I14" s="7" t="s">
        <v>90</v>
      </c>
      <c r="J14" s="7"/>
      <c r="K14" s="7"/>
      <c r="M14">
        <f>502+505</f>
        <v>1007</v>
      </c>
    </row>
    <row r="15" spans="1:13" ht="18" customHeight="1" x14ac:dyDescent="0.25">
      <c r="A15" s="14">
        <f t="shared" si="0"/>
        <v>7</v>
      </c>
      <c r="B15" s="8"/>
      <c r="C15" s="46" t="s">
        <v>343</v>
      </c>
      <c r="D15" s="214" t="s">
        <v>19</v>
      </c>
      <c r="E15" s="16"/>
      <c r="F15" s="27"/>
      <c r="G15" s="18">
        <f t="shared" si="1"/>
        <v>6977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 t="s">
        <v>343</v>
      </c>
      <c r="D16" s="214" t="s">
        <v>19</v>
      </c>
      <c r="E16" s="16"/>
      <c r="F16" s="27"/>
      <c r="G16" s="18">
        <f t="shared" si="1"/>
        <v>6977</v>
      </c>
      <c r="H16" s="28" t="s">
        <v>91</v>
      </c>
      <c r="I16" s="7" t="s">
        <v>90</v>
      </c>
      <c r="J16" s="7"/>
      <c r="K16" s="7"/>
    </row>
    <row r="17" spans="1:14" ht="18" customHeight="1" x14ac:dyDescent="0.25">
      <c r="A17" s="14">
        <f t="shared" si="0"/>
        <v>9</v>
      </c>
      <c r="B17" s="8"/>
      <c r="C17" s="46" t="s">
        <v>343</v>
      </c>
      <c r="D17" s="214" t="s">
        <v>19</v>
      </c>
      <c r="E17" s="30"/>
      <c r="F17" s="27"/>
      <c r="G17" s="18">
        <f t="shared" si="1"/>
        <v>6977</v>
      </c>
      <c r="H17" s="28" t="s">
        <v>91</v>
      </c>
      <c r="I17" s="7" t="s">
        <v>90</v>
      </c>
      <c r="J17" s="7"/>
      <c r="K17" s="7"/>
    </row>
    <row r="18" spans="1:14" s="230" customFormat="1" ht="18" customHeight="1" x14ac:dyDescent="0.25">
      <c r="A18" s="223">
        <f>+A17+1</f>
        <v>10</v>
      </c>
      <c r="B18" s="224"/>
      <c r="C18" s="46" t="s">
        <v>343</v>
      </c>
      <c r="D18" s="226" t="s">
        <v>19</v>
      </c>
      <c r="E18" s="227"/>
      <c r="F18" s="228"/>
      <c r="G18" s="229">
        <f t="shared" si="1"/>
        <v>6977</v>
      </c>
      <c r="H18" s="28" t="s">
        <v>91</v>
      </c>
      <c r="I18" s="7" t="s">
        <v>90</v>
      </c>
      <c r="J18" s="348"/>
      <c r="K18" s="348"/>
      <c r="M18" s="230">
        <f>6977-1007</f>
        <v>5970</v>
      </c>
    </row>
    <row r="19" spans="1:14" s="230" customFormat="1" ht="18" customHeight="1" x14ac:dyDescent="0.25">
      <c r="A19" s="223">
        <f t="shared" si="0"/>
        <v>11</v>
      </c>
      <c r="B19" s="224"/>
      <c r="C19" s="46" t="s">
        <v>343</v>
      </c>
      <c r="D19" s="226" t="s">
        <v>19</v>
      </c>
      <c r="E19" s="231"/>
      <c r="F19" s="228"/>
      <c r="G19" s="229">
        <f t="shared" si="1"/>
        <v>6977</v>
      </c>
      <c r="H19" s="28" t="s">
        <v>91</v>
      </c>
      <c r="I19" s="7" t="s">
        <v>90</v>
      </c>
      <c r="J19" s="348"/>
      <c r="K19" s="348"/>
    </row>
    <row r="20" spans="1:14" ht="18" customHeight="1" x14ac:dyDescent="0.25">
      <c r="A20" s="14">
        <f t="shared" si="0"/>
        <v>12</v>
      </c>
      <c r="B20" s="8"/>
      <c r="C20" s="46" t="s">
        <v>343</v>
      </c>
      <c r="D20" s="214" t="s">
        <v>19</v>
      </c>
      <c r="E20" s="32"/>
      <c r="F20" s="17"/>
      <c r="G20" s="18">
        <f t="shared" si="1"/>
        <v>6977</v>
      </c>
      <c r="H20" s="28" t="s">
        <v>91</v>
      </c>
      <c r="I20" s="7" t="s">
        <v>90</v>
      </c>
      <c r="J20" s="7"/>
      <c r="K20" s="7"/>
      <c r="N20" s="26">
        <f>421+449+418+418+424+423+441+450+440+446+445</f>
        <v>4775</v>
      </c>
    </row>
    <row r="21" spans="1:14" ht="18" customHeight="1" x14ac:dyDescent="0.25">
      <c r="A21" s="14">
        <f t="shared" si="0"/>
        <v>13</v>
      </c>
      <c r="B21" s="8"/>
      <c r="C21" s="46" t="s">
        <v>343</v>
      </c>
      <c r="D21" s="214" t="s">
        <v>19</v>
      </c>
      <c r="E21" s="32"/>
      <c r="F21" s="27"/>
      <c r="G21" s="18">
        <f t="shared" si="1"/>
        <v>6977</v>
      </c>
      <c r="H21" s="28" t="s">
        <v>91</v>
      </c>
      <c r="I21" s="7" t="s">
        <v>90</v>
      </c>
      <c r="J21" s="7"/>
      <c r="K21" s="7"/>
      <c r="N21" s="26">
        <f>+N20-31.6</f>
        <v>4743.3999999999996</v>
      </c>
    </row>
    <row r="22" spans="1:14" ht="18" customHeight="1" x14ac:dyDescent="0.25">
      <c r="A22" s="14">
        <f t="shared" si="0"/>
        <v>14</v>
      </c>
      <c r="B22" s="232"/>
      <c r="C22" s="46" t="s">
        <v>343</v>
      </c>
      <c r="D22" s="234" t="s">
        <v>19</v>
      </c>
      <c r="E22" s="235"/>
      <c r="F22" s="172"/>
      <c r="G22" s="18">
        <f t="shared" si="1"/>
        <v>6977</v>
      </c>
      <c r="H22" s="28" t="s">
        <v>129</v>
      </c>
      <c r="I22" s="7" t="s">
        <v>90</v>
      </c>
      <c r="J22" s="7"/>
      <c r="K22" s="7"/>
      <c r="M22">
        <f>502+505</f>
        <v>1007</v>
      </c>
    </row>
    <row r="23" spans="1:14" ht="18" customHeight="1" x14ac:dyDescent="0.25">
      <c r="A23" s="14">
        <f t="shared" si="0"/>
        <v>15</v>
      </c>
      <c r="B23" s="8"/>
      <c r="C23" s="46" t="s">
        <v>343</v>
      </c>
      <c r="D23" s="214" t="s">
        <v>19</v>
      </c>
      <c r="E23" s="32"/>
      <c r="F23" s="17"/>
      <c r="G23" s="18">
        <f t="shared" si="1"/>
        <v>6977</v>
      </c>
      <c r="H23" s="28" t="s">
        <v>129</v>
      </c>
      <c r="I23" s="7" t="s">
        <v>142</v>
      </c>
      <c r="J23" s="7"/>
      <c r="K23" s="7"/>
    </row>
    <row r="24" spans="1:14" ht="18" customHeight="1" x14ac:dyDescent="0.25">
      <c r="A24" s="14">
        <f t="shared" si="0"/>
        <v>16</v>
      </c>
      <c r="B24" s="8"/>
      <c r="C24" s="46" t="s">
        <v>343</v>
      </c>
      <c r="D24" s="214" t="s">
        <v>19</v>
      </c>
      <c r="E24" s="32"/>
      <c r="F24" s="17"/>
      <c r="G24" s="18">
        <f t="shared" si="1"/>
        <v>6977</v>
      </c>
      <c r="H24" s="28" t="s">
        <v>91</v>
      </c>
      <c r="I24" s="7" t="s">
        <v>90</v>
      </c>
      <c r="J24" s="7"/>
      <c r="K24" s="7"/>
    </row>
    <row r="25" spans="1:14" ht="18" customHeight="1" x14ac:dyDescent="0.25">
      <c r="A25" s="14">
        <f t="shared" si="0"/>
        <v>17</v>
      </c>
      <c r="B25" s="8"/>
      <c r="C25" s="46" t="s">
        <v>343</v>
      </c>
      <c r="D25" s="214" t="s">
        <v>19</v>
      </c>
      <c r="E25" s="32"/>
      <c r="F25" s="17"/>
      <c r="G25" s="18">
        <f t="shared" si="1"/>
        <v>6977</v>
      </c>
      <c r="H25" s="28" t="s">
        <v>91</v>
      </c>
      <c r="I25" s="7" t="s">
        <v>90</v>
      </c>
      <c r="J25" s="7"/>
      <c r="K25" s="7"/>
    </row>
    <row r="26" spans="1:14" ht="18" customHeight="1" x14ac:dyDescent="0.25">
      <c r="A26" s="14">
        <f t="shared" si="0"/>
        <v>18</v>
      </c>
      <c r="B26" s="8"/>
      <c r="C26" s="46" t="s">
        <v>343</v>
      </c>
      <c r="D26" s="214" t="s">
        <v>19</v>
      </c>
      <c r="E26" s="32"/>
      <c r="F26" s="17"/>
      <c r="G26" s="18">
        <f t="shared" si="1"/>
        <v>6977</v>
      </c>
      <c r="H26" s="28" t="s">
        <v>91</v>
      </c>
      <c r="I26" s="7" t="s">
        <v>90</v>
      </c>
      <c r="J26" s="7"/>
      <c r="K26" s="7"/>
    </row>
    <row r="27" spans="1:14" ht="18" customHeight="1" x14ac:dyDescent="0.25">
      <c r="A27" s="14">
        <f>+A26+1</f>
        <v>19</v>
      </c>
      <c r="B27" s="8"/>
      <c r="C27" s="46" t="s">
        <v>343</v>
      </c>
      <c r="D27" s="214" t="s">
        <v>19</v>
      </c>
      <c r="E27" s="32"/>
      <c r="F27" s="17"/>
      <c r="G27" s="18">
        <f t="shared" si="1"/>
        <v>6977</v>
      </c>
      <c r="H27" s="28" t="s">
        <v>91</v>
      </c>
      <c r="I27" s="7" t="s">
        <v>90</v>
      </c>
      <c r="J27" s="7"/>
      <c r="K27" s="7"/>
    </row>
    <row r="28" spans="1:14" ht="18" customHeight="1" x14ac:dyDescent="0.25">
      <c r="A28" s="14">
        <f t="shared" si="0"/>
        <v>20</v>
      </c>
      <c r="B28" s="8"/>
      <c r="C28" s="46" t="s">
        <v>343</v>
      </c>
      <c r="D28" s="214" t="s">
        <v>19</v>
      </c>
      <c r="E28" s="129"/>
      <c r="F28" s="17"/>
      <c r="G28" s="18">
        <f t="shared" si="1"/>
        <v>6977</v>
      </c>
      <c r="H28" s="28" t="s">
        <v>91</v>
      </c>
      <c r="I28" s="7" t="s">
        <v>90</v>
      </c>
      <c r="J28" s="7"/>
      <c r="K28" s="7"/>
    </row>
    <row r="29" spans="1:14" ht="18" customHeight="1" x14ac:dyDescent="0.25">
      <c r="A29" s="14">
        <f t="shared" si="0"/>
        <v>21</v>
      </c>
      <c r="B29" s="8"/>
      <c r="C29" s="46" t="s">
        <v>343</v>
      </c>
      <c r="D29" s="214" t="s">
        <v>19</v>
      </c>
      <c r="E29" s="32"/>
      <c r="F29" s="172"/>
      <c r="G29" s="18">
        <f t="shared" si="1"/>
        <v>6977</v>
      </c>
      <c r="H29" s="28" t="s">
        <v>91</v>
      </c>
      <c r="I29" s="7" t="s">
        <v>90</v>
      </c>
      <c r="J29" s="7"/>
      <c r="K29" s="7"/>
    </row>
    <row r="30" spans="1:14" ht="18" customHeight="1" x14ac:dyDescent="0.25">
      <c r="A30" s="14">
        <f t="shared" si="0"/>
        <v>22</v>
      </c>
      <c r="B30" s="8"/>
      <c r="C30" s="46" t="s">
        <v>343</v>
      </c>
      <c r="D30" s="214" t="s">
        <v>19</v>
      </c>
      <c r="E30" s="32"/>
      <c r="F30" s="17"/>
      <c r="G30" s="18">
        <f t="shared" si="1"/>
        <v>6977</v>
      </c>
      <c r="H30" s="28" t="s">
        <v>91</v>
      </c>
      <c r="I30" s="7" t="s">
        <v>90</v>
      </c>
      <c r="J30" s="7"/>
      <c r="K30" s="7"/>
      <c r="N30">
        <f>6977-5093.6</f>
        <v>1883.3999999999996</v>
      </c>
    </row>
    <row r="31" spans="1:14" ht="18" customHeight="1" x14ac:dyDescent="0.25">
      <c r="A31" s="14">
        <f t="shared" si="0"/>
        <v>23</v>
      </c>
      <c r="B31" s="8"/>
      <c r="C31" s="46" t="s">
        <v>343</v>
      </c>
      <c r="D31" s="214" t="s">
        <v>19</v>
      </c>
      <c r="E31" s="32"/>
      <c r="F31" s="17"/>
      <c r="G31" s="18">
        <f t="shared" si="1"/>
        <v>6977</v>
      </c>
      <c r="H31" s="28" t="s">
        <v>91</v>
      </c>
      <c r="I31" s="7" t="s">
        <v>90</v>
      </c>
      <c r="J31" s="7"/>
      <c r="K31" s="7"/>
      <c r="N31">
        <f>+N30-998.6</f>
        <v>884.79999999999961</v>
      </c>
    </row>
    <row r="32" spans="1:14" ht="17.25" customHeight="1" x14ac:dyDescent="0.25">
      <c r="A32" s="14">
        <f t="shared" si="0"/>
        <v>24</v>
      </c>
      <c r="B32" s="8"/>
      <c r="C32" s="46" t="s">
        <v>343</v>
      </c>
      <c r="D32" s="214" t="s">
        <v>19</v>
      </c>
      <c r="E32" s="13"/>
      <c r="F32" s="17"/>
      <c r="G32" s="18">
        <f t="shared" si="1"/>
        <v>6977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343</v>
      </c>
      <c r="D33" s="214" t="s">
        <v>19</v>
      </c>
      <c r="E33" s="13"/>
      <c r="F33" s="17"/>
      <c r="G33" s="18">
        <f t="shared" si="1"/>
        <v>6977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343</v>
      </c>
      <c r="D34" s="214" t="s">
        <v>19</v>
      </c>
      <c r="E34" s="32"/>
      <c r="F34" s="40"/>
      <c r="G34" s="18">
        <f t="shared" si="1"/>
        <v>6977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343</v>
      </c>
      <c r="D35" s="214" t="s">
        <v>19</v>
      </c>
      <c r="E35" s="32"/>
      <c r="F35" s="40"/>
      <c r="G35" s="18">
        <f t="shared" si="1"/>
        <v>6977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343</v>
      </c>
      <c r="D36" s="214" t="s">
        <v>19</v>
      </c>
      <c r="E36" s="32"/>
      <c r="F36" s="40"/>
      <c r="G36" s="18">
        <f t="shared" si="1"/>
        <v>6977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343</v>
      </c>
      <c r="D37" s="214" t="s">
        <v>19</v>
      </c>
      <c r="E37" s="32"/>
      <c r="F37" s="17"/>
      <c r="G37" s="18">
        <f t="shared" si="1"/>
        <v>6977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343</v>
      </c>
      <c r="D38" s="214" t="s">
        <v>19</v>
      </c>
      <c r="E38" s="32"/>
      <c r="F38" s="17"/>
      <c r="G38" s="18">
        <f t="shared" si="1"/>
        <v>6977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343</v>
      </c>
      <c r="D39" s="214" t="s">
        <v>19</v>
      </c>
      <c r="E39" s="32"/>
      <c r="F39" s="17"/>
      <c r="G39" s="18">
        <f t="shared" si="1"/>
        <v>6977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343</v>
      </c>
      <c r="D40" s="214" t="s">
        <v>19</v>
      </c>
      <c r="E40" s="32"/>
      <c r="F40" s="17"/>
      <c r="G40" s="18">
        <f t="shared" si="1"/>
        <v>6977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343</v>
      </c>
      <c r="D41" s="214" t="s">
        <v>19</v>
      </c>
      <c r="E41" s="32"/>
      <c r="F41" s="172"/>
      <c r="G41" s="18">
        <f t="shared" si="1"/>
        <v>6977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343</v>
      </c>
      <c r="D42" s="214" t="s">
        <v>19</v>
      </c>
      <c r="E42" s="32"/>
      <c r="F42" s="17"/>
      <c r="G42" s="18">
        <f t="shared" si="1"/>
        <v>6977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343</v>
      </c>
      <c r="D43" s="214" t="s">
        <v>19</v>
      </c>
      <c r="E43" s="32"/>
      <c r="F43" s="17"/>
      <c r="G43" s="18">
        <f t="shared" si="1"/>
        <v>6977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343</v>
      </c>
      <c r="D44" s="214" t="s">
        <v>19</v>
      </c>
      <c r="E44" s="32"/>
      <c r="F44" s="17"/>
      <c r="G44" s="18">
        <f t="shared" si="1"/>
        <v>6977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343</v>
      </c>
      <c r="D45" s="214" t="s">
        <v>19</v>
      </c>
      <c r="E45" s="32"/>
      <c r="F45" s="17"/>
      <c r="G45" s="18">
        <f t="shared" si="1"/>
        <v>6977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343</v>
      </c>
      <c r="D46" s="214" t="s">
        <v>19</v>
      </c>
      <c r="E46" s="32"/>
      <c r="F46" s="17"/>
      <c r="G46" s="18">
        <f t="shared" si="1"/>
        <v>6977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343</v>
      </c>
      <c r="D47" s="214" t="s">
        <v>19</v>
      </c>
      <c r="E47" s="32"/>
      <c r="F47" s="17"/>
      <c r="G47" s="18">
        <f t="shared" si="1"/>
        <v>6977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343</v>
      </c>
      <c r="D48" s="214" t="s">
        <v>19</v>
      </c>
      <c r="E48" s="32"/>
      <c r="F48" s="17"/>
      <c r="G48" s="18">
        <f t="shared" si="1"/>
        <v>6977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343</v>
      </c>
      <c r="D49" s="214" t="s">
        <v>19</v>
      </c>
      <c r="E49" s="32"/>
      <c r="F49" s="17"/>
      <c r="G49" s="18">
        <f t="shared" si="1"/>
        <v>6977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343</v>
      </c>
      <c r="D50" s="237" t="s">
        <v>19</v>
      </c>
      <c r="E50" s="175"/>
      <c r="F50" s="172"/>
      <c r="G50" s="238">
        <f t="shared" si="1"/>
        <v>6977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343</v>
      </c>
      <c r="D51" s="214" t="s">
        <v>19</v>
      </c>
      <c r="E51" s="32"/>
      <c r="F51" s="17"/>
      <c r="G51" s="18">
        <f t="shared" si="1"/>
        <v>6977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343</v>
      </c>
      <c r="D52" s="214" t="s">
        <v>19</v>
      </c>
      <c r="E52" s="32"/>
      <c r="F52" s="17"/>
      <c r="G52" s="18">
        <f t="shared" si="1"/>
        <v>6977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343</v>
      </c>
      <c r="D53" s="214" t="s">
        <v>19</v>
      </c>
      <c r="E53" s="32"/>
      <c r="F53" s="17"/>
      <c r="G53" s="18">
        <f t="shared" si="1"/>
        <v>6977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343</v>
      </c>
      <c r="D54" s="214" t="s">
        <v>19</v>
      </c>
      <c r="E54" s="32"/>
      <c r="F54" s="17"/>
      <c r="G54" s="18">
        <f t="shared" si="1"/>
        <v>6977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343</v>
      </c>
      <c r="D55" s="214" t="s">
        <v>19</v>
      </c>
      <c r="E55" s="32"/>
      <c r="F55" s="17"/>
      <c r="G55" s="18">
        <f t="shared" si="1"/>
        <v>6977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343</v>
      </c>
      <c r="D56" s="214" t="s">
        <v>19</v>
      </c>
      <c r="E56" s="32"/>
      <c r="F56" s="17"/>
      <c r="G56" s="18">
        <f t="shared" si="1"/>
        <v>6977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343</v>
      </c>
      <c r="D57" s="214" t="s">
        <v>19</v>
      </c>
      <c r="E57" s="32"/>
      <c r="F57" s="17"/>
      <c r="G57" s="18">
        <f t="shared" si="1"/>
        <v>6977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343</v>
      </c>
      <c r="D58" s="214" t="s">
        <v>19</v>
      </c>
      <c r="E58" s="32"/>
      <c r="F58" s="17"/>
      <c r="G58" s="18">
        <f t="shared" si="1"/>
        <v>6977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343</v>
      </c>
      <c r="D59" s="214" t="s">
        <v>19</v>
      </c>
      <c r="E59" s="32"/>
      <c r="F59" s="17"/>
      <c r="G59" s="18">
        <f t="shared" si="1"/>
        <v>6977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343</v>
      </c>
      <c r="D60" s="214" t="s">
        <v>19</v>
      </c>
      <c r="E60" s="32"/>
      <c r="F60" s="17"/>
      <c r="G60" s="18">
        <f t="shared" si="1"/>
        <v>6977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343</v>
      </c>
      <c r="D61" s="214" t="s">
        <v>19</v>
      </c>
      <c r="E61" s="32"/>
      <c r="F61" s="17"/>
      <c r="G61" s="18">
        <f t="shared" si="1"/>
        <v>6977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343</v>
      </c>
      <c r="D62" s="214" t="s">
        <v>19</v>
      </c>
      <c r="E62" s="32"/>
      <c r="F62" s="17"/>
      <c r="G62" s="18">
        <f t="shared" si="1"/>
        <v>6977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343</v>
      </c>
      <c r="D63" s="214" t="s">
        <v>19</v>
      </c>
      <c r="E63" s="32"/>
      <c r="F63" s="17"/>
      <c r="G63" s="18">
        <f t="shared" si="1"/>
        <v>6977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343</v>
      </c>
      <c r="D64" s="214" t="s">
        <v>19</v>
      </c>
      <c r="E64" s="32"/>
      <c r="F64" s="17"/>
      <c r="G64" s="18">
        <f t="shared" si="1"/>
        <v>6977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343</v>
      </c>
      <c r="D65" s="214" t="s">
        <v>19</v>
      </c>
      <c r="E65" s="32"/>
      <c r="F65" s="17"/>
      <c r="G65" s="18">
        <f t="shared" si="1"/>
        <v>6977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343</v>
      </c>
      <c r="D66" s="214" t="s">
        <v>19</v>
      </c>
      <c r="E66" s="32"/>
      <c r="F66" s="17"/>
      <c r="G66" s="18">
        <f t="shared" si="1"/>
        <v>6977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343</v>
      </c>
      <c r="D67" s="214" t="s">
        <v>19</v>
      </c>
      <c r="E67" s="32"/>
      <c r="F67" s="17"/>
      <c r="G67" s="18">
        <f>+G66+E67-F67</f>
        <v>6977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343</v>
      </c>
      <c r="D68" s="214" t="s">
        <v>19</v>
      </c>
      <c r="E68" s="32"/>
      <c r="F68" s="17"/>
      <c r="G68" s="18">
        <f>+G67+E68-F68</f>
        <v>6977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343</v>
      </c>
      <c r="D69" s="214" t="s">
        <v>19</v>
      </c>
      <c r="E69" s="32"/>
      <c r="F69" s="17"/>
      <c r="G69" s="18">
        <f>+G68+E69-F69</f>
        <v>6977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343</v>
      </c>
      <c r="D70" s="214" t="s">
        <v>19</v>
      </c>
      <c r="E70" s="32"/>
      <c r="F70" s="17"/>
      <c r="G70" s="18">
        <f t="shared" si="1"/>
        <v>6977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343</v>
      </c>
      <c r="D71" s="214" t="s">
        <v>19</v>
      </c>
      <c r="E71" s="32"/>
      <c r="F71" s="17"/>
      <c r="G71" s="18">
        <f t="shared" si="1"/>
        <v>6977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343</v>
      </c>
      <c r="D72" s="214" t="s">
        <v>19</v>
      </c>
      <c r="E72" s="32"/>
      <c r="F72" s="17"/>
      <c r="G72" s="18">
        <f t="shared" si="1"/>
        <v>6977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343</v>
      </c>
      <c r="D73" s="214" t="s">
        <v>19</v>
      </c>
      <c r="E73" s="32"/>
      <c r="F73" s="17"/>
      <c r="G73" s="18">
        <f t="shared" si="1"/>
        <v>6977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343</v>
      </c>
      <c r="D74" s="214" t="s">
        <v>19</v>
      </c>
      <c r="E74" s="32"/>
      <c r="F74" s="17"/>
      <c r="G74" s="18">
        <f t="shared" ref="G74:G91" si="3">+G73+E74-F74</f>
        <v>6977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343</v>
      </c>
      <c r="D75" s="214" t="s">
        <v>19</v>
      </c>
      <c r="E75" s="32"/>
      <c r="F75" s="17"/>
      <c r="G75" s="18">
        <f t="shared" si="3"/>
        <v>6977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343</v>
      </c>
      <c r="D76" s="214" t="s">
        <v>19</v>
      </c>
      <c r="E76" s="32"/>
      <c r="F76" s="17"/>
      <c r="G76" s="18">
        <f t="shared" si="3"/>
        <v>6977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343</v>
      </c>
      <c r="D77" s="214" t="s">
        <v>19</v>
      </c>
      <c r="E77" s="32"/>
      <c r="F77" s="17"/>
      <c r="G77" s="18">
        <f t="shared" si="3"/>
        <v>6977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343</v>
      </c>
      <c r="D78" s="214" t="s">
        <v>19</v>
      </c>
      <c r="E78" s="32"/>
      <c r="F78" s="17"/>
      <c r="G78" s="18">
        <f t="shared" si="3"/>
        <v>6977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343</v>
      </c>
      <c r="D79" s="214" t="s">
        <v>19</v>
      </c>
      <c r="E79" s="32"/>
      <c r="F79" s="17"/>
      <c r="G79" s="18">
        <f t="shared" si="3"/>
        <v>6977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343</v>
      </c>
      <c r="D80" s="214" t="s">
        <v>19</v>
      </c>
      <c r="E80" s="32"/>
      <c r="F80" s="17"/>
      <c r="G80" s="18">
        <f t="shared" si="3"/>
        <v>6977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343</v>
      </c>
      <c r="D81" s="214" t="s">
        <v>19</v>
      </c>
      <c r="E81" s="32"/>
      <c r="F81" s="17"/>
      <c r="G81" s="18">
        <f t="shared" si="3"/>
        <v>6977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343</v>
      </c>
      <c r="D82" s="214" t="s">
        <v>19</v>
      </c>
      <c r="E82" s="32"/>
      <c r="F82" s="17"/>
      <c r="G82" s="18">
        <f t="shared" si="3"/>
        <v>6977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343</v>
      </c>
      <c r="D83" s="214" t="s">
        <v>19</v>
      </c>
      <c r="E83" s="32"/>
      <c r="F83" s="27"/>
      <c r="G83" s="18">
        <f t="shared" si="3"/>
        <v>6977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343</v>
      </c>
      <c r="D84" s="214" t="s">
        <v>19</v>
      </c>
      <c r="E84" s="32"/>
      <c r="F84" s="17"/>
      <c r="G84" s="18">
        <f t="shared" si="3"/>
        <v>6977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343</v>
      </c>
      <c r="D85" s="214" t="s">
        <v>19</v>
      </c>
      <c r="E85" s="32"/>
      <c r="F85" s="17"/>
      <c r="G85" s="18">
        <f t="shared" si="3"/>
        <v>6977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343</v>
      </c>
      <c r="D86" s="214" t="s">
        <v>19</v>
      </c>
      <c r="E86" s="32"/>
      <c r="F86" s="17"/>
      <c r="G86" s="18">
        <f t="shared" si="3"/>
        <v>6977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343</v>
      </c>
      <c r="D87" s="214" t="s">
        <v>19</v>
      </c>
      <c r="E87" s="32"/>
      <c r="F87" s="17"/>
      <c r="G87" s="18">
        <f t="shared" si="3"/>
        <v>6977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343</v>
      </c>
      <c r="D88" s="214" t="s">
        <v>19</v>
      </c>
      <c r="E88" s="32"/>
      <c r="F88" s="17"/>
      <c r="G88" s="18">
        <f t="shared" si="3"/>
        <v>6977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343</v>
      </c>
      <c r="D89" s="214" t="s">
        <v>19</v>
      </c>
      <c r="E89" s="32"/>
      <c r="F89" s="17"/>
      <c r="G89" s="18">
        <f t="shared" si="3"/>
        <v>6977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343</v>
      </c>
      <c r="D90" s="214" t="s">
        <v>19</v>
      </c>
      <c r="E90" s="32"/>
      <c r="F90" s="17"/>
      <c r="G90" s="18">
        <f t="shared" si="3"/>
        <v>6977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343</v>
      </c>
      <c r="D91" s="214" t="s">
        <v>19</v>
      </c>
      <c r="E91" s="32"/>
      <c r="F91" s="27"/>
      <c r="G91" s="18">
        <f t="shared" si="3"/>
        <v>6977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343</v>
      </c>
      <c r="D92" s="214" t="s">
        <v>19</v>
      </c>
      <c r="E92" s="32"/>
      <c r="F92" s="27"/>
      <c r="G92" s="18">
        <f>+G91+E92-F92</f>
        <v>6977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343</v>
      </c>
      <c r="D93" s="244" t="s">
        <v>19</v>
      </c>
      <c r="E93" s="245"/>
      <c r="F93" s="52"/>
      <c r="G93" s="246">
        <f>+G92+E93-F93</f>
        <v>6977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343</v>
      </c>
      <c r="D94" s="244" t="s">
        <v>19</v>
      </c>
      <c r="E94" s="245"/>
      <c r="F94" s="52"/>
      <c r="G94" s="246">
        <f t="shared" ref="G94:G106" si="4">+G93+E94-F94</f>
        <v>6977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343</v>
      </c>
      <c r="D95" s="244" t="s">
        <v>19</v>
      </c>
      <c r="E95" s="245"/>
      <c r="F95" s="52"/>
      <c r="G95" s="246">
        <f t="shared" si="4"/>
        <v>6977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343</v>
      </c>
      <c r="D96" s="244" t="s">
        <v>19</v>
      </c>
      <c r="E96" s="245"/>
      <c r="F96" s="52"/>
      <c r="G96" s="246">
        <f t="shared" si="4"/>
        <v>6977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343</v>
      </c>
      <c r="D97" s="244" t="s">
        <v>19</v>
      </c>
      <c r="E97" s="245"/>
      <c r="F97" s="52"/>
      <c r="G97" s="246">
        <f t="shared" si="4"/>
        <v>6977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343</v>
      </c>
      <c r="D98" s="244" t="s">
        <v>19</v>
      </c>
      <c r="E98" s="245"/>
      <c r="F98" s="52"/>
      <c r="G98" s="246">
        <f t="shared" si="4"/>
        <v>6977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343</v>
      </c>
      <c r="D99" s="244" t="s">
        <v>19</v>
      </c>
      <c r="E99" s="245"/>
      <c r="F99" s="52"/>
      <c r="G99" s="246">
        <f t="shared" si="4"/>
        <v>6977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343</v>
      </c>
      <c r="D100" s="244" t="s">
        <v>19</v>
      </c>
      <c r="E100" s="245"/>
      <c r="F100" s="52"/>
      <c r="G100" s="246">
        <f t="shared" si="4"/>
        <v>6977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6977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6977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6977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6977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6977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6977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6977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0</v>
      </c>
      <c r="G108" s="35">
        <f>+E108-F108+G8</f>
        <v>6977</v>
      </c>
      <c r="H108" s="35"/>
      <c r="I108" s="36"/>
      <c r="J108" s="7">
        <f>SUM(J9:J107)</f>
        <v>0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9C54-B930-4A86-927C-AE4C14034C62}">
  <sheetPr codeName="Sheet91"/>
  <dimension ref="A1:Q119"/>
  <sheetViews>
    <sheetView workbookViewId="0">
      <selection activeCell="J10" sqref="J1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45891</v>
      </c>
      <c r="C9" s="46" t="s">
        <v>433</v>
      </c>
      <c r="D9" s="214" t="s">
        <v>19</v>
      </c>
      <c r="E9" s="30">
        <v>12162</v>
      </c>
      <c r="F9" s="27"/>
      <c r="G9" s="18">
        <f>+G8+E9-F9</f>
        <v>12162</v>
      </c>
      <c r="H9" s="28" t="s">
        <v>91</v>
      </c>
      <c r="I9" s="7" t="s">
        <v>90</v>
      </c>
      <c r="J9" s="7">
        <v>40</v>
      </c>
      <c r="K9" s="7"/>
      <c r="M9">
        <f>+K9-L9</f>
        <v>0</v>
      </c>
    </row>
    <row r="10" spans="1:13" ht="17.25" customHeight="1" x14ac:dyDescent="0.25">
      <c r="A10" s="14">
        <f t="shared" ref="A10:A73" si="0">+A9+1</f>
        <v>2</v>
      </c>
      <c r="B10" s="8">
        <v>45805</v>
      </c>
      <c r="C10" s="46" t="s">
        <v>433</v>
      </c>
      <c r="D10" s="214" t="s">
        <v>19</v>
      </c>
      <c r="E10" s="11">
        <v>6452</v>
      </c>
      <c r="F10" s="27"/>
      <c r="G10" s="18">
        <f t="shared" ref="G10:G73" si="1">+G9+E10-F10</f>
        <v>18614</v>
      </c>
      <c r="H10" s="28" t="s">
        <v>140</v>
      </c>
      <c r="I10" s="7" t="s">
        <v>90</v>
      </c>
      <c r="J10" s="7">
        <v>22</v>
      </c>
      <c r="K10" s="7"/>
    </row>
    <row r="11" spans="1:13" ht="18" customHeight="1" x14ac:dyDescent="0.25">
      <c r="A11" s="14">
        <f t="shared" si="0"/>
        <v>3</v>
      </c>
      <c r="B11" s="8"/>
      <c r="C11" s="46" t="s">
        <v>433</v>
      </c>
      <c r="D11" s="214" t="s">
        <v>19</v>
      </c>
      <c r="E11" s="16"/>
      <c r="F11" s="27"/>
      <c r="G11" s="18">
        <f t="shared" si="1"/>
        <v>18614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/>
      <c r="C12" s="46" t="s">
        <v>433</v>
      </c>
      <c r="D12" s="214" t="s">
        <v>19</v>
      </c>
      <c r="E12" s="16"/>
      <c r="F12" s="17"/>
      <c r="G12" s="18">
        <f t="shared" si="1"/>
        <v>18614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 t="s">
        <v>433</v>
      </c>
      <c r="D13" s="214" t="s">
        <v>19</v>
      </c>
      <c r="E13" s="16"/>
      <c r="F13" s="17"/>
      <c r="G13" s="18">
        <f t="shared" si="1"/>
        <v>18614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 t="s">
        <v>433</v>
      </c>
      <c r="D14" s="214" t="s">
        <v>19</v>
      </c>
      <c r="E14" s="16"/>
      <c r="F14" s="27"/>
      <c r="G14" s="18">
        <f t="shared" si="1"/>
        <v>18614</v>
      </c>
      <c r="H14" s="28" t="s">
        <v>91</v>
      </c>
      <c r="I14" s="7" t="s">
        <v>90</v>
      </c>
      <c r="J14" s="7"/>
      <c r="K14" s="7"/>
      <c r="M14">
        <f>502+505</f>
        <v>1007</v>
      </c>
    </row>
    <row r="15" spans="1:13" ht="18" customHeight="1" x14ac:dyDescent="0.25">
      <c r="A15" s="14">
        <f t="shared" si="0"/>
        <v>7</v>
      </c>
      <c r="B15" s="8"/>
      <c r="C15" s="46" t="s">
        <v>433</v>
      </c>
      <c r="D15" s="214" t="s">
        <v>19</v>
      </c>
      <c r="E15" s="16"/>
      <c r="F15" s="27"/>
      <c r="G15" s="18">
        <f t="shared" si="1"/>
        <v>18614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 t="s">
        <v>433</v>
      </c>
      <c r="D16" s="214" t="s">
        <v>19</v>
      </c>
      <c r="E16" s="16"/>
      <c r="F16" s="27"/>
      <c r="G16" s="18">
        <f t="shared" si="1"/>
        <v>18614</v>
      </c>
      <c r="H16" s="28" t="s">
        <v>91</v>
      </c>
      <c r="I16" s="7" t="s">
        <v>90</v>
      </c>
      <c r="J16" s="7"/>
      <c r="K16" s="7"/>
    </row>
    <row r="17" spans="1:14" ht="18" customHeight="1" x14ac:dyDescent="0.25">
      <c r="A17" s="14">
        <f t="shared" si="0"/>
        <v>9</v>
      </c>
      <c r="B17" s="8"/>
      <c r="C17" s="46" t="s">
        <v>433</v>
      </c>
      <c r="D17" s="214" t="s">
        <v>19</v>
      </c>
      <c r="E17" s="30"/>
      <c r="F17" s="27"/>
      <c r="G17" s="18">
        <f t="shared" si="1"/>
        <v>18614</v>
      </c>
      <c r="H17" s="28" t="s">
        <v>91</v>
      </c>
      <c r="I17" s="7" t="s">
        <v>90</v>
      </c>
      <c r="J17" s="7"/>
      <c r="K17" s="7"/>
    </row>
    <row r="18" spans="1:14" s="230" customFormat="1" ht="18" customHeight="1" x14ac:dyDescent="0.25">
      <c r="A18" s="223">
        <f>+A17+1</f>
        <v>10</v>
      </c>
      <c r="B18" s="224"/>
      <c r="C18" s="46" t="s">
        <v>433</v>
      </c>
      <c r="D18" s="226" t="s">
        <v>19</v>
      </c>
      <c r="E18" s="227"/>
      <c r="F18" s="228"/>
      <c r="G18" s="229">
        <f t="shared" si="1"/>
        <v>18614</v>
      </c>
      <c r="H18" s="28" t="s">
        <v>91</v>
      </c>
      <c r="I18" s="7" t="s">
        <v>90</v>
      </c>
      <c r="J18" s="348"/>
      <c r="K18" s="348"/>
      <c r="M18" s="230">
        <f>6977-1007</f>
        <v>5970</v>
      </c>
    </row>
    <row r="19" spans="1:14" s="230" customFormat="1" ht="18" customHeight="1" x14ac:dyDescent="0.25">
      <c r="A19" s="223">
        <f t="shared" si="0"/>
        <v>11</v>
      </c>
      <c r="B19" s="224"/>
      <c r="C19" s="46" t="s">
        <v>433</v>
      </c>
      <c r="D19" s="226" t="s">
        <v>19</v>
      </c>
      <c r="E19" s="231"/>
      <c r="F19" s="228"/>
      <c r="G19" s="229">
        <f t="shared" si="1"/>
        <v>18614</v>
      </c>
      <c r="H19" s="28" t="s">
        <v>91</v>
      </c>
      <c r="I19" s="7" t="s">
        <v>90</v>
      </c>
      <c r="J19" s="348"/>
      <c r="K19" s="348"/>
    </row>
    <row r="20" spans="1:14" ht="18" customHeight="1" x14ac:dyDescent="0.25">
      <c r="A20" s="14">
        <f t="shared" si="0"/>
        <v>12</v>
      </c>
      <c r="B20" s="8"/>
      <c r="C20" s="46" t="s">
        <v>433</v>
      </c>
      <c r="D20" s="214" t="s">
        <v>19</v>
      </c>
      <c r="E20" s="32"/>
      <c r="F20" s="17"/>
      <c r="G20" s="18">
        <f t="shared" si="1"/>
        <v>18614</v>
      </c>
      <c r="H20" s="28" t="s">
        <v>91</v>
      </c>
      <c r="I20" s="7" t="s">
        <v>90</v>
      </c>
      <c r="J20" s="7"/>
      <c r="K20" s="7"/>
      <c r="N20" s="26">
        <f>421+449+418+418+424+423+441+450+440+446+445</f>
        <v>4775</v>
      </c>
    </row>
    <row r="21" spans="1:14" ht="18" customHeight="1" x14ac:dyDescent="0.25">
      <c r="A21" s="14">
        <f t="shared" si="0"/>
        <v>13</v>
      </c>
      <c r="B21" s="8"/>
      <c r="C21" s="46" t="s">
        <v>433</v>
      </c>
      <c r="D21" s="214" t="s">
        <v>19</v>
      </c>
      <c r="E21" s="32"/>
      <c r="F21" s="27"/>
      <c r="G21" s="18">
        <f t="shared" si="1"/>
        <v>18614</v>
      </c>
      <c r="H21" s="28" t="s">
        <v>91</v>
      </c>
      <c r="I21" s="7" t="s">
        <v>90</v>
      </c>
      <c r="J21" s="7"/>
      <c r="K21" s="7"/>
      <c r="N21" s="26">
        <f>+N20-31.6</f>
        <v>4743.3999999999996</v>
      </c>
    </row>
    <row r="22" spans="1:14" ht="18" customHeight="1" x14ac:dyDescent="0.25">
      <c r="A22" s="14">
        <f t="shared" si="0"/>
        <v>14</v>
      </c>
      <c r="B22" s="232"/>
      <c r="C22" s="46" t="s">
        <v>433</v>
      </c>
      <c r="D22" s="234" t="s">
        <v>19</v>
      </c>
      <c r="E22" s="235"/>
      <c r="F22" s="172"/>
      <c r="G22" s="18">
        <f t="shared" si="1"/>
        <v>18614</v>
      </c>
      <c r="H22" s="28" t="s">
        <v>129</v>
      </c>
      <c r="I22" s="7" t="s">
        <v>90</v>
      </c>
      <c r="J22" s="7"/>
      <c r="K22" s="7"/>
      <c r="M22">
        <f>502+505</f>
        <v>1007</v>
      </c>
    </row>
    <row r="23" spans="1:14" ht="18" customHeight="1" x14ac:dyDescent="0.25">
      <c r="A23" s="14">
        <f t="shared" si="0"/>
        <v>15</v>
      </c>
      <c r="B23" s="8"/>
      <c r="C23" s="46" t="s">
        <v>433</v>
      </c>
      <c r="D23" s="214" t="s">
        <v>19</v>
      </c>
      <c r="E23" s="32"/>
      <c r="F23" s="17"/>
      <c r="G23" s="18">
        <f t="shared" si="1"/>
        <v>18614</v>
      </c>
      <c r="H23" s="28" t="s">
        <v>129</v>
      </c>
      <c r="I23" s="7" t="s">
        <v>142</v>
      </c>
      <c r="J23" s="7"/>
      <c r="K23" s="7"/>
    </row>
    <row r="24" spans="1:14" ht="18" customHeight="1" x14ac:dyDescent="0.25">
      <c r="A24" s="14">
        <f t="shared" si="0"/>
        <v>16</v>
      </c>
      <c r="B24" s="8"/>
      <c r="C24" s="46" t="s">
        <v>433</v>
      </c>
      <c r="D24" s="214" t="s">
        <v>19</v>
      </c>
      <c r="E24" s="32"/>
      <c r="F24" s="17"/>
      <c r="G24" s="18">
        <f t="shared" si="1"/>
        <v>18614</v>
      </c>
      <c r="H24" s="28" t="s">
        <v>91</v>
      </c>
      <c r="I24" s="7" t="s">
        <v>90</v>
      </c>
      <c r="J24" s="7"/>
      <c r="K24" s="7"/>
    </row>
    <row r="25" spans="1:14" ht="18" customHeight="1" x14ac:dyDescent="0.25">
      <c r="A25" s="14">
        <f t="shared" si="0"/>
        <v>17</v>
      </c>
      <c r="B25" s="8"/>
      <c r="C25" s="46" t="s">
        <v>433</v>
      </c>
      <c r="D25" s="214" t="s">
        <v>19</v>
      </c>
      <c r="E25" s="32"/>
      <c r="F25" s="17"/>
      <c r="G25" s="18">
        <f t="shared" si="1"/>
        <v>18614</v>
      </c>
      <c r="H25" s="28" t="s">
        <v>91</v>
      </c>
      <c r="I25" s="7" t="s">
        <v>90</v>
      </c>
      <c r="J25" s="7"/>
      <c r="K25" s="7"/>
    </row>
    <row r="26" spans="1:14" ht="18" customHeight="1" x14ac:dyDescent="0.25">
      <c r="A26" s="14">
        <f t="shared" si="0"/>
        <v>18</v>
      </c>
      <c r="B26" s="8"/>
      <c r="C26" s="46" t="s">
        <v>433</v>
      </c>
      <c r="D26" s="214" t="s">
        <v>19</v>
      </c>
      <c r="E26" s="32"/>
      <c r="F26" s="17"/>
      <c r="G26" s="18">
        <f t="shared" si="1"/>
        <v>18614</v>
      </c>
      <c r="H26" s="28" t="s">
        <v>91</v>
      </c>
      <c r="I26" s="7" t="s">
        <v>90</v>
      </c>
      <c r="J26" s="7"/>
      <c r="K26" s="7"/>
    </row>
    <row r="27" spans="1:14" ht="18" customHeight="1" x14ac:dyDescent="0.25">
      <c r="A27" s="14">
        <f>+A26+1</f>
        <v>19</v>
      </c>
      <c r="B27" s="8"/>
      <c r="C27" s="46" t="s">
        <v>433</v>
      </c>
      <c r="D27" s="214" t="s">
        <v>19</v>
      </c>
      <c r="E27" s="32"/>
      <c r="F27" s="17"/>
      <c r="G27" s="18">
        <f t="shared" si="1"/>
        <v>18614</v>
      </c>
      <c r="H27" s="28" t="s">
        <v>91</v>
      </c>
      <c r="I27" s="7" t="s">
        <v>90</v>
      </c>
      <c r="J27" s="7"/>
      <c r="K27" s="7"/>
    </row>
    <row r="28" spans="1:14" ht="18" customHeight="1" x14ac:dyDescent="0.25">
      <c r="A28" s="14">
        <f t="shared" si="0"/>
        <v>20</v>
      </c>
      <c r="B28" s="8"/>
      <c r="C28" s="46" t="s">
        <v>433</v>
      </c>
      <c r="D28" s="214" t="s">
        <v>19</v>
      </c>
      <c r="E28" s="129"/>
      <c r="F28" s="17"/>
      <c r="G28" s="18">
        <f t="shared" si="1"/>
        <v>18614</v>
      </c>
      <c r="H28" s="28" t="s">
        <v>91</v>
      </c>
      <c r="I28" s="7" t="s">
        <v>90</v>
      </c>
      <c r="J28" s="7"/>
      <c r="K28" s="7"/>
    </row>
    <row r="29" spans="1:14" ht="18" customHeight="1" x14ac:dyDescent="0.25">
      <c r="A29" s="14">
        <f t="shared" si="0"/>
        <v>21</v>
      </c>
      <c r="B29" s="8"/>
      <c r="C29" s="46" t="s">
        <v>433</v>
      </c>
      <c r="D29" s="214" t="s">
        <v>19</v>
      </c>
      <c r="E29" s="32"/>
      <c r="F29" s="172"/>
      <c r="G29" s="18">
        <f t="shared" si="1"/>
        <v>18614</v>
      </c>
      <c r="H29" s="28" t="s">
        <v>91</v>
      </c>
      <c r="I29" s="7" t="s">
        <v>90</v>
      </c>
      <c r="J29" s="7"/>
      <c r="K29" s="7"/>
    </row>
    <row r="30" spans="1:14" ht="18" customHeight="1" x14ac:dyDescent="0.25">
      <c r="A30" s="14">
        <f t="shared" si="0"/>
        <v>22</v>
      </c>
      <c r="B30" s="8"/>
      <c r="C30" s="46" t="s">
        <v>433</v>
      </c>
      <c r="D30" s="214" t="s">
        <v>19</v>
      </c>
      <c r="E30" s="32"/>
      <c r="F30" s="17"/>
      <c r="G30" s="18">
        <f t="shared" si="1"/>
        <v>18614</v>
      </c>
      <c r="H30" s="28" t="s">
        <v>91</v>
      </c>
      <c r="I30" s="7" t="s">
        <v>90</v>
      </c>
      <c r="J30" s="7"/>
      <c r="K30" s="7"/>
      <c r="N30">
        <f>6977-5093.6</f>
        <v>1883.3999999999996</v>
      </c>
    </row>
    <row r="31" spans="1:14" ht="18" customHeight="1" x14ac:dyDescent="0.25">
      <c r="A31" s="14">
        <f t="shared" si="0"/>
        <v>23</v>
      </c>
      <c r="B31" s="8"/>
      <c r="C31" s="46" t="s">
        <v>433</v>
      </c>
      <c r="D31" s="214" t="s">
        <v>19</v>
      </c>
      <c r="E31" s="32"/>
      <c r="F31" s="17"/>
      <c r="G31" s="18">
        <f t="shared" si="1"/>
        <v>18614</v>
      </c>
      <c r="H31" s="28" t="s">
        <v>91</v>
      </c>
      <c r="I31" s="7" t="s">
        <v>90</v>
      </c>
      <c r="J31" s="7"/>
      <c r="K31" s="7"/>
      <c r="N31">
        <f>+N30-998.6</f>
        <v>884.79999999999961</v>
      </c>
    </row>
    <row r="32" spans="1:14" ht="17.25" customHeight="1" x14ac:dyDescent="0.25">
      <c r="A32" s="14">
        <f t="shared" si="0"/>
        <v>24</v>
      </c>
      <c r="B32" s="8"/>
      <c r="C32" s="46" t="s">
        <v>433</v>
      </c>
      <c r="D32" s="214" t="s">
        <v>19</v>
      </c>
      <c r="E32" s="13"/>
      <c r="F32" s="17"/>
      <c r="G32" s="18">
        <f t="shared" si="1"/>
        <v>18614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433</v>
      </c>
      <c r="D33" s="214" t="s">
        <v>19</v>
      </c>
      <c r="E33" s="13"/>
      <c r="F33" s="17"/>
      <c r="G33" s="18">
        <f t="shared" si="1"/>
        <v>18614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433</v>
      </c>
      <c r="D34" s="214" t="s">
        <v>19</v>
      </c>
      <c r="E34" s="32"/>
      <c r="F34" s="40"/>
      <c r="G34" s="18">
        <f t="shared" si="1"/>
        <v>18614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433</v>
      </c>
      <c r="D35" s="214" t="s">
        <v>19</v>
      </c>
      <c r="E35" s="32"/>
      <c r="F35" s="40"/>
      <c r="G35" s="18">
        <f t="shared" si="1"/>
        <v>18614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433</v>
      </c>
      <c r="D36" s="214" t="s">
        <v>19</v>
      </c>
      <c r="E36" s="32"/>
      <c r="F36" s="40"/>
      <c r="G36" s="18">
        <f t="shared" si="1"/>
        <v>18614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433</v>
      </c>
      <c r="D37" s="214" t="s">
        <v>19</v>
      </c>
      <c r="E37" s="32"/>
      <c r="F37" s="17"/>
      <c r="G37" s="18">
        <f t="shared" si="1"/>
        <v>18614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433</v>
      </c>
      <c r="D38" s="214" t="s">
        <v>19</v>
      </c>
      <c r="E38" s="32"/>
      <c r="F38" s="17"/>
      <c r="G38" s="18">
        <f t="shared" si="1"/>
        <v>18614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433</v>
      </c>
      <c r="D39" s="214" t="s">
        <v>19</v>
      </c>
      <c r="E39" s="32"/>
      <c r="F39" s="17"/>
      <c r="G39" s="18">
        <f t="shared" si="1"/>
        <v>18614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433</v>
      </c>
      <c r="D40" s="214" t="s">
        <v>19</v>
      </c>
      <c r="E40" s="32"/>
      <c r="F40" s="17"/>
      <c r="G40" s="18">
        <f t="shared" si="1"/>
        <v>18614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433</v>
      </c>
      <c r="D41" s="214" t="s">
        <v>19</v>
      </c>
      <c r="E41" s="32"/>
      <c r="F41" s="172"/>
      <c r="G41" s="18">
        <f t="shared" si="1"/>
        <v>18614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433</v>
      </c>
      <c r="D42" s="214" t="s">
        <v>19</v>
      </c>
      <c r="E42" s="32"/>
      <c r="F42" s="17"/>
      <c r="G42" s="18">
        <f t="shared" si="1"/>
        <v>18614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433</v>
      </c>
      <c r="D43" s="214" t="s">
        <v>19</v>
      </c>
      <c r="E43" s="32"/>
      <c r="F43" s="17"/>
      <c r="G43" s="18">
        <f t="shared" si="1"/>
        <v>18614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433</v>
      </c>
      <c r="D44" s="214" t="s">
        <v>19</v>
      </c>
      <c r="E44" s="32"/>
      <c r="F44" s="17"/>
      <c r="G44" s="18">
        <f t="shared" si="1"/>
        <v>18614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433</v>
      </c>
      <c r="D45" s="214" t="s">
        <v>19</v>
      </c>
      <c r="E45" s="32"/>
      <c r="F45" s="17"/>
      <c r="G45" s="18">
        <f t="shared" si="1"/>
        <v>18614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433</v>
      </c>
      <c r="D46" s="214" t="s">
        <v>19</v>
      </c>
      <c r="E46" s="32"/>
      <c r="F46" s="17"/>
      <c r="G46" s="18">
        <f t="shared" si="1"/>
        <v>18614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433</v>
      </c>
      <c r="D47" s="214" t="s">
        <v>19</v>
      </c>
      <c r="E47" s="32"/>
      <c r="F47" s="17"/>
      <c r="G47" s="18">
        <f t="shared" si="1"/>
        <v>18614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433</v>
      </c>
      <c r="D48" s="214" t="s">
        <v>19</v>
      </c>
      <c r="E48" s="32"/>
      <c r="F48" s="17"/>
      <c r="G48" s="18">
        <f t="shared" si="1"/>
        <v>18614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433</v>
      </c>
      <c r="D49" s="214" t="s">
        <v>19</v>
      </c>
      <c r="E49" s="32"/>
      <c r="F49" s="17"/>
      <c r="G49" s="18">
        <f t="shared" si="1"/>
        <v>18614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433</v>
      </c>
      <c r="D50" s="237" t="s">
        <v>19</v>
      </c>
      <c r="E50" s="175"/>
      <c r="F50" s="172"/>
      <c r="G50" s="238">
        <f t="shared" si="1"/>
        <v>18614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433</v>
      </c>
      <c r="D51" s="214" t="s">
        <v>19</v>
      </c>
      <c r="E51" s="32"/>
      <c r="F51" s="17"/>
      <c r="G51" s="18">
        <f t="shared" si="1"/>
        <v>18614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433</v>
      </c>
      <c r="D52" s="214" t="s">
        <v>19</v>
      </c>
      <c r="E52" s="32"/>
      <c r="F52" s="17"/>
      <c r="G52" s="18">
        <f t="shared" si="1"/>
        <v>18614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433</v>
      </c>
      <c r="D53" s="214" t="s">
        <v>19</v>
      </c>
      <c r="E53" s="32"/>
      <c r="F53" s="17"/>
      <c r="G53" s="18">
        <f t="shared" si="1"/>
        <v>18614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433</v>
      </c>
      <c r="D54" s="214" t="s">
        <v>19</v>
      </c>
      <c r="E54" s="32"/>
      <c r="F54" s="17"/>
      <c r="G54" s="18">
        <f t="shared" si="1"/>
        <v>18614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433</v>
      </c>
      <c r="D55" s="214" t="s">
        <v>19</v>
      </c>
      <c r="E55" s="32"/>
      <c r="F55" s="17"/>
      <c r="G55" s="18">
        <f t="shared" si="1"/>
        <v>18614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433</v>
      </c>
      <c r="D56" s="214" t="s">
        <v>19</v>
      </c>
      <c r="E56" s="32"/>
      <c r="F56" s="17"/>
      <c r="G56" s="18">
        <f t="shared" si="1"/>
        <v>18614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433</v>
      </c>
      <c r="D57" s="214" t="s">
        <v>19</v>
      </c>
      <c r="E57" s="32"/>
      <c r="F57" s="17"/>
      <c r="G57" s="18">
        <f t="shared" si="1"/>
        <v>18614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433</v>
      </c>
      <c r="D58" s="214" t="s">
        <v>19</v>
      </c>
      <c r="E58" s="32"/>
      <c r="F58" s="17"/>
      <c r="G58" s="18">
        <f t="shared" si="1"/>
        <v>18614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433</v>
      </c>
      <c r="D59" s="214" t="s">
        <v>19</v>
      </c>
      <c r="E59" s="32"/>
      <c r="F59" s="17"/>
      <c r="G59" s="18">
        <f t="shared" si="1"/>
        <v>18614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433</v>
      </c>
      <c r="D60" s="214" t="s">
        <v>19</v>
      </c>
      <c r="E60" s="32"/>
      <c r="F60" s="17"/>
      <c r="G60" s="18">
        <f t="shared" si="1"/>
        <v>18614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433</v>
      </c>
      <c r="D61" s="214" t="s">
        <v>19</v>
      </c>
      <c r="E61" s="32"/>
      <c r="F61" s="17"/>
      <c r="G61" s="18">
        <f t="shared" si="1"/>
        <v>18614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433</v>
      </c>
      <c r="D62" s="214" t="s">
        <v>19</v>
      </c>
      <c r="E62" s="32"/>
      <c r="F62" s="17"/>
      <c r="G62" s="18">
        <f t="shared" si="1"/>
        <v>18614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433</v>
      </c>
      <c r="D63" s="214" t="s">
        <v>19</v>
      </c>
      <c r="E63" s="32"/>
      <c r="F63" s="17"/>
      <c r="G63" s="18">
        <f t="shared" si="1"/>
        <v>18614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433</v>
      </c>
      <c r="D64" s="214" t="s">
        <v>19</v>
      </c>
      <c r="E64" s="32"/>
      <c r="F64" s="17"/>
      <c r="G64" s="18">
        <f t="shared" si="1"/>
        <v>18614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433</v>
      </c>
      <c r="D65" s="214" t="s">
        <v>19</v>
      </c>
      <c r="E65" s="32"/>
      <c r="F65" s="17"/>
      <c r="G65" s="18">
        <f t="shared" si="1"/>
        <v>18614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433</v>
      </c>
      <c r="D66" s="214" t="s">
        <v>19</v>
      </c>
      <c r="E66" s="32"/>
      <c r="F66" s="17"/>
      <c r="G66" s="18">
        <f t="shared" si="1"/>
        <v>18614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433</v>
      </c>
      <c r="D67" s="214" t="s">
        <v>19</v>
      </c>
      <c r="E67" s="32"/>
      <c r="F67" s="17"/>
      <c r="G67" s="18">
        <f>+G66+E67-F67</f>
        <v>18614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433</v>
      </c>
      <c r="D68" s="214" t="s">
        <v>19</v>
      </c>
      <c r="E68" s="32"/>
      <c r="F68" s="17"/>
      <c r="G68" s="18">
        <f>+G67+E68-F68</f>
        <v>18614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433</v>
      </c>
      <c r="D69" s="214" t="s">
        <v>19</v>
      </c>
      <c r="E69" s="32"/>
      <c r="F69" s="17"/>
      <c r="G69" s="18">
        <f>+G68+E69-F69</f>
        <v>18614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433</v>
      </c>
      <c r="D70" s="214" t="s">
        <v>19</v>
      </c>
      <c r="E70" s="32"/>
      <c r="F70" s="17"/>
      <c r="G70" s="18">
        <f t="shared" si="1"/>
        <v>18614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433</v>
      </c>
      <c r="D71" s="214" t="s">
        <v>19</v>
      </c>
      <c r="E71" s="32"/>
      <c r="F71" s="17"/>
      <c r="G71" s="18">
        <f t="shared" si="1"/>
        <v>18614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433</v>
      </c>
      <c r="D72" s="214" t="s">
        <v>19</v>
      </c>
      <c r="E72" s="32"/>
      <c r="F72" s="17"/>
      <c r="G72" s="18">
        <f t="shared" si="1"/>
        <v>18614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433</v>
      </c>
      <c r="D73" s="214" t="s">
        <v>19</v>
      </c>
      <c r="E73" s="32"/>
      <c r="F73" s="17"/>
      <c r="G73" s="18">
        <f t="shared" si="1"/>
        <v>18614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433</v>
      </c>
      <c r="D74" s="214" t="s">
        <v>19</v>
      </c>
      <c r="E74" s="32"/>
      <c r="F74" s="17"/>
      <c r="G74" s="18">
        <f t="shared" ref="G74:G91" si="3">+G73+E74-F74</f>
        <v>18614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433</v>
      </c>
      <c r="D75" s="214" t="s">
        <v>19</v>
      </c>
      <c r="E75" s="32"/>
      <c r="F75" s="17"/>
      <c r="G75" s="18">
        <f t="shared" si="3"/>
        <v>18614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433</v>
      </c>
      <c r="D76" s="214" t="s">
        <v>19</v>
      </c>
      <c r="E76" s="32"/>
      <c r="F76" s="17"/>
      <c r="G76" s="18">
        <f t="shared" si="3"/>
        <v>18614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433</v>
      </c>
      <c r="D77" s="214" t="s">
        <v>19</v>
      </c>
      <c r="E77" s="32"/>
      <c r="F77" s="17"/>
      <c r="G77" s="18">
        <f t="shared" si="3"/>
        <v>18614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433</v>
      </c>
      <c r="D78" s="214" t="s">
        <v>19</v>
      </c>
      <c r="E78" s="32"/>
      <c r="F78" s="17"/>
      <c r="G78" s="18">
        <f t="shared" si="3"/>
        <v>18614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433</v>
      </c>
      <c r="D79" s="214" t="s">
        <v>19</v>
      </c>
      <c r="E79" s="32"/>
      <c r="F79" s="17"/>
      <c r="G79" s="18">
        <f t="shared" si="3"/>
        <v>18614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433</v>
      </c>
      <c r="D80" s="214" t="s">
        <v>19</v>
      </c>
      <c r="E80" s="32"/>
      <c r="F80" s="17"/>
      <c r="G80" s="18">
        <f t="shared" si="3"/>
        <v>18614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433</v>
      </c>
      <c r="D81" s="214" t="s">
        <v>19</v>
      </c>
      <c r="E81" s="32"/>
      <c r="F81" s="17"/>
      <c r="G81" s="18">
        <f t="shared" si="3"/>
        <v>18614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433</v>
      </c>
      <c r="D82" s="214" t="s">
        <v>19</v>
      </c>
      <c r="E82" s="32"/>
      <c r="F82" s="17"/>
      <c r="G82" s="18">
        <f t="shared" si="3"/>
        <v>18614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433</v>
      </c>
      <c r="D83" s="214" t="s">
        <v>19</v>
      </c>
      <c r="E83" s="32"/>
      <c r="F83" s="27"/>
      <c r="G83" s="18">
        <f t="shared" si="3"/>
        <v>18614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433</v>
      </c>
      <c r="D84" s="214" t="s">
        <v>19</v>
      </c>
      <c r="E84" s="32"/>
      <c r="F84" s="17"/>
      <c r="G84" s="18">
        <f t="shared" si="3"/>
        <v>18614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433</v>
      </c>
      <c r="D85" s="214" t="s">
        <v>19</v>
      </c>
      <c r="E85" s="32"/>
      <c r="F85" s="17"/>
      <c r="G85" s="18">
        <f t="shared" si="3"/>
        <v>18614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433</v>
      </c>
      <c r="D86" s="214" t="s">
        <v>19</v>
      </c>
      <c r="E86" s="32"/>
      <c r="F86" s="17"/>
      <c r="G86" s="18">
        <f t="shared" si="3"/>
        <v>18614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433</v>
      </c>
      <c r="D87" s="214" t="s">
        <v>19</v>
      </c>
      <c r="E87" s="32"/>
      <c r="F87" s="17"/>
      <c r="G87" s="18">
        <f t="shared" si="3"/>
        <v>18614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433</v>
      </c>
      <c r="D88" s="214" t="s">
        <v>19</v>
      </c>
      <c r="E88" s="32"/>
      <c r="F88" s="17"/>
      <c r="G88" s="18">
        <f t="shared" si="3"/>
        <v>18614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433</v>
      </c>
      <c r="D89" s="214" t="s">
        <v>19</v>
      </c>
      <c r="E89" s="32"/>
      <c r="F89" s="17"/>
      <c r="G89" s="18">
        <f t="shared" si="3"/>
        <v>18614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433</v>
      </c>
      <c r="D90" s="214" t="s">
        <v>19</v>
      </c>
      <c r="E90" s="32"/>
      <c r="F90" s="17"/>
      <c r="G90" s="18">
        <f t="shared" si="3"/>
        <v>18614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433</v>
      </c>
      <c r="D91" s="214" t="s">
        <v>19</v>
      </c>
      <c r="E91" s="32"/>
      <c r="F91" s="27"/>
      <c r="G91" s="18">
        <f t="shared" si="3"/>
        <v>18614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433</v>
      </c>
      <c r="D92" s="214" t="s">
        <v>19</v>
      </c>
      <c r="E92" s="32"/>
      <c r="F92" s="27"/>
      <c r="G92" s="18">
        <f>+G91+E92-F92</f>
        <v>18614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433</v>
      </c>
      <c r="D93" s="244" t="s">
        <v>19</v>
      </c>
      <c r="E93" s="245"/>
      <c r="F93" s="52"/>
      <c r="G93" s="246">
        <f>+G92+E93-F93</f>
        <v>18614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433</v>
      </c>
      <c r="D94" s="244" t="s">
        <v>19</v>
      </c>
      <c r="E94" s="245"/>
      <c r="F94" s="52"/>
      <c r="G94" s="246">
        <f t="shared" ref="G94:G106" si="4">+G93+E94-F94</f>
        <v>18614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433</v>
      </c>
      <c r="D95" s="244" t="s">
        <v>19</v>
      </c>
      <c r="E95" s="245"/>
      <c r="F95" s="52"/>
      <c r="G95" s="246">
        <f t="shared" si="4"/>
        <v>18614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433</v>
      </c>
      <c r="D96" s="244" t="s">
        <v>19</v>
      </c>
      <c r="E96" s="245"/>
      <c r="F96" s="52"/>
      <c r="G96" s="246">
        <f t="shared" si="4"/>
        <v>18614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433</v>
      </c>
      <c r="D97" s="244" t="s">
        <v>19</v>
      </c>
      <c r="E97" s="245"/>
      <c r="F97" s="52"/>
      <c r="G97" s="246">
        <f t="shared" si="4"/>
        <v>18614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433</v>
      </c>
      <c r="D98" s="244" t="s">
        <v>19</v>
      </c>
      <c r="E98" s="245"/>
      <c r="F98" s="52"/>
      <c r="G98" s="246">
        <f t="shared" si="4"/>
        <v>18614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433</v>
      </c>
      <c r="D99" s="244" t="s">
        <v>19</v>
      </c>
      <c r="E99" s="245"/>
      <c r="F99" s="52"/>
      <c r="G99" s="246">
        <f t="shared" si="4"/>
        <v>18614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433</v>
      </c>
      <c r="D100" s="244" t="s">
        <v>19</v>
      </c>
      <c r="E100" s="245"/>
      <c r="F100" s="52"/>
      <c r="G100" s="246">
        <f t="shared" si="4"/>
        <v>18614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18614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18614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18614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18614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18614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18614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18614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18614</v>
      </c>
      <c r="F108" s="35">
        <f>SUM(F8:F107)</f>
        <v>0</v>
      </c>
      <c r="G108" s="35">
        <f>+E108-F108+G8</f>
        <v>18614</v>
      </c>
      <c r="H108" s="35"/>
      <c r="I108" s="36"/>
      <c r="J108" s="7">
        <f>SUM(J9:J107)</f>
        <v>62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3353-A339-4F41-851D-C3CC3DF1FA07}">
  <sheetPr codeName="Sheet92"/>
  <dimension ref="A1:Q119"/>
  <sheetViews>
    <sheetView workbookViewId="0">
      <selection activeCell="K10" sqref="K10:M1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45891</v>
      </c>
      <c r="C9" s="46" t="s">
        <v>434</v>
      </c>
      <c r="D9" s="214" t="s">
        <v>19</v>
      </c>
      <c r="E9" s="30">
        <v>5710</v>
      </c>
      <c r="F9" s="27"/>
      <c r="G9" s="18">
        <f>+G8+E9-F9</f>
        <v>5710</v>
      </c>
      <c r="H9" s="28" t="s">
        <v>91</v>
      </c>
      <c r="I9" s="7" t="s">
        <v>90</v>
      </c>
      <c r="J9" s="7">
        <v>18</v>
      </c>
      <c r="K9" s="7"/>
      <c r="M9">
        <f>+K9-L9</f>
        <v>0</v>
      </c>
    </row>
    <row r="10" spans="1:13" ht="17.25" customHeight="1" x14ac:dyDescent="0.25">
      <c r="A10" s="14">
        <f t="shared" ref="A10:A73" si="0">+A9+1</f>
        <v>2</v>
      </c>
      <c r="B10" s="8"/>
      <c r="C10" s="46" t="s">
        <v>434</v>
      </c>
      <c r="D10" s="214" t="s">
        <v>19</v>
      </c>
      <c r="E10" s="11"/>
      <c r="F10" s="27"/>
      <c r="G10" s="18">
        <f t="shared" ref="G10:G73" si="1">+G9+E10-F10</f>
        <v>5710</v>
      </c>
      <c r="H10" s="28" t="s">
        <v>140</v>
      </c>
      <c r="I10" s="7" t="s">
        <v>90</v>
      </c>
      <c r="J10" s="7"/>
      <c r="K10" s="7"/>
    </row>
    <row r="11" spans="1:13" ht="18" customHeight="1" x14ac:dyDescent="0.25">
      <c r="A11" s="14">
        <f t="shared" si="0"/>
        <v>3</v>
      </c>
      <c r="B11" s="8"/>
      <c r="C11" s="46" t="s">
        <v>434</v>
      </c>
      <c r="D11" s="214" t="s">
        <v>19</v>
      </c>
      <c r="E11" s="16"/>
      <c r="F11" s="27"/>
      <c r="G11" s="18">
        <f t="shared" si="1"/>
        <v>5710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/>
      <c r="C12" s="46" t="s">
        <v>434</v>
      </c>
      <c r="D12" s="214" t="s">
        <v>19</v>
      </c>
      <c r="E12" s="16"/>
      <c r="F12" s="17"/>
      <c r="G12" s="18">
        <f t="shared" si="1"/>
        <v>5710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 t="s">
        <v>434</v>
      </c>
      <c r="D13" s="214" t="s">
        <v>19</v>
      </c>
      <c r="E13" s="16"/>
      <c r="F13" s="17"/>
      <c r="G13" s="18">
        <f t="shared" si="1"/>
        <v>5710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 t="s">
        <v>434</v>
      </c>
      <c r="D14" s="214" t="s">
        <v>19</v>
      </c>
      <c r="E14" s="16"/>
      <c r="F14" s="27"/>
      <c r="G14" s="18">
        <f t="shared" si="1"/>
        <v>5710</v>
      </c>
      <c r="H14" s="28" t="s">
        <v>91</v>
      </c>
      <c r="I14" s="7" t="s">
        <v>90</v>
      </c>
      <c r="J14" s="7"/>
      <c r="K14" s="7"/>
      <c r="M14">
        <f>502+505</f>
        <v>1007</v>
      </c>
    </row>
    <row r="15" spans="1:13" ht="18" customHeight="1" x14ac:dyDescent="0.25">
      <c r="A15" s="14">
        <f t="shared" si="0"/>
        <v>7</v>
      </c>
      <c r="B15" s="8"/>
      <c r="C15" s="46" t="s">
        <v>434</v>
      </c>
      <c r="D15" s="214" t="s">
        <v>19</v>
      </c>
      <c r="E15" s="16"/>
      <c r="F15" s="27"/>
      <c r="G15" s="18">
        <f t="shared" si="1"/>
        <v>5710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 t="s">
        <v>434</v>
      </c>
      <c r="D16" s="214" t="s">
        <v>19</v>
      </c>
      <c r="E16" s="16"/>
      <c r="F16" s="27"/>
      <c r="G16" s="18">
        <f t="shared" si="1"/>
        <v>5710</v>
      </c>
      <c r="H16" s="28" t="s">
        <v>91</v>
      </c>
      <c r="I16" s="7" t="s">
        <v>90</v>
      </c>
      <c r="J16" s="7"/>
      <c r="K16" s="7"/>
    </row>
    <row r="17" spans="1:14" ht="18" customHeight="1" x14ac:dyDescent="0.25">
      <c r="A17" s="14">
        <f t="shared" si="0"/>
        <v>9</v>
      </c>
      <c r="B17" s="8"/>
      <c r="C17" s="46" t="s">
        <v>434</v>
      </c>
      <c r="D17" s="214" t="s">
        <v>19</v>
      </c>
      <c r="E17" s="30"/>
      <c r="F17" s="27"/>
      <c r="G17" s="18">
        <f t="shared" si="1"/>
        <v>5710</v>
      </c>
      <c r="H17" s="28" t="s">
        <v>91</v>
      </c>
      <c r="I17" s="7" t="s">
        <v>90</v>
      </c>
      <c r="J17" s="7"/>
      <c r="K17" s="7"/>
    </row>
    <row r="18" spans="1:14" s="230" customFormat="1" ht="18" customHeight="1" x14ac:dyDescent="0.25">
      <c r="A18" s="223">
        <f>+A17+1</f>
        <v>10</v>
      </c>
      <c r="B18" s="224"/>
      <c r="C18" s="46" t="s">
        <v>434</v>
      </c>
      <c r="D18" s="226" t="s">
        <v>19</v>
      </c>
      <c r="E18" s="227"/>
      <c r="F18" s="228"/>
      <c r="G18" s="229">
        <f t="shared" si="1"/>
        <v>5710</v>
      </c>
      <c r="H18" s="28" t="s">
        <v>91</v>
      </c>
      <c r="I18" s="7" t="s">
        <v>90</v>
      </c>
      <c r="J18" s="348"/>
      <c r="K18" s="348"/>
      <c r="M18" s="230">
        <f>6977-1007</f>
        <v>5970</v>
      </c>
    </row>
    <row r="19" spans="1:14" s="230" customFormat="1" ht="18" customHeight="1" x14ac:dyDescent="0.25">
      <c r="A19" s="223">
        <f t="shared" si="0"/>
        <v>11</v>
      </c>
      <c r="B19" s="224"/>
      <c r="C19" s="46" t="s">
        <v>434</v>
      </c>
      <c r="D19" s="226" t="s">
        <v>19</v>
      </c>
      <c r="E19" s="231"/>
      <c r="F19" s="228"/>
      <c r="G19" s="229">
        <f t="shared" si="1"/>
        <v>5710</v>
      </c>
      <c r="H19" s="28" t="s">
        <v>91</v>
      </c>
      <c r="I19" s="7" t="s">
        <v>90</v>
      </c>
      <c r="J19" s="348"/>
      <c r="K19" s="348"/>
    </row>
    <row r="20" spans="1:14" ht="18" customHeight="1" x14ac:dyDescent="0.25">
      <c r="A20" s="14">
        <f t="shared" si="0"/>
        <v>12</v>
      </c>
      <c r="B20" s="8"/>
      <c r="C20" s="46" t="s">
        <v>434</v>
      </c>
      <c r="D20" s="214" t="s">
        <v>19</v>
      </c>
      <c r="E20" s="32"/>
      <c r="F20" s="17"/>
      <c r="G20" s="18">
        <f t="shared" si="1"/>
        <v>5710</v>
      </c>
      <c r="H20" s="28" t="s">
        <v>91</v>
      </c>
      <c r="I20" s="7" t="s">
        <v>90</v>
      </c>
      <c r="J20" s="7"/>
      <c r="K20" s="7"/>
      <c r="N20" s="26">
        <f>421+449+418+418+424+423+441+450+440+446+445</f>
        <v>4775</v>
      </c>
    </row>
    <row r="21" spans="1:14" ht="18" customHeight="1" x14ac:dyDescent="0.25">
      <c r="A21" s="14">
        <f t="shared" si="0"/>
        <v>13</v>
      </c>
      <c r="B21" s="8"/>
      <c r="C21" s="46" t="s">
        <v>434</v>
      </c>
      <c r="D21" s="214" t="s">
        <v>19</v>
      </c>
      <c r="E21" s="32"/>
      <c r="F21" s="27"/>
      <c r="G21" s="18">
        <f t="shared" si="1"/>
        <v>5710</v>
      </c>
      <c r="H21" s="28" t="s">
        <v>91</v>
      </c>
      <c r="I21" s="7" t="s">
        <v>90</v>
      </c>
      <c r="J21" s="7"/>
      <c r="K21" s="7"/>
      <c r="N21" s="26">
        <f>+N20-31.6</f>
        <v>4743.3999999999996</v>
      </c>
    </row>
    <row r="22" spans="1:14" ht="18" customHeight="1" x14ac:dyDescent="0.25">
      <c r="A22" s="14">
        <f t="shared" si="0"/>
        <v>14</v>
      </c>
      <c r="B22" s="232"/>
      <c r="C22" s="46" t="s">
        <v>434</v>
      </c>
      <c r="D22" s="234" t="s">
        <v>19</v>
      </c>
      <c r="E22" s="235"/>
      <c r="F22" s="172"/>
      <c r="G22" s="18">
        <f t="shared" si="1"/>
        <v>5710</v>
      </c>
      <c r="H22" s="28" t="s">
        <v>129</v>
      </c>
      <c r="I22" s="7" t="s">
        <v>90</v>
      </c>
      <c r="J22" s="7"/>
      <c r="K22" s="7"/>
      <c r="M22">
        <f>502+505</f>
        <v>1007</v>
      </c>
    </row>
    <row r="23" spans="1:14" ht="18" customHeight="1" x14ac:dyDescent="0.25">
      <c r="A23" s="14">
        <f t="shared" si="0"/>
        <v>15</v>
      </c>
      <c r="B23" s="8"/>
      <c r="C23" s="46" t="s">
        <v>434</v>
      </c>
      <c r="D23" s="214" t="s">
        <v>19</v>
      </c>
      <c r="E23" s="32"/>
      <c r="F23" s="17"/>
      <c r="G23" s="18">
        <f t="shared" si="1"/>
        <v>5710</v>
      </c>
      <c r="H23" s="28" t="s">
        <v>129</v>
      </c>
      <c r="I23" s="7" t="s">
        <v>142</v>
      </c>
      <c r="J23" s="7"/>
      <c r="K23" s="7"/>
    </row>
    <row r="24" spans="1:14" ht="18" customHeight="1" x14ac:dyDescent="0.25">
      <c r="A24" s="14">
        <f t="shared" si="0"/>
        <v>16</v>
      </c>
      <c r="B24" s="8"/>
      <c r="C24" s="46" t="s">
        <v>434</v>
      </c>
      <c r="D24" s="214" t="s">
        <v>19</v>
      </c>
      <c r="E24" s="32"/>
      <c r="F24" s="17"/>
      <c r="G24" s="18">
        <f t="shared" si="1"/>
        <v>5710</v>
      </c>
      <c r="H24" s="28" t="s">
        <v>91</v>
      </c>
      <c r="I24" s="7" t="s">
        <v>90</v>
      </c>
      <c r="J24" s="7"/>
      <c r="K24" s="7"/>
    </row>
    <row r="25" spans="1:14" ht="18" customHeight="1" x14ac:dyDescent="0.25">
      <c r="A25" s="14">
        <f t="shared" si="0"/>
        <v>17</v>
      </c>
      <c r="B25" s="8"/>
      <c r="C25" s="46" t="s">
        <v>434</v>
      </c>
      <c r="D25" s="214" t="s">
        <v>19</v>
      </c>
      <c r="E25" s="32"/>
      <c r="F25" s="17"/>
      <c r="G25" s="18">
        <f t="shared" si="1"/>
        <v>5710</v>
      </c>
      <c r="H25" s="28" t="s">
        <v>91</v>
      </c>
      <c r="I25" s="7" t="s">
        <v>90</v>
      </c>
      <c r="J25" s="7"/>
      <c r="K25" s="7"/>
    </row>
    <row r="26" spans="1:14" ht="18" customHeight="1" x14ac:dyDescent="0.25">
      <c r="A26" s="14">
        <f t="shared" si="0"/>
        <v>18</v>
      </c>
      <c r="B26" s="8"/>
      <c r="C26" s="46" t="s">
        <v>434</v>
      </c>
      <c r="D26" s="214" t="s">
        <v>19</v>
      </c>
      <c r="E26" s="32"/>
      <c r="F26" s="17"/>
      <c r="G26" s="18">
        <f t="shared" si="1"/>
        <v>5710</v>
      </c>
      <c r="H26" s="28" t="s">
        <v>91</v>
      </c>
      <c r="I26" s="7" t="s">
        <v>90</v>
      </c>
      <c r="J26" s="7"/>
      <c r="K26" s="7"/>
    </row>
    <row r="27" spans="1:14" ht="18" customHeight="1" x14ac:dyDescent="0.25">
      <c r="A27" s="14">
        <f>+A26+1</f>
        <v>19</v>
      </c>
      <c r="B27" s="8"/>
      <c r="C27" s="46" t="s">
        <v>434</v>
      </c>
      <c r="D27" s="214" t="s">
        <v>19</v>
      </c>
      <c r="E27" s="32"/>
      <c r="F27" s="17"/>
      <c r="G27" s="18">
        <f t="shared" si="1"/>
        <v>5710</v>
      </c>
      <c r="H27" s="28" t="s">
        <v>91</v>
      </c>
      <c r="I27" s="7" t="s">
        <v>90</v>
      </c>
      <c r="J27" s="7"/>
      <c r="K27" s="7"/>
    </row>
    <row r="28" spans="1:14" ht="18" customHeight="1" x14ac:dyDescent="0.25">
      <c r="A28" s="14">
        <f t="shared" si="0"/>
        <v>20</v>
      </c>
      <c r="B28" s="8"/>
      <c r="C28" s="46" t="s">
        <v>434</v>
      </c>
      <c r="D28" s="214" t="s">
        <v>19</v>
      </c>
      <c r="E28" s="129"/>
      <c r="F28" s="17"/>
      <c r="G28" s="18">
        <f t="shared" si="1"/>
        <v>5710</v>
      </c>
      <c r="H28" s="28" t="s">
        <v>91</v>
      </c>
      <c r="I28" s="7" t="s">
        <v>90</v>
      </c>
      <c r="J28" s="7"/>
      <c r="K28" s="7"/>
    </row>
    <row r="29" spans="1:14" ht="18" customHeight="1" x14ac:dyDescent="0.25">
      <c r="A29" s="14">
        <f t="shared" si="0"/>
        <v>21</v>
      </c>
      <c r="B29" s="8"/>
      <c r="C29" s="46" t="s">
        <v>434</v>
      </c>
      <c r="D29" s="214" t="s">
        <v>19</v>
      </c>
      <c r="E29" s="32"/>
      <c r="F29" s="172"/>
      <c r="G29" s="18">
        <f t="shared" si="1"/>
        <v>5710</v>
      </c>
      <c r="H29" s="28" t="s">
        <v>91</v>
      </c>
      <c r="I29" s="7" t="s">
        <v>90</v>
      </c>
      <c r="J29" s="7"/>
      <c r="K29" s="7"/>
    </row>
    <row r="30" spans="1:14" ht="18" customHeight="1" x14ac:dyDescent="0.25">
      <c r="A30" s="14">
        <f t="shared" si="0"/>
        <v>22</v>
      </c>
      <c r="B30" s="8"/>
      <c r="C30" s="46" t="s">
        <v>434</v>
      </c>
      <c r="D30" s="214" t="s">
        <v>19</v>
      </c>
      <c r="E30" s="32"/>
      <c r="F30" s="17"/>
      <c r="G30" s="18">
        <f t="shared" si="1"/>
        <v>5710</v>
      </c>
      <c r="H30" s="28" t="s">
        <v>91</v>
      </c>
      <c r="I30" s="7" t="s">
        <v>90</v>
      </c>
      <c r="J30" s="7"/>
      <c r="K30" s="7"/>
      <c r="N30">
        <f>6977-5093.6</f>
        <v>1883.3999999999996</v>
      </c>
    </row>
    <row r="31" spans="1:14" ht="18" customHeight="1" x14ac:dyDescent="0.25">
      <c r="A31" s="14">
        <f t="shared" si="0"/>
        <v>23</v>
      </c>
      <c r="B31" s="8"/>
      <c r="C31" s="46" t="s">
        <v>434</v>
      </c>
      <c r="D31" s="214" t="s">
        <v>19</v>
      </c>
      <c r="E31" s="32"/>
      <c r="F31" s="17"/>
      <c r="G31" s="18">
        <f t="shared" si="1"/>
        <v>5710</v>
      </c>
      <c r="H31" s="28" t="s">
        <v>91</v>
      </c>
      <c r="I31" s="7" t="s">
        <v>90</v>
      </c>
      <c r="J31" s="7"/>
      <c r="K31" s="7"/>
      <c r="N31">
        <f>+N30-998.6</f>
        <v>884.79999999999961</v>
      </c>
    </row>
    <row r="32" spans="1:14" ht="17.25" customHeight="1" x14ac:dyDescent="0.25">
      <c r="A32" s="14">
        <f t="shared" si="0"/>
        <v>24</v>
      </c>
      <c r="B32" s="8"/>
      <c r="C32" s="46" t="s">
        <v>434</v>
      </c>
      <c r="D32" s="214" t="s">
        <v>19</v>
      </c>
      <c r="E32" s="13"/>
      <c r="F32" s="17"/>
      <c r="G32" s="18">
        <f t="shared" si="1"/>
        <v>5710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434</v>
      </c>
      <c r="D33" s="214" t="s">
        <v>19</v>
      </c>
      <c r="E33" s="13"/>
      <c r="F33" s="17"/>
      <c r="G33" s="18">
        <f t="shared" si="1"/>
        <v>5710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434</v>
      </c>
      <c r="D34" s="214" t="s">
        <v>19</v>
      </c>
      <c r="E34" s="32"/>
      <c r="F34" s="40"/>
      <c r="G34" s="18">
        <f t="shared" si="1"/>
        <v>5710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434</v>
      </c>
      <c r="D35" s="214" t="s">
        <v>19</v>
      </c>
      <c r="E35" s="32"/>
      <c r="F35" s="40"/>
      <c r="G35" s="18">
        <f t="shared" si="1"/>
        <v>5710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434</v>
      </c>
      <c r="D36" s="214" t="s">
        <v>19</v>
      </c>
      <c r="E36" s="32"/>
      <c r="F36" s="40"/>
      <c r="G36" s="18">
        <f t="shared" si="1"/>
        <v>5710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434</v>
      </c>
      <c r="D37" s="214" t="s">
        <v>19</v>
      </c>
      <c r="E37" s="32"/>
      <c r="F37" s="17"/>
      <c r="G37" s="18">
        <f t="shared" si="1"/>
        <v>5710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434</v>
      </c>
      <c r="D38" s="214" t="s">
        <v>19</v>
      </c>
      <c r="E38" s="32"/>
      <c r="F38" s="17"/>
      <c r="G38" s="18">
        <f t="shared" si="1"/>
        <v>5710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434</v>
      </c>
      <c r="D39" s="214" t="s">
        <v>19</v>
      </c>
      <c r="E39" s="32"/>
      <c r="F39" s="17"/>
      <c r="G39" s="18">
        <f t="shared" si="1"/>
        <v>5710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434</v>
      </c>
      <c r="D40" s="214" t="s">
        <v>19</v>
      </c>
      <c r="E40" s="32"/>
      <c r="F40" s="17"/>
      <c r="G40" s="18">
        <f t="shared" si="1"/>
        <v>5710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434</v>
      </c>
      <c r="D41" s="214" t="s">
        <v>19</v>
      </c>
      <c r="E41" s="32"/>
      <c r="F41" s="172"/>
      <c r="G41" s="18">
        <f t="shared" si="1"/>
        <v>5710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434</v>
      </c>
      <c r="D42" s="214" t="s">
        <v>19</v>
      </c>
      <c r="E42" s="32"/>
      <c r="F42" s="17"/>
      <c r="G42" s="18">
        <f t="shared" si="1"/>
        <v>5710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434</v>
      </c>
      <c r="D43" s="214" t="s">
        <v>19</v>
      </c>
      <c r="E43" s="32"/>
      <c r="F43" s="17"/>
      <c r="G43" s="18">
        <f t="shared" si="1"/>
        <v>5710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434</v>
      </c>
      <c r="D44" s="214" t="s">
        <v>19</v>
      </c>
      <c r="E44" s="32"/>
      <c r="F44" s="17"/>
      <c r="G44" s="18">
        <f t="shared" si="1"/>
        <v>5710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434</v>
      </c>
      <c r="D45" s="214" t="s">
        <v>19</v>
      </c>
      <c r="E45" s="32"/>
      <c r="F45" s="17"/>
      <c r="G45" s="18">
        <f t="shared" si="1"/>
        <v>5710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434</v>
      </c>
      <c r="D46" s="214" t="s">
        <v>19</v>
      </c>
      <c r="E46" s="32"/>
      <c r="F46" s="17"/>
      <c r="G46" s="18">
        <f t="shared" si="1"/>
        <v>5710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434</v>
      </c>
      <c r="D47" s="214" t="s">
        <v>19</v>
      </c>
      <c r="E47" s="32"/>
      <c r="F47" s="17"/>
      <c r="G47" s="18">
        <f t="shared" si="1"/>
        <v>5710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434</v>
      </c>
      <c r="D48" s="214" t="s">
        <v>19</v>
      </c>
      <c r="E48" s="32"/>
      <c r="F48" s="17"/>
      <c r="G48" s="18">
        <f t="shared" si="1"/>
        <v>5710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434</v>
      </c>
      <c r="D49" s="214" t="s">
        <v>19</v>
      </c>
      <c r="E49" s="32"/>
      <c r="F49" s="17"/>
      <c r="G49" s="18">
        <f t="shared" si="1"/>
        <v>5710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434</v>
      </c>
      <c r="D50" s="237" t="s">
        <v>19</v>
      </c>
      <c r="E50" s="175"/>
      <c r="F50" s="172"/>
      <c r="G50" s="238">
        <f t="shared" si="1"/>
        <v>5710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434</v>
      </c>
      <c r="D51" s="214" t="s">
        <v>19</v>
      </c>
      <c r="E51" s="32"/>
      <c r="F51" s="17"/>
      <c r="G51" s="18">
        <f t="shared" si="1"/>
        <v>5710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434</v>
      </c>
      <c r="D52" s="214" t="s">
        <v>19</v>
      </c>
      <c r="E52" s="32"/>
      <c r="F52" s="17"/>
      <c r="G52" s="18">
        <f t="shared" si="1"/>
        <v>5710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434</v>
      </c>
      <c r="D53" s="214" t="s">
        <v>19</v>
      </c>
      <c r="E53" s="32"/>
      <c r="F53" s="17"/>
      <c r="G53" s="18">
        <f t="shared" si="1"/>
        <v>5710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434</v>
      </c>
      <c r="D54" s="214" t="s">
        <v>19</v>
      </c>
      <c r="E54" s="32"/>
      <c r="F54" s="17"/>
      <c r="G54" s="18">
        <f t="shared" si="1"/>
        <v>5710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434</v>
      </c>
      <c r="D55" s="214" t="s">
        <v>19</v>
      </c>
      <c r="E55" s="32"/>
      <c r="F55" s="17"/>
      <c r="G55" s="18">
        <f t="shared" si="1"/>
        <v>5710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434</v>
      </c>
      <c r="D56" s="214" t="s">
        <v>19</v>
      </c>
      <c r="E56" s="32"/>
      <c r="F56" s="17"/>
      <c r="G56" s="18">
        <f t="shared" si="1"/>
        <v>5710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434</v>
      </c>
      <c r="D57" s="214" t="s">
        <v>19</v>
      </c>
      <c r="E57" s="32"/>
      <c r="F57" s="17"/>
      <c r="G57" s="18">
        <f t="shared" si="1"/>
        <v>5710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434</v>
      </c>
      <c r="D58" s="214" t="s">
        <v>19</v>
      </c>
      <c r="E58" s="32"/>
      <c r="F58" s="17"/>
      <c r="G58" s="18">
        <f t="shared" si="1"/>
        <v>5710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434</v>
      </c>
      <c r="D59" s="214" t="s">
        <v>19</v>
      </c>
      <c r="E59" s="32"/>
      <c r="F59" s="17"/>
      <c r="G59" s="18">
        <f t="shared" si="1"/>
        <v>5710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434</v>
      </c>
      <c r="D60" s="214" t="s">
        <v>19</v>
      </c>
      <c r="E60" s="32"/>
      <c r="F60" s="17"/>
      <c r="G60" s="18">
        <f t="shared" si="1"/>
        <v>5710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434</v>
      </c>
      <c r="D61" s="214" t="s">
        <v>19</v>
      </c>
      <c r="E61" s="32"/>
      <c r="F61" s="17"/>
      <c r="G61" s="18">
        <f t="shared" si="1"/>
        <v>5710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434</v>
      </c>
      <c r="D62" s="214" t="s">
        <v>19</v>
      </c>
      <c r="E62" s="32"/>
      <c r="F62" s="17"/>
      <c r="G62" s="18">
        <f t="shared" si="1"/>
        <v>5710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434</v>
      </c>
      <c r="D63" s="214" t="s">
        <v>19</v>
      </c>
      <c r="E63" s="32"/>
      <c r="F63" s="17"/>
      <c r="G63" s="18">
        <f t="shared" si="1"/>
        <v>5710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434</v>
      </c>
      <c r="D64" s="214" t="s">
        <v>19</v>
      </c>
      <c r="E64" s="32"/>
      <c r="F64" s="17"/>
      <c r="G64" s="18">
        <f t="shared" si="1"/>
        <v>5710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434</v>
      </c>
      <c r="D65" s="214" t="s">
        <v>19</v>
      </c>
      <c r="E65" s="32"/>
      <c r="F65" s="17"/>
      <c r="G65" s="18">
        <f t="shared" si="1"/>
        <v>5710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434</v>
      </c>
      <c r="D66" s="214" t="s">
        <v>19</v>
      </c>
      <c r="E66" s="32"/>
      <c r="F66" s="17"/>
      <c r="G66" s="18">
        <f t="shared" si="1"/>
        <v>5710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434</v>
      </c>
      <c r="D67" s="214" t="s">
        <v>19</v>
      </c>
      <c r="E67" s="32"/>
      <c r="F67" s="17"/>
      <c r="G67" s="18">
        <f>+G66+E67-F67</f>
        <v>5710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434</v>
      </c>
      <c r="D68" s="214" t="s">
        <v>19</v>
      </c>
      <c r="E68" s="32"/>
      <c r="F68" s="17"/>
      <c r="G68" s="18">
        <f>+G67+E68-F68</f>
        <v>5710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434</v>
      </c>
      <c r="D69" s="214" t="s">
        <v>19</v>
      </c>
      <c r="E69" s="32"/>
      <c r="F69" s="17"/>
      <c r="G69" s="18">
        <f>+G68+E69-F69</f>
        <v>5710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434</v>
      </c>
      <c r="D70" s="214" t="s">
        <v>19</v>
      </c>
      <c r="E70" s="32"/>
      <c r="F70" s="17"/>
      <c r="G70" s="18">
        <f t="shared" si="1"/>
        <v>5710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434</v>
      </c>
      <c r="D71" s="214" t="s">
        <v>19</v>
      </c>
      <c r="E71" s="32"/>
      <c r="F71" s="17"/>
      <c r="G71" s="18">
        <f t="shared" si="1"/>
        <v>5710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434</v>
      </c>
      <c r="D72" s="214" t="s">
        <v>19</v>
      </c>
      <c r="E72" s="32"/>
      <c r="F72" s="17"/>
      <c r="G72" s="18">
        <f t="shared" si="1"/>
        <v>5710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434</v>
      </c>
      <c r="D73" s="214" t="s">
        <v>19</v>
      </c>
      <c r="E73" s="32"/>
      <c r="F73" s="17"/>
      <c r="G73" s="18">
        <f t="shared" si="1"/>
        <v>5710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434</v>
      </c>
      <c r="D74" s="214" t="s">
        <v>19</v>
      </c>
      <c r="E74" s="32"/>
      <c r="F74" s="17"/>
      <c r="G74" s="18">
        <f t="shared" ref="G74:G91" si="3">+G73+E74-F74</f>
        <v>5710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434</v>
      </c>
      <c r="D75" s="214" t="s">
        <v>19</v>
      </c>
      <c r="E75" s="32"/>
      <c r="F75" s="17"/>
      <c r="G75" s="18">
        <f t="shared" si="3"/>
        <v>5710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434</v>
      </c>
      <c r="D76" s="214" t="s">
        <v>19</v>
      </c>
      <c r="E76" s="32"/>
      <c r="F76" s="17"/>
      <c r="G76" s="18">
        <f t="shared" si="3"/>
        <v>5710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434</v>
      </c>
      <c r="D77" s="214" t="s">
        <v>19</v>
      </c>
      <c r="E77" s="32"/>
      <c r="F77" s="17"/>
      <c r="G77" s="18">
        <f t="shared" si="3"/>
        <v>5710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434</v>
      </c>
      <c r="D78" s="214" t="s">
        <v>19</v>
      </c>
      <c r="E78" s="32"/>
      <c r="F78" s="17"/>
      <c r="G78" s="18">
        <f t="shared" si="3"/>
        <v>5710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434</v>
      </c>
      <c r="D79" s="214" t="s">
        <v>19</v>
      </c>
      <c r="E79" s="32"/>
      <c r="F79" s="17"/>
      <c r="G79" s="18">
        <f t="shared" si="3"/>
        <v>5710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434</v>
      </c>
      <c r="D80" s="214" t="s">
        <v>19</v>
      </c>
      <c r="E80" s="32"/>
      <c r="F80" s="17"/>
      <c r="G80" s="18">
        <f t="shared" si="3"/>
        <v>5710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434</v>
      </c>
      <c r="D81" s="214" t="s">
        <v>19</v>
      </c>
      <c r="E81" s="32"/>
      <c r="F81" s="17"/>
      <c r="G81" s="18">
        <f t="shared" si="3"/>
        <v>5710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434</v>
      </c>
      <c r="D82" s="214" t="s">
        <v>19</v>
      </c>
      <c r="E82" s="32"/>
      <c r="F82" s="17"/>
      <c r="G82" s="18">
        <f t="shared" si="3"/>
        <v>5710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434</v>
      </c>
      <c r="D83" s="214" t="s">
        <v>19</v>
      </c>
      <c r="E83" s="32"/>
      <c r="F83" s="27"/>
      <c r="G83" s="18">
        <f t="shared" si="3"/>
        <v>5710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434</v>
      </c>
      <c r="D84" s="214" t="s">
        <v>19</v>
      </c>
      <c r="E84" s="32"/>
      <c r="F84" s="17"/>
      <c r="G84" s="18">
        <f t="shared" si="3"/>
        <v>5710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434</v>
      </c>
      <c r="D85" s="214" t="s">
        <v>19</v>
      </c>
      <c r="E85" s="32"/>
      <c r="F85" s="17"/>
      <c r="G85" s="18">
        <f t="shared" si="3"/>
        <v>5710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434</v>
      </c>
      <c r="D86" s="214" t="s">
        <v>19</v>
      </c>
      <c r="E86" s="32"/>
      <c r="F86" s="17"/>
      <c r="G86" s="18">
        <f t="shared" si="3"/>
        <v>5710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434</v>
      </c>
      <c r="D87" s="214" t="s">
        <v>19</v>
      </c>
      <c r="E87" s="32"/>
      <c r="F87" s="17"/>
      <c r="G87" s="18">
        <f t="shared" si="3"/>
        <v>5710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434</v>
      </c>
      <c r="D88" s="214" t="s">
        <v>19</v>
      </c>
      <c r="E88" s="32"/>
      <c r="F88" s="17"/>
      <c r="G88" s="18">
        <f t="shared" si="3"/>
        <v>5710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434</v>
      </c>
      <c r="D89" s="214" t="s">
        <v>19</v>
      </c>
      <c r="E89" s="32"/>
      <c r="F89" s="17"/>
      <c r="G89" s="18">
        <f t="shared" si="3"/>
        <v>5710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434</v>
      </c>
      <c r="D90" s="214" t="s">
        <v>19</v>
      </c>
      <c r="E90" s="32"/>
      <c r="F90" s="17"/>
      <c r="G90" s="18">
        <f t="shared" si="3"/>
        <v>5710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434</v>
      </c>
      <c r="D91" s="214" t="s">
        <v>19</v>
      </c>
      <c r="E91" s="32"/>
      <c r="F91" s="27"/>
      <c r="G91" s="18">
        <f t="shared" si="3"/>
        <v>5710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434</v>
      </c>
      <c r="D92" s="214" t="s">
        <v>19</v>
      </c>
      <c r="E92" s="32"/>
      <c r="F92" s="27"/>
      <c r="G92" s="18">
        <f>+G91+E92-F92</f>
        <v>5710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434</v>
      </c>
      <c r="D93" s="244" t="s">
        <v>19</v>
      </c>
      <c r="E93" s="245"/>
      <c r="F93" s="52"/>
      <c r="G93" s="246">
        <f>+G92+E93-F93</f>
        <v>5710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434</v>
      </c>
      <c r="D94" s="244" t="s">
        <v>19</v>
      </c>
      <c r="E94" s="245"/>
      <c r="F94" s="52"/>
      <c r="G94" s="246">
        <f t="shared" ref="G94:G106" si="4">+G93+E94-F94</f>
        <v>5710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434</v>
      </c>
      <c r="D95" s="244" t="s">
        <v>19</v>
      </c>
      <c r="E95" s="245"/>
      <c r="F95" s="52"/>
      <c r="G95" s="246">
        <f t="shared" si="4"/>
        <v>5710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434</v>
      </c>
      <c r="D96" s="244" t="s">
        <v>19</v>
      </c>
      <c r="E96" s="245"/>
      <c r="F96" s="52"/>
      <c r="G96" s="246">
        <f t="shared" si="4"/>
        <v>5710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434</v>
      </c>
      <c r="D97" s="244" t="s">
        <v>19</v>
      </c>
      <c r="E97" s="245"/>
      <c r="F97" s="52"/>
      <c r="G97" s="246">
        <f t="shared" si="4"/>
        <v>5710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434</v>
      </c>
      <c r="D98" s="244" t="s">
        <v>19</v>
      </c>
      <c r="E98" s="245"/>
      <c r="F98" s="52"/>
      <c r="G98" s="246">
        <f t="shared" si="4"/>
        <v>5710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434</v>
      </c>
      <c r="D99" s="244" t="s">
        <v>19</v>
      </c>
      <c r="E99" s="245"/>
      <c r="F99" s="52"/>
      <c r="G99" s="246">
        <f t="shared" si="4"/>
        <v>5710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434</v>
      </c>
      <c r="D100" s="244" t="s">
        <v>19</v>
      </c>
      <c r="E100" s="245"/>
      <c r="F100" s="52"/>
      <c r="G100" s="246">
        <f t="shared" si="4"/>
        <v>5710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5710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5710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5710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5710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5710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5710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5710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5710</v>
      </c>
      <c r="F108" s="35">
        <f>SUM(F8:F107)</f>
        <v>0</v>
      </c>
      <c r="G108" s="35">
        <f>+E108-F108+G8</f>
        <v>5710</v>
      </c>
      <c r="H108" s="35"/>
      <c r="I108" s="36"/>
      <c r="J108" s="7">
        <f>SUM(J9:J107)</f>
        <v>18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C60C-B953-41A5-983D-01BE2D4EFC94}">
  <sheetPr codeName="Sheet93"/>
  <dimension ref="A1:R122"/>
  <sheetViews>
    <sheetView topLeftCell="A7" workbookViewId="0">
      <selection activeCell="F25" sqref="F25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9.85546875" customWidth="1"/>
    <col min="11" max="11" width="11.140625" customWidth="1"/>
    <col min="13" max="13" width="48.140625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2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2"/>
    </row>
    <row r="6" spans="1:14" x14ac:dyDescent="0.25">
      <c r="A6" t="s">
        <v>162</v>
      </c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355</v>
      </c>
      <c r="L7" s="260" t="s">
        <v>181</v>
      </c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  <c r="L8" s="7"/>
    </row>
    <row r="9" spans="1:14" ht="17.25" customHeight="1" x14ac:dyDescent="0.25">
      <c r="A9" s="14">
        <v>1</v>
      </c>
      <c r="B9" s="8">
        <v>45587</v>
      </c>
      <c r="C9" s="46" t="s">
        <v>317</v>
      </c>
      <c r="D9" s="214" t="s">
        <v>19</v>
      </c>
      <c r="E9" s="30">
        <f>861+860+842</f>
        <v>2563</v>
      </c>
      <c r="F9" s="27"/>
      <c r="G9" s="18">
        <f>+G8+E9-F9</f>
        <v>2563</v>
      </c>
      <c r="H9" s="28" t="s">
        <v>91</v>
      </c>
      <c r="I9" s="7" t="s">
        <v>90</v>
      </c>
      <c r="J9" s="7">
        <v>3</v>
      </c>
      <c r="K9" s="7">
        <v>3</v>
      </c>
      <c r="L9" s="7"/>
      <c r="M9">
        <f>362.5+401.5+338.5+348.5</f>
        <v>1451</v>
      </c>
      <c r="N9">
        <f>+L9-M9</f>
        <v>-1451</v>
      </c>
    </row>
    <row r="10" spans="1:14" ht="17.25" customHeight="1" x14ac:dyDescent="0.25">
      <c r="A10" s="14">
        <f t="shared" ref="A10:A76" si="0">+A9+1</f>
        <v>2</v>
      </c>
      <c r="B10" s="8">
        <v>45622</v>
      </c>
      <c r="C10" s="46" t="s">
        <v>317</v>
      </c>
      <c r="D10" s="214" t="s">
        <v>19</v>
      </c>
      <c r="E10" s="11"/>
      <c r="F10" s="27">
        <v>2563</v>
      </c>
      <c r="G10" s="18">
        <f t="shared" ref="G10:G76" si="1">+G9+E10-F10</f>
        <v>0</v>
      </c>
      <c r="H10" s="28" t="s">
        <v>140</v>
      </c>
      <c r="I10" s="7" t="s">
        <v>326</v>
      </c>
      <c r="J10" s="7"/>
      <c r="K10" s="7"/>
      <c r="L10" s="7"/>
      <c r="M10" t="s">
        <v>231</v>
      </c>
    </row>
    <row r="11" spans="1:14" ht="18" customHeight="1" x14ac:dyDescent="0.25">
      <c r="A11" s="14">
        <f t="shared" si="0"/>
        <v>3</v>
      </c>
      <c r="B11" s="8">
        <v>45692</v>
      </c>
      <c r="C11" s="46" t="s">
        <v>317</v>
      </c>
      <c r="D11" s="214" t="s">
        <v>19</v>
      </c>
      <c r="E11" s="16">
        <v>14976</v>
      </c>
      <c r="F11" s="27"/>
      <c r="G11" s="18">
        <f t="shared" si="1"/>
        <v>14976</v>
      </c>
      <c r="H11" s="28" t="s">
        <v>91</v>
      </c>
      <c r="I11" s="7" t="s">
        <v>90</v>
      </c>
      <c r="J11" s="7">
        <v>19</v>
      </c>
      <c r="K11" s="140"/>
      <c r="L11" s="7"/>
    </row>
    <row r="12" spans="1:14" ht="18" customHeight="1" x14ac:dyDescent="0.25">
      <c r="A12" s="14">
        <f t="shared" si="0"/>
        <v>4</v>
      </c>
      <c r="B12" s="8">
        <v>45700</v>
      </c>
      <c r="C12" s="46" t="s">
        <v>317</v>
      </c>
      <c r="D12" s="214" t="s">
        <v>19</v>
      </c>
      <c r="E12" s="16"/>
      <c r="F12" s="17">
        <v>2363</v>
      </c>
      <c r="G12" s="18">
        <f t="shared" si="1"/>
        <v>12613</v>
      </c>
      <c r="H12" s="28" t="s">
        <v>91</v>
      </c>
      <c r="I12" s="7" t="s">
        <v>90</v>
      </c>
      <c r="J12" s="7"/>
      <c r="K12" s="140">
        <v>3</v>
      </c>
      <c r="L12" s="7"/>
    </row>
    <row r="13" spans="1:14" ht="18" customHeight="1" x14ac:dyDescent="0.25">
      <c r="A13" s="14">
        <f t="shared" si="0"/>
        <v>5</v>
      </c>
      <c r="B13" s="205">
        <v>45741</v>
      </c>
      <c r="C13" s="46" t="s">
        <v>317</v>
      </c>
      <c r="D13" s="214" t="s">
        <v>19</v>
      </c>
      <c r="E13" s="16"/>
      <c r="F13" s="17">
        <v>2361</v>
      </c>
      <c r="G13" s="18">
        <f t="shared" si="1"/>
        <v>10252</v>
      </c>
      <c r="H13" s="28" t="s">
        <v>91</v>
      </c>
      <c r="I13" s="7" t="s">
        <v>90</v>
      </c>
      <c r="J13" s="7"/>
      <c r="K13" s="140">
        <v>3</v>
      </c>
      <c r="L13" s="7"/>
    </row>
    <row r="14" spans="1:14" ht="18" customHeight="1" x14ac:dyDescent="0.25">
      <c r="A14" s="14">
        <f t="shared" si="0"/>
        <v>6</v>
      </c>
      <c r="B14" s="8">
        <v>45812</v>
      </c>
      <c r="C14" s="46" t="s">
        <v>317</v>
      </c>
      <c r="D14" s="214" t="s">
        <v>19</v>
      </c>
      <c r="E14" s="16"/>
      <c r="F14" s="27">
        <v>2280</v>
      </c>
      <c r="G14" s="18">
        <f t="shared" si="1"/>
        <v>7972</v>
      </c>
      <c r="H14" s="28" t="s">
        <v>91</v>
      </c>
      <c r="I14" s="7" t="s">
        <v>90</v>
      </c>
      <c r="J14" s="7"/>
      <c r="K14" s="7"/>
      <c r="L14" s="7"/>
    </row>
    <row r="15" spans="1:14" ht="18" customHeight="1" x14ac:dyDescent="0.25">
      <c r="A15" s="416">
        <f t="shared" si="0"/>
        <v>7</v>
      </c>
      <c r="B15" s="417">
        <v>45822</v>
      </c>
      <c r="C15" s="418" t="s">
        <v>401</v>
      </c>
      <c r="D15" s="419" t="s">
        <v>19</v>
      </c>
      <c r="E15" s="420">
        <v>1982</v>
      </c>
      <c r="F15" s="172"/>
      <c r="G15" s="421">
        <f t="shared" si="1"/>
        <v>9954</v>
      </c>
      <c r="H15" s="422" t="s">
        <v>91</v>
      </c>
      <c r="I15" s="423" t="s">
        <v>90</v>
      </c>
      <c r="J15" s="423">
        <v>2</v>
      </c>
      <c r="K15" s="424"/>
      <c r="L15" s="423"/>
      <c r="M15" s="364" t="s">
        <v>402</v>
      </c>
    </row>
    <row r="16" spans="1:14" ht="18" customHeight="1" x14ac:dyDescent="0.25">
      <c r="A16" s="158">
        <f t="shared" si="0"/>
        <v>8</v>
      </c>
      <c r="B16" s="174">
        <v>45824</v>
      </c>
      <c r="C16" s="236" t="s">
        <v>317</v>
      </c>
      <c r="D16" s="237" t="s">
        <v>19</v>
      </c>
      <c r="E16" s="160"/>
      <c r="F16" s="31">
        <v>1982</v>
      </c>
      <c r="G16" s="238">
        <f t="shared" si="1"/>
        <v>7972</v>
      </c>
      <c r="H16" s="239" t="s">
        <v>91</v>
      </c>
      <c r="I16" s="271" t="s">
        <v>90</v>
      </c>
      <c r="J16" s="271"/>
      <c r="K16" s="271">
        <v>2</v>
      </c>
      <c r="L16" s="271"/>
      <c r="M16" s="162" t="s">
        <v>403</v>
      </c>
      <c r="N16" s="162"/>
    </row>
    <row r="17" spans="1:15" ht="18" customHeight="1" x14ac:dyDescent="0.25">
      <c r="A17" s="14">
        <f t="shared" si="0"/>
        <v>9</v>
      </c>
      <c r="B17" s="8">
        <v>45824</v>
      </c>
      <c r="C17" s="46" t="s">
        <v>317</v>
      </c>
      <c r="D17" s="214" t="s">
        <v>19</v>
      </c>
      <c r="E17" s="30"/>
      <c r="F17" s="27">
        <v>794</v>
      </c>
      <c r="G17" s="18">
        <f t="shared" si="1"/>
        <v>7178</v>
      </c>
      <c r="H17" s="28" t="s">
        <v>91</v>
      </c>
      <c r="I17" s="7" t="s">
        <v>90</v>
      </c>
      <c r="J17" s="7"/>
      <c r="K17" s="7"/>
      <c r="L17" s="7"/>
    </row>
    <row r="18" spans="1:15" ht="39.75" customHeight="1" x14ac:dyDescent="0.25">
      <c r="A18" s="416">
        <f t="shared" si="0"/>
        <v>10</v>
      </c>
      <c r="B18" s="417">
        <v>45834</v>
      </c>
      <c r="C18" s="418" t="s">
        <v>401</v>
      </c>
      <c r="D18" s="419" t="s">
        <v>19</v>
      </c>
      <c r="E18" s="420">
        <v>2070</v>
      </c>
      <c r="F18" s="172">
        <v>2070</v>
      </c>
      <c r="G18" s="421">
        <f t="shared" si="1"/>
        <v>7178</v>
      </c>
      <c r="H18" s="422" t="s">
        <v>91</v>
      </c>
      <c r="I18" s="423" t="s">
        <v>90</v>
      </c>
      <c r="J18" s="423">
        <v>2</v>
      </c>
      <c r="K18" s="423">
        <v>2</v>
      </c>
      <c r="L18" s="423"/>
      <c r="M18" s="432" t="s">
        <v>446</v>
      </c>
    </row>
    <row r="19" spans="1:15" s="230" customFormat="1" ht="18" customHeight="1" x14ac:dyDescent="0.25">
      <c r="A19" s="14">
        <f t="shared" si="0"/>
        <v>11</v>
      </c>
      <c r="B19" s="224">
        <v>45868</v>
      </c>
      <c r="C19" s="46" t="s">
        <v>317</v>
      </c>
      <c r="D19" s="214" t="s">
        <v>19</v>
      </c>
      <c r="E19" s="227"/>
      <c r="F19" s="228">
        <v>2352</v>
      </c>
      <c r="G19" s="18">
        <f t="shared" si="1"/>
        <v>4826</v>
      </c>
      <c r="H19" s="28" t="s">
        <v>91</v>
      </c>
      <c r="I19" s="7" t="s">
        <v>90</v>
      </c>
      <c r="J19" s="7"/>
      <c r="K19" s="348"/>
      <c r="L19" s="348"/>
    </row>
    <row r="20" spans="1:15" s="230" customFormat="1" ht="18" customHeight="1" x14ac:dyDescent="0.25">
      <c r="A20" s="158">
        <f t="shared" si="0"/>
        <v>12</v>
      </c>
      <c r="B20" s="433">
        <v>45904</v>
      </c>
      <c r="C20" s="418" t="s">
        <v>401</v>
      </c>
      <c r="D20" s="237" t="s">
        <v>19</v>
      </c>
      <c r="E20" s="422">
        <v>911</v>
      </c>
      <c r="F20" s="431"/>
      <c r="G20" s="238">
        <f t="shared" si="1"/>
        <v>5737</v>
      </c>
      <c r="H20" s="239"/>
      <c r="I20" s="271"/>
      <c r="J20" s="271">
        <v>1</v>
      </c>
      <c r="K20" s="434"/>
      <c r="L20" s="434"/>
    </row>
    <row r="21" spans="1:15" s="230" customFormat="1" ht="18" customHeight="1" x14ac:dyDescent="0.25">
      <c r="A21" s="158">
        <f t="shared" si="0"/>
        <v>13</v>
      </c>
      <c r="B21" s="433">
        <v>45920</v>
      </c>
      <c r="C21" s="418" t="s">
        <v>401</v>
      </c>
      <c r="D21" s="237" t="s">
        <v>19</v>
      </c>
      <c r="E21" s="422">
        <v>969</v>
      </c>
      <c r="F21" s="431"/>
      <c r="G21" s="238">
        <f t="shared" si="1"/>
        <v>6706</v>
      </c>
      <c r="H21" s="239"/>
      <c r="I21" s="271"/>
      <c r="J21" s="271">
        <v>1</v>
      </c>
      <c r="K21" s="434"/>
      <c r="L21" s="434"/>
    </row>
    <row r="22" spans="1:15" s="230" customFormat="1" ht="18" customHeight="1" x14ac:dyDescent="0.25">
      <c r="A22" s="241">
        <f t="shared" si="0"/>
        <v>14</v>
      </c>
      <c r="B22" s="224">
        <v>45924</v>
      </c>
      <c r="C22" s="46" t="s">
        <v>317</v>
      </c>
      <c r="D22" s="226" t="s">
        <v>19</v>
      </c>
      <c r="E22" s="231"/>
      <c r="F22" s="228">
        <v>782</v>
      </c>
      <c r="G22" s="246">
        <f t="shared" si="1"/>
        <v>5924</v>
      </c>
      <c r="H22" s="28" t="s">
        <v>91</v>
      </c>
      <c r="I22" s="7" t="s">
        <v>90</v>
      </c>
      <c r="J22" s="7"/>
      <c r="K22" s="348">
        <v>1</v>
      </c>
      <c r="L22" s="348"/>
    </row>
    <row r="23" spans="1:15" ht="31.5" customHeight="1" x14ac:dyDescent="0.25">
      <c r="A23" s="158">
        <f t="shared" si="0"/>
        <v>15</v>
      </c>
      <c r="B23" s="174">
        <v>45924</v>
      </c>
      <c r="C23" s="418" t="s">
        <v>401</v>
      </c>
      <c r="D23" s="237" t="s">
        <v>19</v>
      </c>
      <c r="E23" s="175"/>
      <c r="F23" s="172">
        <v>969</v>
      </c>
      <c r="G23" s="238">
        <f t="shared" si="1"/>
        <v>4955</v>
      </c>
      <c r="H23" s="239" t="s">
        <v>91</v>
      </c>
      <c r="I23" s="271" t="s">
        <v>90</v>
      </c>
      <c r="J23" s="271"/>
      <c r="K23" s="271">
        <v>1</v>
      </c>
      <c r="L23" s="271"/>
      <c r="M23" s="432" t="s">
        <v>447</v>
      </c>
      <c r="O23" s="26"/>
    </row>
    <row r="24" spans="1:15" ht="24.75" customHeight="1" x14ac:dyDescent="0.25">
      <c r="A24" s="158">
        <f t="shared" si="0"/>
        <v>16</v>
      </c>
      <c r="B24" s="174">
        <v>45925</v>
      </c>
      <c r="C24" s="418" t="s">
        <v>401</v>
      </c>
      <c r="D24" s="237" t="s">
        <v>19</v>
      </c>
      <c r="E24" s="175"/>
      <c r="F24" s="31">
        <v>911</v>
      </c>
      <c r="G24" s="238">
        <f t="shared" si="1"/>
        <v>4044</v>
      </c>
      <c r="H24" s="239" t="s">
        <v>91</v>
      </c>
      <c r="I24" s="271" t="s">
        <v>90</v>
      </c>
      <c r="J24" s="271"/>
      <c r="K24" s="271">
        <v>1</v>
      </c>
      <c r="L24" s="271"/>
      <c r="M24" s="432" t="s">
        <v>447</v>
      </c>
    </row>
    <row r="25" spans="1:15" ht="18" customHeight="1" x14ac:dyDescent="0.25">
      <c r="A25" s="14">
        <f t="shared" si="0"/>
        <v>17</v>
      </c>
      <c r="B25" s="232">
        <v>45925</v>
      </c>
      <c r="C25" s="46" t="s">
        <v>317</v>
      </c>
      <c r="D25" s="234" t="s">
        <v>19</v>
      </c>
      <c r="E25" s="235"/>
      <c r="F25" s="172">
        <v>872</v>
      </c>
      <c r="G25" s="246">
        <f t="shared" si="1"/>
        <v>3172</v>
      </c>
      <c r="H25" s="28" t="s">
        <v>129</v>
      </c>
      <c r="I25" s="7" t="s">
        <v>90</v>
      </c>
      <c r="J25" s="7"/>
      <c r="K25" s="7"/>
      <c r="L25" s="7"/>
    </row>
    <row r="26" spans="1:15" ht="18" customHeight="1" x14ac:dyDescent="0.25">
      <c r="A26" s="14">
        <f t="shared" si="0"/>
        <v>18</v>
      </c>
      <c r="B26" s="8"/>
      <c r="C26" s="46" t="s">
        <v>317</v>
      </c>
      <c r="D26" s="214" t="s">
        <v>19</v>
      </c>
      <c r="E26" s="32"/>
      <c r="F26" s="17"/>
      <c r="G26" s="246">
        <f t="shared" si="1"/>
        <v>3172</v>
      </c>
      <c r="H26" s="28" t="s">
        <v>129</v>
      </c>
      <c r="I26" s="7" t="s">
        <v>142</v>
      </c>
      <c r="J26" s="7"/>
      <c r="K26" s="7"/>
      <c r="L26" s="7"/>
    </row>
    <row r="27" spans="1:15" ht="18" customHeight="1" x14ac:dyDescent="0.25">
      <c r="A27" s="14">
        <f t="shared" si="0"/>
        <v>19</v>
      </c>
      <c r="B27" s="8"/>
      <c r="C27" s="46" t="s">
        <v>317</v>
      </c>
      <c r="D27" s="214" t="s">
        <v>19</v>
      </c>
      <c r="E27" s="32"/>
      <c r="F27" s="17"/>
      <c r="G27" s="246">
        <f t="shared" si="1"/>
        <v>3172</v>
      </c>
      <c r="H27" s="28" t="s">
        <v>91</v>
      </c>
      <c r="I27" s="7" t="s">
        <v>90</v>
      </c>
      <c r="J27" s="7"/>
      <c r="K27" s="7"/>
      <c r="L27" s="7"/>
    </row>
    <row r="28" spans="1:15" ht="18" customHeight="1" x14ac:dyDescent="0.25">
      <c r="A28" s="14">
        <f t="shared" si="0"/>
        <v>20</v>
      </c>
      <c r="B28" s="8"/>
      <c r="C28" s="46" t="s">
        <v>317</v>
      </c>
      <c r="D28" s="214" t="s">
        <v>19</v>
      </c>
      <c r="E28" s="32"/>
      <c r="F28" s="17"/>
      <c r="G28" s="246">
        <f t="shared" si="1"/>
        <v>3172</v>
      </c>
      <c r="H28" s="28" t="s">
        <v>91</v>
      </c>
      <c r="I28" s="7" t="s">
        <v>90</v>
      </c>
      <c r="J28" s="7"/>
      <c r="K28" s="7"/>
      <c r="L28" s="7"/>
    </row>
    <row r="29" spans="1:15" ht="18" customHeight="1" x14ac:dyDescent="0.25">
      <c r="A29" s="14">
        <f t="shared" si="0"/>
        <v>21</v>
      </c>
      <c r="B29" s="8"/>
      <c r="C29" s="46" t="s">
        <v>317</v>
      </c>
      <c r="D29" s="214" t="s">
        <v>19</v>
      </c>
      <c r="E29" s="32"/>
      <c r="F29" s="17"/>
      <c r="G29" s="246">
        <f t="shared" si="1"/>
        <v>3172</v>
      </c>
      <c r="H29" s="28" t="s">
        <v>91</v>
      </c>
      <c r="I29" s="7" t="s">
        <v>90</v>
      </c>
      <c r="J29" s="7"/>
      <c r="K29" s="7"/>
      <c r="L29" s="7"/>
    </row>
    <row r="30" spans="1:15" ht="18" customHeight="1" x14ac:dyDescent="0.25">
      <c r="A30" s="14">
        <f t="shared" si="0"/>
        <v>22</v>
      </c>
      <c r="B30" s="8"/>
      <c r="C30" s="46" t="s">
        <v>317</v>
      </c>
      <c r="D30" s="214" t="s">
        <v>19</v>
      </c>
      <c r="E30" s="32"/>
      <c r="F30" s="17"/>
      <c r="G30" s="246">
        <f t="shared" si="1"/>
        <v>3172</v>
      </c>
      <c r="H30" s="28" t="s">
        <v>91</v>
      </c>
      <c r="I30" s="7" t="s">
        <v>90</v>
      </c>
      <c r="J30" s="7"/>
      <c r="K30" s="7"/>
      <c r="L30" s="7"/>
    </row>
    <row r="31" spans="1:15" ht="18" customHeight="1" x14ac:dyDescent="0.25">
      <c r="A31" s="14">
        <f t="shared" si="0"/>
        <v>23</v>
      </c>
      <c r="B31" s="8"/>
      <c r="C31" s="46" t="s">
        <v>317</v>
      </c>
      <c r="D31" s="214" t="s">
        <v>19</v>
      </c>
      <c r="E31" s="129"/>
      <c r="F31" s="17"/>
      <c r="G31" s="246">
        <f t="shared" si="1"/>
        <v>3172</v>
      </c>
      <c r="H31" s="28" t="s">
        <v>91</v>
      </c>
      <c r="I31" s="7" t="s">
        <v>90</v>
      </c>
      <c r="J31" s="7"/>
      <c r="K31" s="7"/>
      <c r="L31" s="7"/>
    </row>
    <row r="32" spans="1:15" ht="18" customHeight="1" x14ac:dyDescent="0.25">
      <c r="A32" s="14">
        <f t="shared" si="0"/>
        <v>24</v>
      </c>
      <c r="B32" s="8"/>
      <c r="C32" s="46" t="s">
        <v>317</v>
      </c>
      <c r="D32" s="214" t="s">
        <v>19</v>
      </c>
      <c r="E32" s="32"/>
      <c r="F32" s="172"/>
      <c r="G32" s="246">
        <f t="shared" si="1"/>
        <v>3172</v>
      </c>
      <c r="H32" s="28" t="s">
        <v>91</v>
      </c>
      <c r="I32" s="7" t="s">
        <v>90</v>
      </c>
      <c r="J32" s="7"/>
      <c r="K32" s="7"/>
      <c r="L32" s="7"/>
    </row>
    <row r="33" spans="1:17" ht="18" customHeight="1" x14ac:dyDescent="0.25">
      <c r="A33" s="14">
        <f t="shared" si="0"/>
        <v>25</v>
      </c>
      <c r="B33" s="8"/>
      <c r="C33" s="46" t="s">
        <v>317</v>
      </c>
      <c r="D33" s="214" t="s">
        <v>19</v>
      </c>
      <c r="E33" s="32"/>
      <c r="F33" s="17"/>
      <c r="G33" s="246">
        <f t="shared" si="1"/>
        <v>3172</v>
      </c>
      <c r="H33" s="28" t="s">
        <v>91</v>
      </c>
      <c r="I33" s="7" t="s">
        <v>90</v>
      </c>
      <c r="J33" s="7"/>
      <c r="K33" s="7"/>
      <c r="L33" s="7"/>
    </row>
    <row r="34" spans="1:17" ht="18" customHeight="1" x14ac:dyDescent="0.25">
      <c r="A34" s="14">
        <f t="shared" si="0"/>
        <v>26</v>
      </c>
      <c r="B34" s="8"/>
      <c r="C34" s="46" t="s">
        <v>317</v>
      </c>
      <c r="D34" s="214" t="s">
        <v>19</v>
      </c>
      <c r="E34" s="32"/>
      <c r="F34" s="17"/>
      <c r="G34" s="246">
        <f t="shared" si="1"/>
        <v>3172</v>
      </c>
      <c r="H34" s="28" t="s">
        <v>91</v>
      </c>
      <c r="I34" s="7" t="s">
        <v>90</v>
      </c>
      <c r="J34" s="7"/>
      <c r="K34" s="7"/>
      <c r="L34" s="7"/>
    </row>
    <row r="35" spans="1:17" ht="17.25" customHeight="1" x14ac:dyDescent="0.25">
      <c r="A35" s="14">
        <f t="shared" si="0"/>
        <v>27</v>
      </c>
      <c r="B35" s="8"/>
      <c r="C35" s="46" t="s">
        <v>317</v>
      </c>
      <c r="D35" s="214" t="s">
        <v>19</v>
      </c>
      <c r="E35" s="13"/>
      <c r="F35" s="17"/>
      <c r="G35" s="246">
        <f t="shared" si="1"/>
        <v>3172</v>
      </c>
      <c r="H35" s="28" t="s">
        <v>91</v>
      </c>
      <c r="I35" s="7" t="s">
        <v>90</v>
      </c>
      <c r="J35" s="7"/>
      <c r="K35" s="7"/>
      <c r="L35" s="7"/>
    </row>
    <row r="36" spans="1:17" ht="17.25" customHeight="1" x14ac:dyDescent="0.25">
      <c r="A36" s="14">
        <f t="shared" si="0"/>
        <v>28</v>
      </c>
      <c r="B36" s="44"/>
      <c r="C36" s="46" t="s">
        <v>317</v>
      </c>
      <c r="D36" s="214" t="s">
        <v>19</v>
      </c>
      <c r="E36" s="13"/>
      <c r="F36" s="17"/>
      <c r="G36" s="246">
        <f t="shared" si="1"/>
        <v>3172</v>
      </c>
      <c r="H36" s="178"/>
      <c r="I36" s="7"/>
      <c r="J36" s="7"/>
      <c r="K36" s="7"/>
      <c r="L36" s="7"/>
    </row>
    <row r="37" spans="1:17" ht="18" customHeight="1" x14ac:dyDescent="0.25">
      <c r="A37" s="14">
        <f t="shared" si="0"/>
        <v>29</v>
      </c>
      <c r="B37" s="8"/>
      <c r="C37" s="46" t="s">
        <v>317</v>
      </c>
      <c r="D37" s="214" t="s">
        <v>19</v>
      </c>
      <c r="E37" s="32"/>
      <c r="F37" s="40"/>
      <c r="G37" s="246">
        <f t="shared" si="1"/>
        <v>3172</v>
      </c>
      <c r="H37" s="178"/>
      <c r="I37" s="7"/>
      <c r="J37" s="7"/>
      <c r="K37" s="7"/>
      <c r="L37" s="7"/>
    </row>
    <row r="38" spans="1:17" ht="18" customHeight="1" x14ac:dyDescent="0.25">
      <c r="A38" s="14">
        <f t="shared" si="0"/>
        <v>30</v>
      </c>
      <c r="B38" s="45"/>
      <c r="C38" s="46" t="s">
        <v>317</v>
      </c>
      <c r="D38" s="214" t="s">
        <v>19</v>
      </c>
      <c r="E38" s="32"/>
      <c r="F38" s="40"/>
      <c r="G38" s="246">
        <f t="shared" si="1"/>
        <v>3172</v>
      </c>
      <c r="H38" s="178"/>
      <c r="I38" s="7"/>
      <c r="J38" s="7"/>
      <c r="K38" s="7"/>
      <c r="L38" s="7"/>
    </row>
    <row r="39" spans="1:17" ht="18" customHeight="1" x14ac:dyDescent="0.25">
      <c r="A39" s="14">
        <f t="shared" si="0"/>
        <v>31</v>
      </c>
      <c r="B39" s="8"/>
      <c r="C39" s="46" t="s">
        <v>317</v>
      </c>
      <c r="D39" s="214" t="s">
        <v>19</v>
      </c>
      <c r="E39" s="32"/>
      <c r="F39" s="40"/>
      <c r="G39" s="246">
        <f t="shared" si="1"/>
        <v>3172</v>
      </c>
      <c r="H39" s="178"/>
      <c r="I39" s="7"/>
      <c r="J39" s="7"/>
      <c r="K39" s="7"/>
      <c r="L39" s="7"/>
    </row>
    <row r="40" spans="1:17" ht="18" customHeight="1" x14ac:dyDescent="0.25">
      <c r="A40" s="14">
        <f t="shared" si="0"/>
        <v>32</v>
      </c>
      <c r="B40" s="8"/>
      <c r="C40" s="46" t="s">
        <v>317</v>
      </c>
      <c r="D40" s="214" t="s">
        <v>19</v>
      </c>
      <c r="E40" s="32"/>
      <c r="F40" s="17"/>
      <c r="G40" s="246">
        <f t="shared" si="1"/>
        <v>3172</v>
      </c>
      <c r="H40" s="178"/>
      <c r="I40" s="7"/>
      <c r="J40" s="7"/>
      <c r="K40" s="7"/>
      <c r="L40" s="7"/>
    </row>
    <row r="41" spans="1:17" ht="18" customHeight="1" x14ac:dyDescent="0.25">
      <c r="A41" s="14">
        <f t="shared" si="0"/>
        <v>33</v>
      </c>
      <c r="B41" s="8"/>
      <c r="C41" s="46" t="s">
        <v>317</v>
      </c>
      <c r="D41" s="214" t="s">
        <v>19</v>
      </c>
      <c r="E41" s="32"/>
      <c r="F41" s="17"/>
      <c r="G41" s="246">
        <f t="shared" si="1"/>
        <v>3172</v>
      </c>
      <c r="H41" s="178"/>
      <c r="I41" s="7"/>
      <c r="J41" s="7"/>
      <c r="K41" s="7"/>
      <c r="L41" s="7"/>
    </row>
    <row r="42" spans="1:17" ht="18" customHeight="1" x14ac:dyDescent="0.25">
      <c r="A42" s="14">
        <f t="shared" si="0"/>
        <v>34</v>
      </c>
      <c r="B42" s="8"/>
      <c r="C42" s="46" t="s">
        <v>317</v>
      </c>
      <c r="D42" s="214" t="s">
        <v>19</v>
      </c>
      <c r="E42" s="32"/>
      <c r="F42" s="17"/>
      <c r="G42" s="246">
        <f t="shared" si="1"/>
        <v>3172</v>
      </c>
      <c r="H42" s="178"/>
      <c r="I42" s="7"/>
      <c r="J42" s="7"/>
      <c r="K42" s="7"/>
      <c r="L42" s="7"/>
    </row>
    <row r="43" spans="1:17" ht="18" customHeight="1" x14ac:dyDescent="0.25">
      <c r="A43" s="14">
        <f t="shared" si="0"/>
        <v>35</v>
      </c>
      <c r="B43" s="8"/>
      <c r="C43" s="46" t="s">
        <v>317</v>
      </c>
      <c r="D43" s="214" t="s">
        <v>19</v>
      </c>
      <c r="E43" s="32"/>
      <c r="F43" s="17"/>
      <c r="G43" s="246">
        <f t="shared" si="1"/>
        <v>3172</v>
      </c>
      <c r="H43" s="178"/>
      <c r="I43" s="7"/>
      <c r="J43" s="7"/>
      <c r="K43" s="7"/>
      <c r="L43" s="7"/>
    </row>
    <row r="44" spans="1:17" ht="18" customHeight="1" x14ac:dyDescent="0.25">
      <c r="A44" s="14">
        <f t="shared" si="0"/>
        <v>36</v>
      </c>
      <c r="B44" s="8"/>
      <c r="C44" s="46" t="s">
        <v>317</v>
      </c>
      <c r="D44" s="214" t="s">
        <v>19</v>
      </c>
      <c r="E44" s="32"/>
      <c r="F44" s="172"/>
      <c r="G44" s="246">
        <f t="shared" si="1"/>
        <v>3172</v>
      </c>
      <c r="H44" s="178"/>
      <c r="I44" s="7"/>
      <c r="J44" s="7"/>
      <c r="K44" s="7"/>
      <c r="L44" s="7"/>
      <c r="Q44" s="162"/>
    </row>
    <row r="45" spans="1:17" ht="18" customHeight="1" x14ac:dyDescent="0.25">
      <c r="A45" s="14">
        <f t="shared" si="0"/>
        <v>37</v>
      </c>
      <c r="B45" s="8"/>
      <c r="C45" s="46" t="s">
        <v>317</v>
      </c>
      <c r="D45" s="214" t="s">
        <v>19</v>
      </c>
      <c r="E45" s="32"/>
      <c r="F45" s="17"/>
      <c r="G45" s="246">
        <f t="shared" si="1"/>
        <v>3172</v>
      </c>
      <c r="H45" s="178"/>
      <c r="I45" s="7"/>
      <c r="J45" s="7"/>
      <c r="K45" s="7"/>
      <c r="L45" s="7"/>
    </row>
    <row r="46" spans="1:17" ht="18" customHeight="1" x14ac:dyDescent="0.25">
      <c r="A46" s="14">
        <f t="shared" si="0"/>
        <v>38</v>
      </c>
      <c r="B46" s="8"/>
      <c r="C46" s="46" t="s">
        <v>317</v>
      </c>
      <c r="D46" s="214" t="s">
        <v>19</v>
      </c>
      <c r="E46" s="32"/>
      <c r="F46" s="17"/>
      <c r="G46" s="246">
        <f t="shared" si="1"/>
        <v>3172</v>
      </c>
      <c r="H46" s="178"/>
      <c r="I46" s="7"/>
      <c r="J46" s="7"/>
      <c r="K46" s="7"/>
      <c r="L46" s="7"/>
    </row>
    <row r="47" spans="1:17" ht="18" customHeight="1" x14ac:dyDescent="0.25">
      <c r="A47" s="14">
        <f t="shared" si="0"/>
        <v>39</v>
      </c>
      <c r="B47" s="8"/>
      <c r="C47" s="46" t="s">
        <v>317</v>
      </c>
      <c r="D47" s="214" t="s">
        <v>19</v>
      </c>
      <c r="E47" s="32"/>
      <c r="F47" s="17"/>
      <c r="G47" s="246">
        <f t="shared" si="1"/>
        <v>3172</v>
      </c>
      <c r="H47" s="178"/>
      <c r="I47" s="7"/>
      <c r="J47" s="7"/>
      <c r="K47" s="7"/>
      <c r="L47" s="7"/>
    </row>
    <row r="48" spans="1:17" ht="18" customHeight="1" x14ac:dyDescent="0.25">
      <c r="A48" s="14">
        <f t="shared" si="0"/>
        <v>40</v>
      </c>
      <c r="B48" s="8"/>
      <c r="C48" s="46" t="s">
        <v>317</v>
      </c>
      <c r="D48" s="214" t="s">
        <v>19</v>
      </c>
      <c r="E48" s="32"/>
      <c r="F48" s="17"/>
      <c r="G48" s="246">
        <f t="shared" si="1"/>
        <v>3172</v>
      </c>
      <c r="H48" s="178"/>
      <c r="I48" s="29"/>
      <c r="J48" s="29"/>
      <c r="K48" s="7"/>
      <c r="L48" s="7"/>
    </row>
    <row r="49" spans="1:17" ht="18" customHeight="1" x14ac:dyDescent="0.25">
      <c r="A49" s="14">
        <f t="shared" si="0"/>
        <v>41</v>
      </c>
      <c r="B49" s="8"/>
      <c r="C49" s="46" t="s">
        <v>317</v>
      </c>
      <c r="D49" s="214" t="s">
        <v>19</v>
      </c>
      <c r="E49" s="32"/>
      <c r="F49" s="17"/>
      <c r="G49" s="246">
        <f t="shared" si="1"/>
        <v>3172</v>
      </c>
      <c r="H49" s="178"/>
      <c r="I49" s="29"/>
      <c r="J49" s="29"/>
      <c r="K49" s="7"/>
      <c r="L49" s="7"/>
    </row>
    <row r="50" spans="1:17" ht="18" customHeight="1" x14ac:dyDescent="0.25">
      <c r="A50" s="14">
        <f t="shared" si="0"/>
        <v>42</v>
      </c>
      <c r="B50" s="8"/>
      <c r="C50" s="46" t="s">
        <v>317</v>
      </c>
      <c r="D50" s="214" t="s">
        <v>19</v>
      </c>
      <c r="E50" s="32"/>
      <c r="F50" s="17"/>
      <c r="G50" s="246">
        <f t="shared" si="1"/>
        <v>3172</v>
      </c>
      <c r="H50" s="178"/>
      <c r="I50" s="29"/>
      <c r="J50" s="29"/>
      <c r="K50" s="7"/>
      <c r="L50" s="7"/>
    </row>
    <row r="51" spans="1:17" ht="18" customHeight="1" x14ac:dyDescent="0.25">
      <c r="A51" s="14">
        <f t="shared" si="0"/>
        <v>43</v>
      </c>
      <c r="B51" s="8"/>
      <c r="C51" s="46" t="s">
        <v>317</v>
      </c>
      <c r="D51" s="214" t="s">
        <v>19</v>
      </c>
      <c r="E51" s="32"/>
      <c r="F51" s="17"/>
      <c r="G51" s="246">
        <f t="shared" si="1"/>
        <v>3172</v>
      </c>
      <c r="H51" s="178"/>
      <c r="I51" s="29"/>
      <c r="J51" s="29"/>
      <c r="K51" s="7"/>
      <c r="L51" s="7"/>
    </row>
    <row r="52" spans="1:17" ht="18" customHeight="1" x14ac:dyDescent="0.25">
      <c r="A52" s="14">
        <f t="shared" si="0"/>
        <v>44</v>
      </c>
      <c r="B52" s="8"/>
      <c r="C52" s="46" t="s">
        <v>317</v>
      </c>
      <c r="D52" s="214" t="s">
        <v>19</v>
      </c>
      <c r="E52" s="32"/>
      <c r="F52" s="17"/>
      <c r="G52" s="246">
        <f t="shared" si="1"/>
        <v>3172</v>
      </c>
      <c r="H52" s="178"/>
      <c r="I52" s="7"/>
      <c r="J52" s="7"/>
      <c r="K52" s="7"/>
      <c r="L52" s="7"/>
    </row>
    <row r="53" spans="1:17" s="162" customFormat="1" ht="18" customHeight="1" x14ac:dyDescent="0.25">
      <c r="A53" s="14">
        <f t="shared" si="0"/>
        <v>45</v>
      </c>
      <c r="B53" s="174"/>
      <c r="C53" s="46" t="s">
        <v>317</v>
      </c>
      <c r="D53" s="237" t="s">
        <v>19</v>
      </c>
      <c r="E53" s="175"/>
      <c r="F53" s="172"/>
      <c r="G53" s="246">
        <f t="shared" si="1"/>
        <v>3172</v>
      </c>
      <c r="H53" s="178"/>
      <c r="I53" s="7"/>
      <c r="J53" s="7"/>
      <c r="K53" s="271"/>
      <c r="L53" s="271"/>
      <c r="Q53"/>
    </row>
    <row r="54" spans="1:17" ht="18" customHeight="1" x14ac:dyDescent="0.25">
      <c r="A54" s="14">
        <f t="shared" si="0"/>
        <v>46</v>
      </c>
      <c r="B54" s="8"/>
      <c r="C54" s="46" t="s">
        <v>317</v>
      </c>
      <c r="D54" s="214" t="s">
        <v>19</v>
      </c>
      <c r="E54" s="32"/>
      <c r="F54" s="17"/>
      <c r="G54" s="246">
        <f t="shared" si="1"/>
        <v>3172</v>
      </c>
      <c r="H54" s="239"/>
      <c r="I54" s="7"/>
      <c r="J54" s="7"/>
      <c r="K54" s="7"/>
      <c r="L54" s="7"/>
    </row>
    <row r="55" spans="1:17" ht="18" customHeight="1" x14ac:dyDescent="0.25">
      <c r="A55" s="14">
        <f t="shared" si="0"/>
        <v>47</v>
      </c>
      <c r="B55" s="8"/>
      <c r="C55" s="46" t="s">
        <v>317</v>
      </c>
      <c r="D55" s="214" t="s">
        <v>19</v>
      </c>
      <c r="E55" s="32"/>
      <c r="F55" s="17"/>
      <c r="G55" s="246">
        <f t="shared" si="1"/>
        <v>3172</v>
      </c>
      <c r="H55" s="239"/>
      <c r="I55" s="7"/>
      <c r="J55" s="7"/>
      <c r="K55" s="7"/>
      <c r="L55" s="7"/>
    </row>
    <row r="56" spans="1:17" ht="18" customHeight="1" x14ac:dyDescent="0.25">
      <c r="A56" s="14">
        <f t="shared" si="0"/>
        <v>48</v>
      </c>
      <c r="B56" s="8"/>
      <c r="C56" s="46" t="s">
        <v>317</v>
      </c>
      <c r="D56" s="214" t="s">
        <v>19</v>
      </c>
      <c r="E56" s="32"/>
      <c r="F56" s="17"/>
      <c r="G56" s="246">
        <f t="shared" si="1"/>
        <v>3172</v>
      </c>
      <c r="H56" s="239"/>
      <c r="I56" s="7"/>
      <c r="J56" s="7"/>
      <c r="K56" s="7"/>
      <c r="L56" s="7"/>
    </row>
    <row r="57" spans="1:17" ht="18" customHeight="1" x14ac:dyDescent="0.25">
      <c r="A57" s="14">
        <f t="shared" si="0"/>
        <v>49</v>
      </c>
      <c r="B57" s="8"/>
      <c r="C57" s="46" t="s">
        <v>317</v>
      </c>
      <c r="D57" s="214" t="s">
        <v>19</v>
      </c>
      <c r="E57" s="32"/>
      <c r="F57" s="17"/>
      <c r="G57" s="246">
        <f t="shared" si="1"/>
        <v>3172</v>
      </c>
      <c r="H57" s="28"/>
      <c r="I57" s="7"/>
      <c r="J57" s="7"/>
      <c r="K57" s="7"/>
      <c r="L57" s="7"/>
    </row>
    <row r="58" spans="1:17" ht="18" customHeight="1" x14ac:dyDescent="0.25">
      <c r="A58" s="14">
        <f t="shared" si="0"/>
        <v>50</v>
      </c>
      <c r="B58" s="8"/>
      <c r="C58" s="46" t="s">
        <v>317</v>
      </c>
      <c r="D58" s="214" t="s">
        <v>19</v>
      </c>
      <c r="E58" s="32"/>
      <c r="F58" s="17"/>
      <c r="G58" s="246">
        <f t="shared" si="1"/>
        <v>3172</v>
      </c>
      <c r="H58" s="240"/>
      <c r="I58" s="7"/>
      <c r="J58" s="7"/>
      <c r="K58" s="7"/>
      <c r="L58" s="7"/>
    </row>
    <row r="59" spans="1:17" ht="18" customHeight="1" x14ac:dyDescent="0.25">
      <c r="A59" s="14">
        <f t="shared" si="0"/>
        <v>51</v>
      </c>
      <c r="B59" s="8"/>
      <c r="C59" s="46" t="s">
        <v>317</v>
      </c>
      <c r="D59" s="214" t="s">
        <v>19</v>
      </c>
      <c r="E59" s="32"/>
      <c r="F59" s="17"/>
      <c r="G59" s="246">
        <f t="shared" si="1"/>
        <v>3172</v>
      </c>
      <c r="H59" s="240"/>
      <c r="I59" s="7"/>
      <c r="J59" s="7"/>
      <c r="K59" s="7"/>
      <c r="L59" s="7"/>
    </row>
    <row r="60" spans="1:17" ht="18" customHeight="1" x14ac:dyDescent="0.25">
      <c r="A60" s="14">
        <f t="shared" si="0"/>
        <v>52</v>
      </c>
      <c r="B60" s="8"/>
      <c r="C60" s="46" t="s">
        <v>317</v>
      </c>
      <c r="D60" s="214" t="s">
        <v>19</v>
      </c>
      <c r="E60" s="32"/>
      <c r="F60" s="17"/>
      <c r="G60" s="246">
        <f t="shared" si="1"/>
        <v>3172</v>
      </c>
      <c r="H60" s="240"/>
      <c r="I60" s="7" t="s">
        <v>14</v>
      </c>
      <c r="J60" s="7"/>
      <c r="K60" s="7"/>
      <c r="L60" s="7"/>
    </row>
    <row r="61" spans="1:17" ht="18" customHeight="1" x14ac:dyDescent="0.25">
      <c r="A61" s="14">
        <f t="shared" si="0"/>
        <v>53</v>
      </c>
      <c r="B61" s="8"/>
      <c r="C61" s="46" t="s">
        <v>317</v>
      </c>
      <c r="D61" s="214" t="s">
        <v>19</v>
      </c>
      <c r="E61" s="32"/>
      <c r="F61" s="17"/>
      <c r="G61" s="246">
        <f t="shared" si="1"/>
        <v>3172</v>
      </c>
      <c r="H61" s="240"/>
      <c r="I61" s="7" t="s">
        <v>14</v>
      </c>
      <c r="J61" s="7"/>
      <c r="K61" s="7"/>
      <c r="L61" s="7"/>
    </row>
    <row r="62" spans="1:17" ht="18" customHeight="1" x14ac:dyDescent="0.25">
      <c r="A62" s="14">
        <f t="shared" si="0"/>
        <v>54</v>
      </c>
      <c r="B62" s="8"/>
      <c r="C62" s="46" t="s">
        <v>317</v>
      </c>
      <c r="D62" s="214" t="s">
        <v>19</v>
      </c>
      <c r="E62" s="32"/>
      <c r="F62" s="17"/>
      <c r="G62" s="246">
        <f t="shared" si="1"/>
        <v>3172</v>
      </c>
      <c r="H62" s="240"/>
      <c r="I62" s="7" t="s">
        <v>14</v>
      </c>
      <c r="J62" s="7"/>
      <c r="K62" s="7"/>
      <c r="L62" s="7"/>
    </row>
    <row r="63" spans="1:17" ht="18" customHeight="1" x14ac:dyDescent="0.25">
      <c r="A63" s="14">
        <f t="shared" si="0"/>
        <v>55</v>
      </c>
      <c r="B63" s="8"/>
      <c r="C63" s="46" t="s">
        <v>317</v>
      </c>
      <c r="D63" s="214" t="s">
        <v>19</v>
      </c>
      <c r="E63" s="32"/>
      <c r="F63" s="17"/>
      <c r="G63" s="246">
        <f t="shared" si="1"/>
        <v>3172</v>
      </c>
      <c r="H63" s="240"/>
      <c r="I63" s="7" t="s">
        <v>14</v>
      </c>
      <c r="J63" s="7"/>
      <c r="K63" s="7"/>
      <c r="L63" s="7"/>
    </row>
    <row r="64" spans="1:17" ht="18" customHeight="1" x14ac:dyDescent="0.25">
      <c r="A64" s="14">
        <f t="shared" si="0"/>
        <v>56</v>
      </c>
      <c r="B64" s="8"/>
      <c r="C64" s="46" t="s">
        <v>317</v>
      </c>
      <c r="D64" s="214" t="s">
        <v>19</v>
      </c>
      <c r="E64" s="32"/>
      <c r="F64" s="17"/>
      <c r="G64" s="246">
        <f t="shared" si="1"/>
        <v>3172</v>
      </c>
      <c r="H64" s="240"/>
      <c r="I64" s="7" t="s">
        <v>14</v>
      </c>
      <c r="J64" s="7"/>
      <c r="K64" s="7"/>
      <c r="L64" s="7"/>
    </row>
    <row r="65" spans="1:12" ht="18" customHeight="1" x14ac:dyDescent="0.25">
      <c r="A65" s="14">
        <f t="shared" si="0"/>
        <v>57</v>
      </c>
      <c r="B65" s="8"/>
      <c r="C65" s="46" t="s">
        <v>317</v>
      </c>
      <c r="D65" s="214" t="s">
        <v>19</v>
      </c>
      <c r="E65" s="32"/>
      <c r="F65" s="17"/>
      <c r="G65" s="246">
        <f t="shared" si="1"/>
        <v>3172</v>
      </c>
      <c r="H65" s="240"/>
      <c r="I65" s="7" t="s">
        <v>14</v>
      </c>
      <c r="J65" s="7"/>
      <c r="K65" s="7"/>
      <c r="L65" s="7"/>
    </row>
    <row r="66" spans="1:12" ht="18" customHeight="1" x14ac:dyDescent="0.25">
      <c r="A66" s="14">
        <f t="shared" si="0"/>
        <v>58</v>
      </c>
      <c r="B66" s="8"/>
      <c r="C66" s="46" t="s">
        <v>317</v>
      </c>
      <c r="D66" s="214" t="s">
        <v>19</v>
      </c>
      <c r="E66" s="32"/>
      <c r="F66" s="17"/>
      <c r="G66" s="246">
        <f t="shared" si="1"/>
        <v>3172</v>
      </c>
      <c r="H66" s="240"/>
      <c r="I66" s="7" t="s">
        <v>14</v>
      </c>
      <c r="J66" s="7"/>
      <c r="K66" s="7"/>
      <c r="L66" s="7"/>
    </row>
    <row r="67" spans="1:12" ht="18" customHeight="1" x14ac:dyDescent="0.25">
      <c r="A67" s="14">
        <f t="shared" si="0"/>
        <v>59</v>
      </c>
      <c r="B67" s="8"/>
      <c r="C67" s="46" t="s">
        <v>317</v>
      </c>
      <c r="D67" s="214" t="s">
        <v>19</v>
      </c>
      <c r="E67" s="32"/>
      <c r="F67" s="17"/>
      <c r="G67" s="246">
        <f t="shared" si="1"/>
        <v>3172</v>
      </c>
      <c r="H67" s="240"/>
      <c r="I67" s="7" t="s">
        <v>14</v>
      </c>
      <c r="J67" s="7"/>
      <c r="K67" s="7"/>
      <c r="L67" s="7"/>
    </row>
    <row r="68" spans="1:12" ht="18" customHeight="1" x14ac:dyDescent="0.25">
      <c r="A68" s="14">
        <f t="shared" si="0"/>
        <v>60</v>
      </c>
      <c r="B68" s="8"/>
      <c r="C68" s="46" t="s">
        <v>317</v>
      </c>
      <c r="D68" s="214" t="s">
        <v>19</v>
      </c>
      <c r="E68" s="32"/>
      <c r="F68" s="17"/>
      <c r="G68" s="246">
        <f t="shared" si="1"/>
        <v>3172</v>
      </c>
      <c r="H68" s="240"/>
      <c r="I68" s="7" t="s">
        <v>14</v>
      </c>
      <c r="J68" s="7"/>
      <c r="K68" s="140"/>
      <c r="L68" s="7"/>
    </row>
    <row r="69" spans="1:12" ht="18" customHeight="1" x14ac:dyDescent="0.25">
      <c r="A69" s="14">
        <f t="shared" si="0"/>
        <v>61</v>
      </c>
      <c r="B69" s="8"/>
      <c r="C69" s="46" t="s">
        <v>317</v>
      </c>
      <c r="D69" s="214" t="s">
        <v>19</v>
      </c>
      <c r="E69" s="32"/>
      <c r="F69" s="17"/>
      <c r="G69" s="246">
        <f t="shared" si="1"/>
        <v>3172</v>
      </c>
      <c r="H69" s="240"/>
      <c r="I69" s="7" t="s">
        <v>14</v>
      </c>
      <c r="J69" s="7"/>
      <c r="K69" s="7"/>
      <c r="L69" s="7"/>
    </row>
    <row r="70" spans="1:12" ht="18" customHeight="1" x14ac:dyDescent="0.25">
      <c r="A70" s="14">
        <f t="shared" si="0"/>
        <v>62</v>
      </c>
      <c r="B70" s="8"/>
      <c r="C70" s="46" t="s">
        <v>317</v>
      </c>
      <c r="D70" s="214" t="s">
        <v>19</v>
      </c>
      <c r="E70" s="32"/>
      <c r="F70" s="17"/>
      <c r="G70" s="246">
        <f t="shared" si="1"/>
        <v>3172</v>
      </c>
      <c r="H70" s="240"/>
      <c r="I70" s="7" t="s">
        <v>14</v>
      </c>
      <c r="J70" s="7"/>
      <c r="K70" s="7"/>
      <c r="L70" s="7"/>
    </row>
    <row r="71" spans="1:12" ht="18" customHeight="1" x14ac:dyDescent="0.25">
      <c r="A71" s="14">
        <f t="shared" si="0"/>
        <v>63</v>
      </c>
      <c r="B71" s="8"/>
      <c r="C71" s="46" t="s">
        <v>317</v>
      </c>
      <c r="D71" s="214" t="s">
        <v>19</v>
      </c>
      <c r="E71" s="32"/>
      <c r="F71" s="17"/>
      <c r="G71" s="246">
        <f t="shared" si="1"/>
        <v>3172</v>
      </c>
      <c r="H71" s="240"/>
      <c r="I71" s="7" t="s">
        <v>14</v>
      </c>
      <c r="J71" s="7"/>
      <c r="K71" s="7"/>
      <c r="L71" s="7"/>
    </row>
    <row r="72" spans="1:12" ht="18" customHeight="1" x14ac:dyDescent="0.25">
      <c r="A72" s="14">
        <f t="shared" si="0"/>
        <v>64</v>
      </c>
      <c r="B72" s="8"/>
      <c r="C72" s="46" t="s">
        <v>317</v>
      </c>
      <c r="D72" s="214" t="s">
        <v>19</v>
      </c>
      <c r="E72" s="32"/>
      <c r="F72" s="17"/>
      <c r="G72" s="246">
        <f t="shared" si="1"/>
        <v>3172</v>
      </c>
      <c r="H72" s="240"/>
      <c r="I72" s="7" t="s">
        <v>14</v>
      </c>
      <c r="J72" s="7"/>
      <c r="K72" s="7"/>
      <c r="L72" s="7"/>
    </row>
    <row r="73" spans="1:12" ht="18" customHeight="1" x14ac:dyDescent="0.25">
      <c r="A73" s="14">
        <f t="shared" si="0"/>
        <v>65</v>
      </c>
      <c r="B73" s="8"/>
      <c r="C73" s="46" t="s">
        <v>317</v>
      </c>
      <c r="D73" s="214" t="s">
        <v>19</v>
      </c>
      <c r="E73" s="32"/>
      <c r="F73" s="17"/>
      <c r="G73" s="246">
        <f t="shared" si="1"/>
        <v>3172</v>
      </c>
      <c r="H73" s="240"/>
      <c r="I73" s="7" t="s">
        <v>14</v>
      </c>
      <c r="J73" s="7"/>
      <c r="K73" s="7"/>
      <c r="L73" s="7"/>
    </row>
    <row r="74" spans="1:12" ht="18" customHeight="1" x14ac:dyDescent="0.25">
      <c r="A74" s="14">
        <f t="shared" si="0"/>
        <v>66</v>
      </c>
      <c r="B74" s="8"/>
      <c r="C74" s="46" t="s">
        <v>317</v>
      </c>
      <c r="D74" s="214" t="s">
        <v>19</v>
      </c>
      <c r="E74" s="32"/>
      <c r="F74" s="17"/>
      <c r="G74" s="246">
        <f t="shared" si="1"/>
        <v>3172</v>
      </c>
      <c r="H74" s="240"/>
      <c r="I74" s="7" t="s">
        <v>14</v>
      </c>
      <c r="J74" s="7"/>
      <c r="K74" s="7"/>
      <c r="L74" s="7"/>
    </row>
    <row r="75" spans="1:12" ht="18" customHeight="1" x14ac:dyDescent="0.25">
      <c r="A75" s="14">
        <f t="shared" si="0"/>
        <v>67</v>
      </c>
      <c r="B75" s="8"/>
      <c r="C75" s="46" t="s">
        <v>317</v>
      </c>
      <c r="D75" s="214" t="s">
        <v>19</v>
      </c>
      <c r="E75" s="32"/>
      <c r="F75" s="17"/>
      <c r="G75" s="246">
        <f t="shared" si="1"/>
        <v>3172</v>
      </c>
      <c r="H75" s="240"/>
      <c r="I75" s="7" t="s">
        <v>14</v>
      </c>
      <c r="J75" s="7"/>
      <c r="K75" s="7"/>
      <c r="L75" s="7"/>
    </row>
    <row r="76" spans="1:12" ht="18" customHeight="1" x14ac:dyDescent="0.25">
      <c r="A76" s="14">
        <f t="shared" si="0"/>
        <v>68</v>
      </c>
      <c r="B76" s="8"/>
      <c r="C76" s="46" t="s">
        <v>317</v>
      </c>
      <c r="D76" s="214" t="s">
        <v>19</v>
      </c>
      <c r="E76" s="32"/>
      <c r="F76" s="17"/>
      <c r="G76" s="246">
        <f t="shared" si="1"/>
        <v>3172</v>
      </c>
      <c r="H76" s="240"/>
      <c r="I76" s="7" t="s">
        <v>14</v>
      </c>
      <c r="J76" s="7"/>
      <c r="K76" s="7"/>
      <c r="L76" s="7"/>
    </row>
    <row r="77" spans="1:12" ht="18" customHeight="1" x14ac:dyDescent="0.25">
      <c r="A77" s="14">
        <f t="shared" ref="A77:A110" si="2">+A76+1</f>
        <v>69</v>
      </c>
      <c r="B77" s="8"/>
      <c r="C77" s="46" t="s">
        <v>317</v>
      </c>
      <c r="D77" s="214" t="s">
        <v>19</v>
      </c>
      <c r="E77" s="32"/>
      <c r="F77" s="17"/>
      <c r="G77" s="246">
        <f t="shared" ref="G77:G110" si="3">+G76+E77-F77</f>
        <v>3172</v>
      </c>
      <c r="H77" s="240"/>
      <c r="I77" s="7" t="s">
        <v>14</v>
      </c>
      <c r="J77" s="7"/>
      <c r="K77" s="7"/>
      <c r="L77" s="7"/>
    </row>
    <row r="78" spans="1:12" ht="18" customHeight="1" x14ac:dyDescent="0.25">
      <c r="A78" s="14">
        <f t="shared" si="2"/>
        <v>70</v>
      </c>
      <c r="B78" s="8"/>
      <c r="C78" s="46" t="s">
        <v>317</v>
      </c>
      <c r="D78" s="214" t="s">
        <v>19</v>
      </c>
      <c r="E78" s="32"/>
      <c r="F78" s="17"/>
      <c r="G78" s="246">
        <f t="shared" si="3"/>
        <v>3172</v>
      </c>
      <c r="H78" s="240"/>
      <c r="I78" s="7" t="s">
        <v>14</v>
      </c>
      <c r="J78" s="7"/>
      <c r="K78" s="7"/>
      <c r="L78" s="7"/>
    </row>
    <row r="79" spans="1:12" ht="18" customHeight="1" x14ac:dyDescent="0.25">
      <c r="A79" s="14">
        <f t="shared" si="2"/>
        <v>71</v>
      </c>
      <c r="B79" s="8"/>
      <c r="C79" s="46" t="s">
        <v>317</v>
      </c>
      <c r="D79" s="214" t="s">
        <v>19</v>
      </c>
      <c r="E79" s="32"/>
      <c r="F79" s="17"/>
      <c r="G79" s="246">
        <f t="shared" si="3"/>
        <v>3172</v>
      </c>
      <c r="H79" s="240"/>
      <c r="I79" s="7" t="s">
        <v>14</v>
      </c>
      <c r="J79" s="7"/>
      <c r="K79" s="7"/>
      <c r="L79" s="7"/>
    </row>
    <row r="80" spans="1:12" ht="18" customHeight="1" x14ac:dyDescent="0.25">
      <c r="A80" s="14">
        <f t="shared" si="2"/>
        <v>72</v>
      </c>
      <c r="B80" s="8"/>
      <c r="C80" s="46" t="s">
        <v>317</v>
      </c>
      <c r="D80" s="214" t="s">
        <v>19</v>
      </c>
      <c r="E80" s="32"/>
      <c r="F80" s="17"/>
      <c r="G80" s="246">
        <f t="shared" si="3"/>
        <v>3172</v>
      </c>
      <c r="H80" s="240"/>
      <c r="I80" s="7" t="s">
        <v>14</v>
      </c>
      <c r="J80" s="7"/>
      <c r="K80" s="7"/>
      <c r="L80" s="7"/>
    </row>
    <row r="81" spans="1:18" ht="18" customHeight="1" x14ac:dyDescent="0.25">
      <c r="A81" s="14">
        <f t="shared" si="2"/>
        <v>73</v>
      </c>
      <c r="B81" s="8"/>
      <c r="C81" s="46" t="s">
        <v>317</v>
      </c>
      <c r="D81" s="214" t="s">
        <v>19</v>
      </c>
      <c r="E81" s="32"/>
      <c r="F81" s="17"/>
      <c r="G81" s="246">
        <f t="shared" si="3"/>
        <v>3172</v>
      </c>
      <c r="H81" s="240"/>
      <c r="I81" s="7" t="s">
        <v>14</v>
      </c>
      <c r="J81" s="7"/>
      <c r="K81" s="7"/>
      <c r="L81" s="7"/>
    </row>
    <row r="82" spans="1:18" ht="18" customHeight="1" x14ac:dyDescent="0.25">
      <c r="A82" s="14">
        <f t="shared" si="2"/>
        <v>74</v>
      </c>
      <c r="B82" s="8"/>
      <c r="C82" s="46" t="s">
        <v>317</v>
      </c>
      <c r="D82" s="214" t="s">
        <v>19</v>
      </c>
      <c r="E82" s="32"/>
      <c r="F82" s="17"/>
      <c r="G82" s="246">
        <f t="shared" si="3"/>
        <v>3172</v>
      </c>
      <c r="H82" s="240"/>
      <c r="I82" s="7" t="s">
        <v>14</v>
      </c>
      <c r="J82" s="7"/>
      <c r="K82" s="7"/>
      <c r="L82" s="7"/>
    </row>
    <row r="83" spans="1:18" ht="18" customHeight="1" x14ac:dyDescent="0.25">
      <c r="A83" s="14">
        <f t="shared" si="2"/>
        <v>75</v>
      </c>
      <c r="B83" s="8"/>
      <c r="C83" s="46" t="s">
        <v>317</v>
      </c>
      <c r="D83" s="214" t="s">
        <v>19</v>
      </c>
      <c r="E83" s="32"/>
      <c r="F83" s="17"/>
      <c r="G83" s="246">
        <f t="shared" si="3"/>
        <v>3172</v>
      </c>
      <c r="H83" s="240"/>
      <c r="I83" s="7" t="s">
        <v>14</v>
      </c>
      <c r="J83" s="7"/>
      <c r="K83" s="7"/>
      <c r="L83" s="7"/>
    </row>
    <row r="84" spans="1:18" ht="18" customHeight="1" x14ac:dyDescent="0.25">
      <c r="A84" s="14">
        <f t="shared" si="2"/>
        <v>76</v>
      </c>
      <c r="B84" s="8"/>
      <c r="C84" s="46" t="s">
        <v>317</v>
      </c>
      <c r="D84" s="214" t="s">
        <v>19</v>
      </c>
      <c r="E84" s="32"/>
      <c r="F84" s="17"/>
      <c r="G84" s="246">
        <f t="shared" si="3"/>
        <v>3172</v>
      </c>
      <c r="H84" s="240"/>
      <c r="I84" s="7" t="s">
        <v>14</v>
      </c>
      <c r="J84" s="7"/>
      <c r="K84" s="7"/>
      <c r="L84" s="7"/>
    </row>
    <row r="85" spans="1:18" ht="18" customHeight="1" x14ac:dyDescent="0.25">
      <c r="A85" s="14">
        <f t="shared" si="2"/>
        <v>77</v>
      </c>
      <c r="B85" s="8"/>
      <c r="C85" s="46" t="s">
        <v>317</v>
      </c>
      <c r="D85" s="214" t="s">
        <v>19</v>
      </c>
      <c r="E85" s="32"/>
      <c r="F85" s="17"/>
      <c r="G85" s="246">
        <f t="shared" si="3"/>
        <v>3172</v>
      </c>
      <c r="H85" s="240"/>
      <c r="I85" s="7" t="s">
        <v>14</v>
      </c>
      <c r="J85" s="7"/>
      <c r="K85" s="7"/>
      <c r="L85" s="7"/>
    </row>
    <row r="86" spans="1:18" ht="18" customHeight="1" x14ac:dyDescent="0.25">
      <c r="A86" s="14">
        <f t="shared" si="2"/>
        <v>78</v>
      </c>
      <c r="B86" s="8"/>
      <c r="C86" s="46" t="s">
        <v>317</v>
      </c>
      <c r="D86" s="214" t="s">
        <v>19</v>
      </c>
      <c r="E86" s="32"/>
      <c r="F86" s="27"/>
      <c r="G86" s="246">
        <f t="shared" si="3"/>
        <v>3172</v>
      </c>
      <c r="H86" s="240"/>
      <c r="I86" s="7" t="s">
        <v>14</v>
      </c>
      <c r="J86" s="7"/>
      <c r="K86" s="7"/>
      <c r="L86" s="7"/>
    </row>
    <row r="87" spans="1:18" ht="18" customHeight="1" x14ac:dyDescent="0.25">
      <c r="A87" s="14">
        <f t="shared" si="2"/>
        <v>79</v>
      </c>
      <c r="B87" s="8"/>
      <c r="C87" s="46" t="s">
        <v>317</v>
      </c>
      <c r="D87" s="214" t="s">
        <v>19</v>
      </c>
      <c r="E87" s="32"/>
      <c r="F87" s="17"/>
      <c r="G87" s="246">
        <f t="shared" si="3"/>
        <v>3172</v>
      </c>
      <c r="H87" s="240"/>
      <c r="I87" s="7" t="s">
        <v>14</v>
      </c>
      <c r="J87" s="7"/>
      <c r="K87" s="7"/>
      <c r="L87" s="7"/>
    </row>
    <row r="88" spans="1:18" ht="18" customHeight="1" x14ac:dyDescent="0.25">
      <c r="A88" s="14">
        <f t="shared" si="2"/>
        <v>80</v>
      </c>
      <c r="B88" s="8"/>
      <c r="C88" s="46" t="s">
        <v>317</v>
      </c>
      <c r="D88" s="214" t="s">
        <v>19</v>
      </c>
      <c r="E88" s="32"/>
      <c r="F88" s="17"/>
      <c r="G88" s="246">
        <f t="shared" si="3"/>
        <v>3172</v>
      </c>
      <c r="H88" s="240"/>
      <c r="I88" s="7" t="s">
        <v>14</v>
      </c>
      <c r="J88" s="7"/>
      <c r="K88" s="7"/>
      <c r="L88" s="7"/>
    </row>
    <row r="89" spans="1:18" ht="18" customHeight="1" x14ac:dyDescent="0.25">
      <c r="A89" s="14">
        <f t="shared" si="2"/>
        <v>81</v>
      </c>
      <c r="B89" s="8"/>
      <c r="C89" s="46" t="s">
        <v>317</v>
      </c>
      <c r="D89" s="214" t="s">
        <v>19</v>
      </c>
      <c r="E89" s="32"/>
      <c r="F89" s="17"/>
      <c r="G89" s="246">
        <f t="shared" si="3"/>
        <v>3172</v>
      </c>
      <c r="H89" s="240"/>
      <c r="I89" s="7" t="s">
        <v>14</v>
      </c>
      <c r="J89" s="7"/>
      <c r="K89" s="7"/>
      <c r="L89" s="7"/>
    </row>
    <row r="90" spans="1:18" ht="18" customHeight="1" x14ac:dyDescent="0.25">
      <c r="A90" s="14">
        <f t="shared" si="2"/>
        <v>82</v>
      </c>
      <c r="B90" s="8"/>
      <c r="C90" s="46" t="s">
        <v>317</v>
      </c>
      <c r="D90" s="214" t="s">
        <v>19</v>
      </c>
      <c r="E90" s="32"/>
      <c r="F90" s="17"/>
      <c r="G90" s="246">
        <f t="shared" si="3"/>
        <v>3172</v>
      </c>
      <c r="H90" s="240"/>
      <c r="I90" s="7" t="s">
        <v>14</v>
      </c>
      <c r="J90" s="7"/>
      <c r="K90" s="7"/>
      <c r="L90" s="7"/>
    </row>
    <row r="91" spans="1:18" ht="18" customHeight="1" x14ac:dyDescent="0.25">
      <c r="A91" s="14">
        <f t="shared" si="2"/>
        <v>83</v>
      </c>
      <c r="B91" s="8"/>
      <c r="C91" s="46" t="s">
        <v>317</v>
      </c>
      <c r="D91" s="214" t="s">
        <v>19</v>
      </c>
      <c r="E91" s="32"/>
      <c r="F91" s="17"/>
      <c r="G91" s="246">
        <f t="shared" si="3"/>
        <v>3172</v>
      </c>
      <c r="H91" s="240"/>
      <c r="I91" s="7" t="s">
        <v>14</v>
      </c>
      <c r="J91" s="7"/>
      <c r="K91" s="7"/>
      <c r="L91" s="7"/>
    </row>
    <row r="92" spans="1:18" ht="18" customHeight="1" x14ac:dyDescent="0.25">
      <c r="A92" s="14">
        <f t="shared" si="2"/>
        <v>84</v>
      </c>
      <c r="B92" s="8"/>
      <c r="C92" s="46" t="s">
        <v>317</v>
      </c>
      <c r="D92" s="214" t="s">
        <v>19</v>
      </c>
      <c r="E92" s="32"/>
      <c r="F92" s="17"/>
      <c r="G92" s="246">
        <f t="shared" si="3"/>
        <v>3172</v>
      </c>
      <c r="H92" s="240"/>
      <c r="I92" s="7" t="s">
        <v>14</v>
      </c>
      <c r="J92" s="7"/>
      <c r="K92" s="7"/>
      <c r="L92" s="7"/>
    </row>
    <row r="93" spans="1:18" ht="18" customHeight="1" x14ac:dyDescent="0.25">
      <c r="A93" s="14">
        <f t="shared" si="2"/>
        <v>85</v>
      </c>
      <c r="B93" s="8"/>
      <c r="C93" s="46" t="s">
        <v>317</v>
      </c>
      <c r="D93" s="214" t="s">
        <v>19</v>
      </c>
      <c r="E93" s="32"/>
      <c r="F93" s="17"/>
      <c r="G93" s="246">
        <f t="shared" si="3"/>
        <v>3172</v>
      </c>
      <c r="H93" s="240"/>
      <c r="I93" s="7" t="s">
        <v>14</v>
      </c>
      <c r="J93" s="7"/>
      <c r="K93" s="7"/>
      <c r="L93" s="7"/>
      <c r="M93" s="199"/>
      <c r="R93" s="199"/>
    </row>
    <row r="94" spans="1:18" ht="18" customHeight="1" x14ac:dyDescent="0.25">
      <c r="A94" s="14">
        <f t="shared" si="2"/>
        <v>86</v>
      </c>
      <c r="B94" s="8"/>
      <c r="C94" s="46" t="s">
        <v>317</v>
      </c>
      <c r="D94" s="214" t="s">
        <v>19</v>
      </c>
      <c r="E94" s="32"/>
      <c r="F94" s="27"/>
      <c r="G94" s="246">
        <f t="shared" si="3"/>
        <v>3172</v>
      </c>
      <c r="H94" s="240"/>
      <c r="I94" s="7" t="s">
        <v>14</v>
      </c>
      <c r="J94" s="7"/>
      <c r="K94" s="7"/>
      <c r="L94" s="7"/>
      <c r="M94" s="199"/>
      <c r="R94" s="199"/>
    </row>
    <row r="95" spans="1:18" ht="18" customHeight="1" x14ac:dyDescent="0.25">
      <c r="A95" s="14">
        <f t="shared" si="2"/>
        <v>87</v>
      </c>
      <c r="B95" s="8"/>
      <c r="C95" s="46" t="s">
        <v>317</v>
      </c>
      <c r="D95" s="214" t="s">
        <v>19</v>
      </c>
      <c r="E95" s="32"/>
      <c r="F95" s="27"/>
      <c r="G95" s="246">
        <f t="shared" si="3"/>
        <v>3172</v>
      </c>
      <c r="H95" s="240"/>
      <c r="I95" s="7" t="s">
        <v>14</v>
      </c>
      <c r="J95" s="7"/>
      <c r="K95" s="7"/>
      <c r="L95" s="7"/>
      <c r="M95" s="199"/>
      <c r="R95" s="199"/>
    </row>
    <row r="96" spans="1:18" s="179" customFormat="1" ht="18" customHeight="1" x14ac:dyDescent="0.25">
      <c r="A96" s="14">
        <f t="shared" si="2"/>
        <v>88</v>
      </c>
      <c r="B96" s="242"/>
      <c r="C96" s="46" t="s">
        <v>317</v>
      </c>
      <c r="D96" s="244" t="s">
        <v>19</v>
      </c>
      <c r="E96" s="245"/>
      <c r="F96" s="52"/>
      <c r="G96" s="246">
        <f t="shared" si="3"/>
        <v>3172</v>
      </c>
      <c r="H96" s="240"/>
      <c r="I96" s="247" t="s">
        <v>14</v>
      </c>
      <c r="J96" s="247"/>
      <c r="K96" s="247"/>
      <c r="L96" s="247"/>
      <c r="M96" s="248"/>
      <c r="R96" s="248"/>
    </row>
    <row r="97" spans="1:18" s="179" customFormat="1" ht="18" customHeight="1" x14ac:dyDescent="0.25">
      <c r="A97" s="14">
        <f t="shared" si="2"/>
        <v>89</v>
      </c>
      <c r="B97" s="242"/>
      <c r="C97" s="46" t="s">
        <v>317</v>
      </c>
      <c r="D97" s="244" t="s">
        <v>19</v>
      </c>
      <c r="E97" s="245"/>
      <c r="F97" s="52"/>
      <c r="G97" s="246">
        <f t="shared" si="3"/>
        <v>3172</v>
      </c>
      <c r="H97" s="240"/>
      <c r="I97" s="247" t="s">
        <v>14</v>
      </c>
      <c r="J97" s="247"/>
      <c r="K97" s="247"/>
      <c r="L97" s="247"/>
      <c r="M97" s="248"/>
      <c r="R97" s="248"/>
    </row>
    <row r="98" spans="1:18" s="179" customFormat="1" ht="18" customHeight="1" x14ac:dyDescent="0.25">
      <c r="A98" s="14">
        <f t="shared" si="2"/>
        <v>90</v>
      </c>
      <c r="B98" s="242"/>
      <c r="C98" s="46" t="s">
        <v>317</v>
      </c>
      <c r="D98" s="244" t="s">
        <v>19</v>
      </c>
      <c r="E98" s="245"/>
      <c r="F98" s="52"/>
      <c r="G98" s="246">
        <f t="shared" si="3"/>
        <v>3172</v>
      </c>
      <c r="H98" s="240"/>
      <c r="I98" s="247" t="s">
        <v>14</v>
      </c>
      <c r="J98" s="247"/>
      <c r="K98" s="247"/>
      <c r="L98" s="247"/>
      <c r="M98" s="248"/>
      <c r="R98" s="248"/>
    </row>
    <row r="99" spans="1:18" s="179" customFormat="1" ht="18" customHeight="1" x14ac:dyDescent="0.25">
      <c r="A99" s="14">
        <f t="shared" si="2"/>
        <v>91</v>
      </c>
      <c r="B99" s="242"/>
      <c r="C99" s="46" t="s">
        <v>317</v>
      </c>
      <c r="D99" s="244" t="s">
        <v>19</v>
      </c>
      <c r="E99" s="245"/>
      <c r="F99" s="52"/>
      <c r="G99" s="246">
        <f t="shared" si="3"/>
        <v>3172</v>
      </c>
      <c r="H99" s="240"/>
      <c r="I99" s="247" t="s">
        <v>14</v>
      </c>
      <c r="J99" s="247"/>
      <c r="K99" s="247"/>
      <c r="L99" s="247"/>
      <c r="M99" s="248"/>
      <c r="R99" s="248"/>
    </row>
    <row r="100" spans="1:18" s="179" customFormat="1" ht="18" customHeight="1" x14ac:dyDescent="0.25">
      <c r="A100" s="14">
        <f t="shared" si="2"/>
        <v>92</v>
      </c>
      <c r="B100" s="242"/>
      <c r="C100" s="46" t="s">
        <v>317</v>
      </c>
      <c r="D100" s="244" t="s">
        <v>19</v>
      </c>
      <c r="E100" s="245"/>
      <c r="F100" s="52"/>
      <c r="G100" s="246">
        <f t="shared" si="3"/>
        <v>3172</v>
      </c>
      <c r="H100" s="240"/>
      <c r="I100" s="247" t="s">
        <v>14</v>
      </c>
      <c r="J100" s="247"/>
      <c r="K100" s="247"/>
      <c r="L100" s="247"/>
      <c r="M100" s="248"/>
      <c r="R100" s="248"/>
    </row>
    <row r="101" spans="1:18" s="179" customFormat="1" ht="18" customHeight="1" x14ac:dyDescent="0.25">
      <c r="A101" s="14">
        <f t="shared" si="2"/>
        <v>93</v>
      </c>
      <c r="B101" s="242"/>
      <c r="C101" s="46" t="s">
        <v>317</v>
      </c>
      <c r="D101" s="244" t="s">
        <v>19</v>
      </c>
      <c r="E101" s="245"/>
      <c r="F101" s="52"/>
      <c r="G101" s="246">
        <f t="shared" si="3"/>
        <v>3172</v>
      </c>
      <c r="H101" s="240"/>
      <c r="I101" s="247" t="s">
        <v>14</v>
      </c>
      <c r="J101" s="247"/>
      <c r="K101" s="247"/>
      <c r="L101" s="247"/>
      <c r="M101" s="248"/>
      <c r="R101" s="248"/>
    </row>
    <row r="102" spans="1:18" s="179" customFormat="1" ht="18" customHeight="1" x14ac:dyDescent="0.25">
      <c r="A102" s="14">
        <f t="shared" si="2"/>
        <v>94</v>
      </c>
      <c r="B102" s="242"/>
      <c r="C102" s="46" t="s">
        <v>317</v>
      </c>
      <c r="D102" s="244" t="s">
        <v>19</v>
      </c>
      <c r="E102" s="245"/>
      <c r="F102" s="52"/>
      <c r="G102" s="246">
        <f t="shared" si="3"/>
        <v>3172</v>
      </c>
      <c r="H102" s="240"/>
      <c r="I102" s="247" t="s">
        <v>14</v>
      </c>
      <c r="J102" s="247"/>
      <c r="K102" s="247"/>
      <c r="L102" s="247"/>
      <c r="M102" s="248"/>
      <c r="R102" s="248"/>
    </row>
    <row r="103" spans="1:18" s="179" customFormat="1" ht="18" customHeight="1" x14ac:dyDescent="0.25">
      <c r="A103" s="14">
        <f t="shared" si="2"/>
        <v>95</v>
      </c>
      <c r="B103" s="242"/>
      <c r="C103" s="46" t="s">
        <v>317</v>
      </c>
      <c r="D103" s="244" t="s">
        <v>19</v>
      </c>
      <c r="E103" s="245"/>
      <c r="F103" s="52"/>
      <c r="G103" s="246">
        <f t="shared" si="3"/>
        <v>3172</v>
      </c>
      <c r="H103" s="240"/>
      <c r="I103" s="247" t="s">
        <v>14</v>
      </c>
      <c r="J103" s="247"/>
      <c r="K103" s="247"/>
      <c r="L103" s="247"/>
      <c r="M103" s="248"/>
      <c r="R103" s="248"/>
    </row>
    <row r="104" spans="1:18" s="179" customFormat="1" ht="18" customHeight="1" x14ac:dyDescent="0.25">
      <c r="A104" s="14">
        <f t="shared" si="2"/>
        <v>96</v>
      </c>
      <c r="B104" s="242"/>
      <c r="C104" s="46" t="s">
        <v>317</v>
      </c>
      <c r="D104" s="244"/>
      <c r="E104" s="245"/>
      <c r="F104" s="52"/>
      <c r="G104" s="246">
        <f t="shared" si="3"/>
        <v>3172</v>
      </c>
      <c r="H104" s="240"/>
      <c r="I104" s="247"/>
      <c r="J104" s="247"/>
      <c r="K104" s="247"/>
      <c r="L104" s="247"/>
      <c r="M104" s="248"/>
      <c r="R104" s="248"/>
    </row>
    <row r="105" spans="1:18" s="179" customFormat="1" ht="18" customHeight="1" x14ac:dyDescent="0.25">
      <c r="A105" s="14">
        <f t="shared" si="2"/>
        <v>97</v>
      </c>
      <c r="B105" s="242"/>
      <c r="C105" s="46" t="s">
        <v>317</v>
      </c>
      <c r="D105" s="244"/>
      <c r="E105" s="245"/>
      <c r="F105" s="52"/>
      <c r="G105" s="246">
        <f t="shared" si="3"/>
        <v>3172</v>
      </c>
      <c r="H105" s="240"/>
      <c r="I105" s="247"/>
      <c r="J105" s="247"/>
      <c r="K105" s="247"/>
      <c r="L105" s="247"/>
      <c r="M105" s="248"/>
      <c r="R105" s="248"/>
    </row>
    <row r="106" spans="1:18" s="179" customFormat="1" ht="18" customHeight="1" x14ac:dyDescent="0.25">
      <c r="A106" s="14">
        <f t="shared" si="2"/>
        <v>98</v>
      </c>
      <c r="B106" s="242"/>
      <c r="C106" s="46" t="s">
        <v>317</v>
      </c>
      <c r="D106" s="244"/>
      <c r="E106" s="245"/>
      <c r="F106" s="52"/>
      <c r="G106" s="246">
        <f t="shared" si="3"/>
        <v>3172</v>
      </c>
      <c r="H106" s="240"/>
      <c r="I106" s="247"/>
      <c r="J106" s="247"/>
      <c r="K106" s="247"/>
      <c r="L106" s="247"/>
      <c r="M106" s="248"/>
      <c r="R106" s="248"/>
    </row>
    <row r="107" spans="1:18" s="179" customFormat="1" ht="18" customHeight="1" x14ac:dyDescent="0.25">
      <c r="A107" s="14">
        <f t="shared" si="2"/>
        <v>99</v>
      </c>
      <c r="B107" s="242"/>
      <c r="C107" s="243"/>
      <c r="D107" s="244"/>
      <c r="E107" s="245"/>
      <c r="F107" s="52"/>
      <c r="G107" s="246">
        <f t="shared" si="3"/>
        <v>3172</v>
      </c>
      <c r="H107" s="240"/>
      <c r="I107" s="247"/>
      <c r="J107" s="247"/>
      <c r="K107" s="247"/>
      <c r="L107" s="247"/>
      <c r="M107" s="248"/>
      <c r="R107" s="248"/>
    </row>
    <row r="108" spans="1:18" ht="18" customHeight="1" x14ac:dyDescent="0.25">
      <c r="A108" s="14">
        <f t="shared" si="2"/>
        <v>100</v>
      </c>
      <c r="B108" s="8"/>
      <c r="C108" s="46"/>
      <c r="D108" s="214"/>
      <c r="E108" s="32"/>
      <c r="F108" s="27"/>
      <c r="G108" s="246">
        <f t="shared" si="3"/>
        <v>3172</v>
      </c>
      <c r="H108" s="28"/>
      <c r="I108" s="7"/>
      <c r="J108" s="7"/>
      <c r="K108" s="7"/>
      <c r="L108" s="7"/>
      <c r="M108" s="199"/>
      <c r="R108" s="199"/>
    </row>
    <row r="109" spans="1:18" ht="18" customHeight="1" x14ac:dyDescent="0.25">
      <c r="A109" s="14">
        <f t="shared" si="2"/>
        <v>101</v>
      </c>
      <c r="B109" s="8"/>
      <c r="C109" s="46"/>
      <c r="D109" s="214"/>
      <c r="E109" s="32"/>
      <c r="F109" s="27"/>
      <c r="G109" s="246">
        <f t="shared" si="3"/>
        <v>3172</v>
      </c>
      <c r="H109" s="28"/>
      <c r="I109" s="7"/>
      <c r="J109" s="7"/>
      <c r="K109" s="7"/>
      <c r="L109" s="7"/>
      <c r="M109" s="199"/>
      <c r="R109" s="199"/>
    </row>
    <row r="110" spans="1:18" ht="18" customHeight="1" x14ac:dyDescent="0.25">
      <c r="A110" s="14">
        <f t="shared" si="2"/>
        <v>102</v>
      </c>
      <c r="B110" s="37"/>
      <c r="C110" s="46"/>
      <c r="D110" s="10"/>
      <c r="E110" s="32"/>
      <c r="F110" s="27"/>
      <c r="G110" s="246">
        <f t="shared" si="3"/>
        <v>3172</v>
      </c>
      <c r="H110" s="28"/>
      <c r="I110" s="7"/>
      <c r="J110" s="7"/>
      <c r="K110" s="7"/>
      <c r="L110" s="7"/>
      <c r="M110" s="199"/>
      <c r="R110" s="199"/>
    </row>
    <row r="111" spans="1:18" ht="18" customHeight="1" x14ac:dyDescent="0.25">
      <c r="A111" s="7"/>
      <c r="B111" s="7"/>
      <c r="C111" s="34" t="s">
        <v>13</v>
      </c>
      <c r="D111" s="14"/>
      <c r="E111" s="35">
        <f>SUM(E8:E110)</f>
        <v>23471</v>
      </c>
      <c r="F111" s="35">
        <f>SUM(F8:F110)</f>
        <v>20299</v>
      </c>
      <c r="G111" s="35">
        <f>+E111-F111+G8</f>
        <v>3172</v>
      </c>
      <c r="H111" s="35"/>
      <c r="I111" s="36"/>
      <c r="J111" s="7">
        <f>SUM(J9:J110)</f>
        <v>28</v>
      </c>
      <c r="K111" s="7">
        <f>SUM(K9:K110)</f>
        <v>16</v>
      </c>
      <c r="L111" s="7">
        <f>+J111-K111</f>
        <v>12</v>
      </c>
    </row>
    <row r="112" spans="1:18" ht="18" customHeight="1" x14ac:dyDescent="0.25"/>
    <row r="115" spans="5:10" x14ac:dyDescent="0.25">
      <c r="E115" s="201"/>
      <c r="F115" s="201"/>
      <c r="G115" s="201"/>
      <c r="H115" s="201"/>
    </row>
    <row r="116" spans="5:10" x14ac:dyDescent="0.25">
      <c r="F116" s="26"/>
    </row>
    <row r="117" spans="5:10" x14ac:dyDescent="0.25">
      <c r="E117" s="26"/>
      <c r="F117" s="26"/>
      <c r="G117" s="26"/>
      <c r="H117" s="26"/>
      <c r="I117" s="26"/>
      <c r="J117" s="26"/>
    </row>
    <row r="118" spans="5:10" x14ac:dyDescent="0.25">
      <c r="I118" s="202"/>
      <c r="J118" s="202"/>
    </row>
    <row r="119" spans="5:10" x14ac:dyDescent="0.25">
      <c r="E119" s="199"/>
    </row>
    <row r="120" spans="5:10" x14ac:dyDescent="0.25">
      <c r="E120" s="26"/>
      <c r="F120" s="26"/>
    </row>
    <row r="121" spans="5:10" x14ac:dyDescent="0.25">
      <c r="E121" s="203"/>
      <c r="F121" s="204"/>
      <c r="G121" s="203"/>
      <c r="H121" s="203"/>
    </row>
    <row r="122" spans="5:10" x14ac:dyDescent="0.25">
      <c r="F122" s="26"/>
    </row>
  </sheetData>
  <mergeCells count="1">
    <mergeCell ref="A4:I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5B42-3063-4C3D-9233-5BC51C49E917}">
  <sheetPr codeName="Sheet94"/>
  <dimension ref="A1:R119"/>
  <sheetViews>
    <sheetView workbookViewId="0">
      <selection activeCell="F12" sqref="F1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9.85546875" customWidth="1"/>
    <col min="11" max="11" width="11.140625" customWidth="1"/>
    <col min="13" max="13" width="11.28515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2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2"/>
    </row>
    <row r="6" spans="1:14" x14ac:dyDescent="0.25">
      <c r="A6" t="s">
        <v>162</v>
      </c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355</v>
      </c>
      <c r="L7" s="260" t="s">
        <v>181</v>
      </c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  <c r="L8" s="7"/>
    </row>
    <row r="9" spans="1:14" ht="17.25" customHeight="1" x14ac:dyDescent="0.25">
      <c r="A9" s="14">
        <v>1</v>
      </c>
      <c r="B9" s="8">
        <v>45726</v>
      </c>
      <c r="C9" s="46" t="s">
        <v>377</v>
      </c>
      <c r="D9" s="214" t="s">
        <v>19</v>
      </c>
      <c r="E9" s="30">
        <v>19615</v>
      </c>
      <c r="F9" s="27"/>
      <c r="G9" s="18">
        <f>+G8+E9-F9</f>
        <v>19615</v>
      </c>
      <c r="H9" s="28" t="s">
        <v>91</v>
      </c>
      <c r="I9" s="7" t="s">
        <v>90</v>
      </c>
      <c r="J9" s="7" t="s">
        <v>376</v>
      </c>
      <c r="K9" s="7"/>
      <c r="L9" s="7"/>
      <c r="M9">
        <f>362.5+401.5+338.5+348.5</f>
        <v>1451</v>
      </c>
      <c r="N9">
        <f>+L9-M9</f>
        <v>-1451</v>
      </c>
    </row>
    <row r="10" spans="1:14" ht="17.25" customHeight="1" x14ac:dyDescent="0.25">
      <c r="A10" s="14">
        <f t="shared" ref="A10:A73" si="0">+A9+1</f>
        <v>2</v>
      </c>
      <c r="B10" s="8">
        <v>45878</v>
      </c>
      <c r="C10" s="46" t="s">
        <v>377</v>
      </c>
      <c r="D10" s="214" t="s">
        <v>19</v>
      </c>
      <c r="E10" s="11"/>
      <c r="F10" s="27">
        <v>1016</v>
      </c>
      <c r="G10" s="18">
        <f t="shared" ref="G10:G73" si="1">+G9+E10-F10</f>
        <v>18599</v>
      </c>
      <c r="H10" s="28" t="s">
        <v>140</v>
      </c>
      <c r="I10" s="7" t="s">
        <v>326</v>
      </c>
      <c r="J10" s="7"/>
      <c r="K10" s="7"/>
      <c r="L10" s="7"/>
      <c r="M10" t="s">
        <v>231</v>
      </c>
    </row>
    <row r="11" spans="1:14" ht="18" customHeight="1" x14ac:dyDescent="0.25">
      <c r="A11" s="14">
        <f t="shared" si="0"/>
        <v>3</v>
      </c>
      <c r="B11" s="8">
        <v>45879</v>
      </c>
      <c r="C11" s="46" t="s">
        <v>377</v>
      </c>
      <c r="D11" s="214" t="s">
        <v>19</v>
      </c>
      <c r="E11" s="16"/>
      <c r="F11" s="27">
        <v>2056</v>
      </c>
      <c r="G11" s="18">
        <f t="shared" si="1"/>
        <v>16543</v>
      </c>
      <c r="H11" s="28" t="s">
        <v>91</v>
      </c>
      <c r="I11" s="7" t="s">
        <v>90</v>
      </c>
      <c r="J11" s="7"/>
      <c r="K11" s="140"/>
      <c r="L11" s="7"/>
    </row>
    <row r="12" spans="1:14" ht="18" customHeight="1" x14ac:dyDescent="0.25">
      <c r="A12" s="14">
        <f t="shared" si="0"/>
        <v>4</v>
      </c>
      <c r="B12" s="8"/>
      <c r="C12" s="46" t="s">
        <v>377</v>
      </c>
      <c r="D12" s="214" t="s">
        <v>19</v>
      </c>
      <c r="E12" s="16"/>
      <c r="F12" s="17"/>
      <c r="G12" s="18">
        <f t="shared" si="1"/>
        <v>16543</v>
      </c>
      <c r="H12" s="28" t="s">
        <v>91</v>
      </c>
      <c r="I12" s="7" t="s">
        <v>90</v>
      </c>
      <c r="J12" s="7"/>
      <c r="K12" s="140"/>
      <c r="L12" s="7"/>
    </row>
    <row r="13" spans="1:14" ht="18" customHeight="1" x14ac:dyDescent="0.25">
      <c r="A13" s="14">
        <f t="shared" si="0"/>
        <v>5</v>
      </c>
      <c r="B13" s="205"/>
      <c r="C13" s="46" t="s">
        <v>377</v>
      </c>
      <c r="D13" s="214" t="s">
        <v>19</v>
      </c>
      <c r="E13" s="16"/>
      <c r="F13" s="17"/>
      <c r="G13" s="18">
        <f t="shared" si="1"/>
        <v>16543</v>
      </c>
      <c r="H13" s="28" t="s">
        <v>91</v>
      </c>
      <c r="I13" s="7" t="s">
        <v>90</v>
      </c>
      <c r="J13" s="7"/>
      <c r="K13" s="140"/>
      <c r="L13" s="7"/>
    </row>
    <row r="14" spans="1:14" ht="18" customHeight="1" x14ac:dyDescent="0.25">
      <c r="A14" s="14">
        <f t="shared" si="0"/>
        <v>6</v>
      </c>
      <c r="B14" s="8"/>
      <c r="C14" s="46" t="s">
        <v>377</v>
      </c>
      <c r="D14" s="214" t="s">
        <v>19</v>
      </c>
      <c r="E14" s="16"/>
      <c r="F14" s="27"/>
      <c r="G14" s="18">
        <f t="shared" si="1"/>
        <v>16543</v>
      </c>
      <c r="H14" s="28" t="s">
        <v>91</v>
      </c>
      <c r="I14" s="7" t="s">
        <v>90</v>
      </c>
      <c r="J14" s="7"/>
      <c r="K14" s="7"/>
      <c r="L14" s="7"/>
    </row>
    <row r="15" spans="1:14" ht="18" customHeight="1" x14ac:dyDescent="0.25">
      <c r="A15" s="14">
        <f t="shared" si="0"/>
        <v>7</v>
      </c>
      <c r="B15" s="8"/>
      <c r="C15" s="46" t="s">
        <v>377</v>
      </c>
      <c r="D15" s="214" t="s">
        <v>19</v>
      </c>
      <c r="E15" s="16"/>
      <c r="F15" s="27"/>
      <c r="G15" s="18">
        <f t="shared" si="1"/>
        <v>16543</v>
      </c>
      <c r="H15" s="28" t="s">
        <v>91</v>
      </c>
      <c r="I15" s="7" t="s">
        <v>90</v>
      </c>
      <c r="J15" s="7"/>
      <c r="K15" s="140"/>
      <c r="L15" s="7"/>
    </row>
    <row r="16" spans="1:14" ht="18" customHeight="1" x14ac:dyDescent="0.25">
      <c r="A16" s="14">
        <f t="shared" si="0"/>
        <v>8</v>
      </c>
      <c r="B16" s="8"/>
      <c r="C16" s="46" t="s">
        <v>377</v>
      </c>
      <c r="D16" s="214" t="s">
        <v>19</v>
      </c>
      <c r="E16" s="16"/>
      <c r="F16" s="27"/>
      <c r="G16" s="18">
        <f t="shared" si="1"/>
        <v>16543</v>
      </c>
      <c r="H16" s="28" t="s">
        <v>91</v>
      </c>
      <c r="I16" s="7" t="s">
        <v>90</v>
      </c>
      <c r="J16" s="7"/>
      <c r="K16" s="7"/>
      <c r="L16" s="7"/>
    </row>
    <row r="17" spans="1:15" ht="18" customHeight="1" x14ac:dyDescent="0.25">
      <c r="A17" s="14">
        <f t="shared" si="0"/>
        <v>9</v>
      </c>
      <c r="B17" s="8"/>
      <c r="C17" s="46" t="s">
        <v>377</v>
      </c>
      <c r="D17" s="214" t="s">
        <v>19</v>
      </c>
      <c r="E17" s="30"/>
      <c r="F17" s="27"/>
      <c r="G17" s="18">
        <f t="shared" si="1"/>
        <v>16543</v>
      </c>
      <c r="H17" s="28" t="s">
        <v>91</v>
      </c>
      <c r="I17" s="7" t="s">
        <v>90</v>
      </c>
      <c r="J17" s="7"/>
      <c r="K17" s="7"/>
      <c r="L17" s="7"/>
    </row>
    <row r="18" spans="1:15" s="230" customFormat="1" ht="18" customHeight="1" x14ac:dyDescent="0.25">
      <c r="A18" s="223">
        <f>+A17+1</f>
        <v>10</v>
      </c>
      <c r="B18" s="224"/>
      <c r="C18" s="46" t="s">
        <v>377</v>
      </c>
      <c r="D18" s="226" t="s">
        <v>19</v>
      </c>
      <c r="E18" s="227"/>
      <c r="F18" s="228"/>
      <c r="G18" s="229">
        <f t="shared" si="1"/>
        <v>16543</v>
      </c>
      <c r="H18" s="28" t="s">
        <v>91</v>
      </c>
      <c r="I18" s="7" t="s">
        <v>90</v>
      </c>
      <c r="J18" s="7"/>
      <c r="K18" s="348"/>
      <c r="L18" s="348"/>
    </row>
    <row r="19" spans="1:15" s="230" customFormat="1" ht="18" customHeight="1" x14ac:dyDescent="0.25">
      <c r="A19" s="223">
        <f t="shared" si="0"/>
        <v>11</v>
      </c>
      <c r="B19" s="224"/>
      <c r="C19" s="46" t="s">
        <v>377</v>
      </c>
      <c r="D19" s="226" t="s">
        <v>19</v>
      </c>
      <c r="E19" s="231"/>
      <c r="F19" s="228"/>
      <c r="G19" s="229">
        <f t="shared" si="1"/>
        <v>16543</v>
      </c>
      <c r="H19" s="28" t="s">
        <v>91</v>
      </c>
      <c r="I19" s="7" t="s">
        <v>90</v>
      </c>
      <c r="J19" s="7"/>
      <c r="K19" s="348"/>
      <c r="L19" s="348"/>
    </row>
    <row r="20" spans="1:15" ht="18" customHeight="1" x14ac:dyDescent="0.25">
      <c r="A20" s="14">
        <f t="shared" si="0"/>
        <v>12</v>
      </c>
      <c r="B20" s="8"/>
      <c r="C20" s="46" t="s">
        <v>377</v>
      </c>
      <c r="D20" s="214" t="s">
        <v>19</v>
      </c>
      <c r="E20" s="32"/>
      <c r="F20" s="17"/>
      <c r="G20" s="18">
        <f t="shared" si="1"/>
        <v>16543</v>
      </c>
      <c r="H20" s="28" t="s">
        <v>91</v>
      </c>
      <c r="I20" s="7" t="s">
        <v>90</v>
      </c>
      <c r="J20" s="7"/>
      <c r="K20" s="7"/>
      <c r="L20" s="7"/>
      <c r="O20" s="26"/>
    </row>
    <row r="21" spans="1:15" ht="18" customHeight="1" x14ac:dyDescent="0.25">
      <c r="A21" s="14">
        <f t="shared" si="0"/>
        <v>13</v>
      </c>
      <c r="B21" s="8"/>
      <c r="C21" s="46" t="s">
        <v>377</v>
      </c>
      <c r="D21" s="214" t="s">
        <v>19</v>
      </c>
      <c r="E21" s="32"/>
      <c r="F21" s="27"/>
      <c r="G21" s="18">
        <f t="shared" si="1"/>
        <v>16543</v>
      </c>
      <c r="H21" s="28" t="s">
        <v>91</v>
      </c>
      <c r="I21" s="7" t="s">
        <v>90</v>
      </c>
      <c r="J21" s="7"/>
      <c r="K21" s="7"/>
      <c r="L21" s="7"/>
    </row>
    <row r="22" spans="1:15" ht="18" customHeight="1" x14ac:dyDescent="0.25">
      <c r="A22" s="14">
        <f t="shared" si="0"/>
        <v>14</v>
      </c>
      <c r="B22" s="232"/>
      <c r="C22" s="46" t="s">
        <v>377</v>
      </c>
      <c r="D22" s="234" t="s">
        <v>19</v>
      </c>
      <c r="E22" s="235"/>
      <c r="F22" s="172"/>
      <c r="G22" s="18">
        <f t="shared" si="1"/>
        <v>16543</v>
      </c>
      <c r="H22" s="28" t="s">
        <v>129</v>
      </c>
      <c r="I22" s="7" t="s">
        <v>90</v>
      </c>
      <c r="J22" s="7"/>
      <c r="K22" s="7"/>
      <c r="L22" s="7"/>
    </row>
    <row r="23" spans="1:15" ht="18" customHeight="1" x14ac:dyDescent="0.25">
      <c r="A23" s="14">
        <f t="shared" si="0"/>
        <v>15</v>
      </c>
      <c r="B23" s="8"/>
      <c r="C23" s="46" t="s">
        <v>377</v>
      </c>
      <c r="D23" s="214" t="s">
        <v>19</v>
      </c>
      <c r="E23" s="32"/>
      <c r="F23" s="17"/>
      <c r="G23" s="18">
        <f t="shared" si="1"/>
        <v>16543</v>
      </c>
      <c r="H23" s="28" t="s">
        <v>129</v>
      </c>
      <c r="I23" s="7" t="s">
        <v>142</v>
      </c>
      <c r="J23" s="7"/>
      <c r="K23" s="7"/>
      <c r="L23" s="7"/>
    </row>
    <row r="24" spans="1:15" ht="18" customHeight="1" x14ac:dyDescent="0.25">
      <c r="A24" s="14">
        <f t="shared" si="0"/>
        <v>16</v>
      </c>
      <c r="B24" s="8"/>
      <c r="C24" s="46" t="s">
        <v>377</v>
      </c>
      <c r="D24" s="214" t="s">
        <v>19</v>
      </c>
      <c r="E24" s="32"/>
      <c r="F24" s="17"/>
      <c r="G24" s="18">
        <f t="shared" si="1"/>
        <v>16543</v>
      </c>
      <c r="H24" s="28" t="s">
        <v>91</v>
      </c>
      <c r="I24" s="7" t="s">
        <v>90</v>
      </c>
      <c r="J24" s="7"/>
      <c r="K24" s="7"/>
      <c r="L24" s="7"/>
    </row>
    <row r="25" spans="1:15" ht="18" customHeight="1" x14ac:dyDescent="0.25">
      <c r="A25" s="14">
        <f t="shared" si="0"/>
        <v>17</v>
      </c>
      <c r="B25" s="8"/>
      <c r="C25" s="46" t="s">
        <v>377</v>
      </c>
      <c r="D25" s="214" t="s">
        <v>19</v>
      </c>
      <c r="E25" s="32"/>
      <c r="F25" s="17"/>
      <c r="G25" s="18">
        <f t="shared" si="1"/>
        <v>16543</v>
      </c>
      <c r="H25" s="28" t="s">
        <v>91</v>
      </c>
      <c r="I25" s="7" t="s">
        <v>90</v>
      </c>
      <c r="J25" s="7"/>
      <c r="K25" s="7"/>
      <c r="L25" s="7"/>
    </row>
    <row r="26" spans="1:15" ht="18" customHeight="1" x14ac:dyDescent="0.25">
      <c r="A26" s="14">
        <f t="shared" si="0"/>
        <v>18</v>
      </c>
      <c r="B26" s="8"/>
      <c r="C26" s="46" t="s">
        <v>377</v>
      </c>
      <c r="D26" s="214" t="s">
        <v>19</v>
      </c>
      <c r="E26" s="32"/>
      <c r="F26" s="17"/>
      <c r="G26" s="18">
        <f t="shared" si="1"/>
        <v>16543</v>
      </c>
      <c r="H26" s="28" t="s">
        <v>91</v>
      </c>
      <c r="I26" s="7" t="s">
        <v>90</v>
      </c>
      <c r="J26" s="7"/>
      <c r="K26" s="7"/>
      <c r="L26" s="7"/>
    </row>
    <row r="27" spans="1:15" ht="18" customHeight="1" x14ac:dyDescent="0.25">
      <c r="A27" s="14">
        <f>+A26+1</f>
        <v>19</v>
      </c>
      <c r="B27" s="8"/>
      <c r="C27" s="46" t="s">
        <v>377</v>
      </c>
      <c r="D27" s="214" t="s">
        <v>19</v>
      </c>
      <c r="E27" s="32"/>
      <c r="F27" s="17"/>
      <c r="G27" s="18">
        <f t="shared" si="1"/>
        <v>16543</v>
      </c>
      <c r="H27" s="28" t="s">
        <v>91</v>
      </c>
      <c r="I27" s="7" t="s">
        <v>90</v>
      </c>
      <c r="J27" s="7"/>
      <c r="K27" s="7"/>
      <c r="L27" s="7"/>
    </row>
    <row r="28" spans="1:15" ht="18" customHeight="1" x14ac:dyDescent="0.25">
      <c r="A28" s="14">
        <f t="shared" si="0"/>
        <v>20</v>
      </c>
      <c r="B28" s="8"/>
      <c r="C28" s="46" t="s">
        <v>377</v>
      </c>
      <c r="D28" s="214" t="s">
        <v>19</v>
      </c>
      <c r="E28" s="129"/>
      <c r="F28" s="17"/>
      <c r="G28" s="18">
        <f t="shared" si="1"/>
        <v>16543</v>
      </c>
      <c r="H28" s="28" t="s">
        <v>91</v>
      </c>
      <c r="I28" s="7" t="s">
        <v>90</v>
      </c>
      <c r="J28" s="7"/>
      <c r="K28" s="7"/>
      <c r="L28" s="7"/>
    </row>
    <row r="29" spans="1:15" ht="18" customHeight="1" x14ac:dyDescent="0.25">
      <c r="A29" s="14">
        <f t="shared" si="0"/>
        <v>21</v>
      </c>
      <c r="B29" s="8"/>
      <c r="C29" s="46" t="s">
        <v>377</v>
      </c>
      <c r="D29" s="214" t="s">
        <v>19</v>
      </c>
      <c r="E29" s="32"/>
      <c r="F29" s="172"/>
      <c r="G29" s="18">
        <f t="shared" si="1"/>
        <v>16543</v>
      </c>
      <c r="H29" s="28" t="s">
        <v>91</v>
      </c>
      <c r="I29" s="7" t="s">
        <v>90</v>
      </c>
      <c r="J29" s="7"/>
      <c r="K29" s="7"/>
      <c r="L29" s="7"/>
    </row>
    <row r="30" spans="1:15" ht="18" customHeight="1" x14ac:dyDescent="0.25">
      <c r="A30" s="14">
        <f t="shared" si="0"/>
        <v>22</v>
      </c>
      <c r="B30" s="8"/>
      <c r="C30" s="46" t="s">
        <v>377</v>
      </c>
      <c r="D30" s="214" t="s">
        <v>19</v>
      </c>
      <c r="E30" s="32"/>
      <c r="F30" s="17"/>
      <c r="G30" s="18">
        <f t="shared" si="1"/>
        <v>16543</v>
      </c>
      <c r="H30" s="28" t="s">
        <v>91</v>
      </c>
      <c r="I30" s="7" t="s">
        <v>90</v>
      </c>
      <c r="J30" s="7"/>
      <c r="K30" s="7"/>
      <c r="L30" s="7"/>
    </row>
    <row r="31" spans="1:15" ht="18" customHeight="1" x14ac:dyDescent="0.25">
      <c r="A31" s="14">
        <f t="shared" si="0"/>
        <v>23</v>
      </c>
      <c r="B31" s="8"/>
      <c r="C31" s="46" t="s">
        <v>377</v>
      </c>
      <c r="D31" s="214" t="s">
        <v>19</v>
      </c>
      <c r="E31" s="32"/>
      <c r="F31" s="17"/>
      <c r="G31" s="18">
        <f t="shared" si="1"/>
        <v>16543</v>
      </c>
      <c r="H31" s="28" t="s">
        <v>91</v>
      </c>
      <c r="I31" s="7" t="s">
        <v>90</v>
      </c>
      <c r="J31" s="7"/>
      <c r="K31" s="7"/>
      <c r="L31" s="7"/>
    </row>
    <row r="32" spans="1:15" ht="17.25" customHeight="1" x14ac:dyDescent="0.25">
      <c r="A32" s="14">
        <f t="shared" si="0"/>
        <v>24</v>
      </c>
      <c r="B32" s="8"/>
      <c r="C32" s="46" t="s">
        <v>377</v>
      </c>
      <c r="D32" s="214" t="s">
        <v>19</v>
      </c>
      <c r="E32" s="13"/>
      <c r="F32" s="17"/>
      <c r="G32" s="18">
        <f t="shared" si="1"/>
        <v>16543</v>
      </c>
      <c r="H32" s="28" t="s">
        <v>91</v>
      </c>
      <c r="I32" s="7" t="s">
        <v>90</v>
      </c>
      <c r="J32" s="7"/>
      <c r="K32" s="7"/>
      <c r="L32" s="7"/>
    </row>
    <row r="33" spans="1:17" ht="17.25" customHeight="1" x14ac:dyDescent="0.25">
      <c r="A33" s="14">
        <f t="shared" si="0"/>
        <v>25</v>
      </c>
      <c r="B33" s="44"/>
      <c r="C33" s="46" t="s">
        <v>377</v>
      </c>
      <c r="D33" s="214" t="s">
        <v>19</v>
      </c>
      <c r="E33" s="13"/>
      <c r="F33" s="17"/>
      <c r="G33" s="18">
        <f t="shared" si="1"/>
        <v>16543</v>
      </c>
      <c r="H33" s="178"/>
      <c r="I33" s="7"/>
      <c r="J33" s="7"/>
      <c r="K33" s="7"/>
      <c r="L33" s="7"/>
    </row>
    <row r="34" spans="1:17" ht="18" customHeight="1" x14ac:dyDescent="0.25">
      <c r="A34" s="14">
        <f t="shared" si="0"/>
        <v>26</v>
      </c>
      <c r="B34" s="8"/>
      <c r="C34" s="46" t="s">
        <v>377</v>
      </c>
      <c r="D34" s="214" t="s">
        <v>19</v>
      </c>
      <c r="E34" s="32"/>
      <c r="F34" s="40"/>
      <c r="G34" s="18">
        <f t="shared" si="1"/>
        <v>16543</v>
      </c>
      <c r="H34" s="178"/>
      <c r="I34" s="7"/>
      <c r="J34" s="7"/>
      <c r="K34" s="7"/>
      <c r="L34" s="7"/>
    </row>
    <row r="35" spans="1:17" ht="18" customHeight="1" x14ac:dyDescent="0.25">
      <c r="A35" s="14">
        <f t="shared" si="0"/>
        <v>27</v>
      </c>
      <c r="B35" s="45"/>
      <c r="C35" s="46" t="s">
        <v>377</v>
      </c>
      <c r="D35" s="214" t="s">
        <v>19</v>
      </c>
      <c r="E35" s="32"/>
      <c r="F35" s="40"/>
      <c r="G35" s="18">
        <f t="shared" si="1"/>
        <v>16543</v>
      </c>
      <c r="H35" s="178"/>
      <c r="I35" s="7"/>
      <c r="J35" s="7"/>
      <c r="K35" s="7"/>
      <c r="L35" s="7"/>
    </row>
    <row r="36" spans="1:17" ht="18" customHeight="1" x14ac:dyDescent="0.25">
      <c r="A36" s="14">
        <f t="shared" si="0"/>
        <v>28</v>
      </c>
      <c r="B36" s="8"/>
      <c r="C36" s="46" t="s">
        <v>377</v>
      </c>
      <c r="D36" s="214" t="s">
        <v>19</v>
      </c>
      <c r="E36" s="32"/>
      <c r="F36" s="40"/>
      <c r="G36" s="18">
        <f t="shared" si="1"/>
        <v>16543</v>
      </c>
      <c r="H36" s="178"/>
      <c r="I36" s="7"/>
      <c r="J36" s="7"/>
      <c r="K36" s="7"/>
      <c r="L36" s="7"/>
    </row>
    <row r="37" spans="1:17" ht="18" customHeight="1" x14ac:dyDescent="0.25">
      <c r="A37" s="14">
        <f t="shared" si="0"/>
        <v>29</v>
      </c>
      <c r="B37" s="8"/>
      <c r="C37" s="46" t="s">
        <v>377</v>
      </c>
      <c r="D37" s="214" t="s">
        <v>19</v>
      </c>
      <c r="E37" s="32"/>
      <c r="F37" s="17"/>
      <c r="G37" s="18">
        <f t="shared" si="1"/>
        <v>16543</v>
      </c>
      <c r="H37" s="178"/>
      <c r="I37" s="7"/>
      <c r="J37" s="7"/>
      <c r="K37" s="7"/>
      <c r="L37" s="7"/>
    </row>
    <row r="38" spans="1:17" ht="18" customHeight="1" x14ac:dyDescent="0.25">
      <c r="A38" s="14">
        <f t="shared" si="0"/>
        <v>30</v>
      </c>
      <c r="B38" s="8"/>
      <c r="C38" s="46" t="s">
        <v>377</v>
      </c>
      <c r="D38" s="214" t="s">
        <v>19</v>
      </c>
      <c r="E38" s="32"/>
      <c r="F38" s="17"/>
      <c r="G38" s="18">
        <f t="shared" si="1"/>
        <v>16543</v>
      </c>
      <c r="H38" s="178"/>
      <c r="I38" s="7"/>
      <c r="J38" s="7"/>
      <c r="K38" s="7"/>
      <c r="L38" s="7"/>
    </row>
    <row r="39" spans="1:17" ht="18" customHeight="1" x14ac:dyDescent="0.25">
      <c r="A39" s="14">
        <f t="shared" si="0"/>
        <v>31</v>
      </c>
      <c r="B39" s="8"/>
      <c r="C39" s="46" t="s">
        <v>377</v>
      </c>
      <c r="D39" s="214" t="s">
        <v>19</v>
      </c>
      <c r="E39" s="32"/>
      <c r="F39" s="17"/>
      <c r="G39" s="18">
        <f t="shared" si="1"/>
        <v>16543</v>
      </c>
      <c r="H39" s="178"/>
      <c r="I39" s="7"/>
      <c r="J39" s="7"/>
      <c r="K39" s="7"/>
      <c r="L39" s="7"/>
    </row>
    <row r="40" spans="1:17" ht="18" customHeight="1" x14ac:dyDescent="0.25">
      <c r="A40" s="14">
        <f t="shared" si="0"/>
        <v>32</v>
      </c>
      <c r="B40" s="8"/>
      <c r="C40" s="46" t="s">
        <v>377</v>
      </c>
      <c r="D40" s="214" t="s">
        <v>19</v>
      </c>
      <c r="E40" s="32"/>
      <c r="F40" s="17"/>
      <c r="G40" s="18">
        <f t="shared" si="1"/>
        <v>16543</v>
      </c>
      <c r="H40" s="178"/>
      <c r="I40" s="7"/>
      <c r="J40" s="7"/>
      <c r="K40" s="7"/>
      <c r="L40" s="7"/>
    </row>
    <row r="41" spans="1:17" ht="18" customHeight="1" x14ac:dyDescent="0.25">
      <c r="A41" s="14">
        <f t="shared" si="0"/>
        <v>33</v>
      </c>
      <c r="B41" s="8"/>
      <c r="C41" s="46" t="s">
        <v>377</v>
      </c>
      <c r="D41" s="214" t="s">
        <v>19</v>
      </c>
      <c r="E41" s="32"/>
      <c r="F41" s="172"/>
      <c r="G41" s="18">
        <f t="shared" si="1"/>
        <v>16543</v>
      </c>
      <c r="H41" s="178"/>
      <c r="I41" s="7"/>
      <c r="J41" s="7"/>
      <c r="K41" s="7"/>
      <c r="L41" s="7"/>
      <c r="Q41" s="162"/>
    </row>
    <row r="42" spans="1:17" ht="18" customHeight="1" x14ac:dyDescent="0.25">
      <c r="A42" s="14">
        <f t="shared" si="0"/>
        <v>34</v>
      </c>
      <c r="B42" s="8"/>
      <c r="C42" s="46" t="s">
        <v>377</v>
      </c>
      <c r="D42" s="214" t="s">
        <v>19</v>
      </c>
      <c r="E42" s="32"/>
      <c r="F42" s="17"/>
      <c r="G42" s="18">
        <f t="shared" si="1"/>
        <v>16543</v>
      </c>
      <c r="H42" s="178"/>
      <c r="I42" s="7"/>
      <c r="J42" s="7"/>
      <c r="K42" s="7"/>
      <c r="L42" s="7"/>
    </row>
    <row r="43" spans="1:17" ht="18" customHeight="1" x14ac:dyDescent="0.25">
      <c r="A43" s="14">
        <f t="shared" si="0"/>
        <v>35</v>
      </c>
      <c r="B43" s="8"/>
      <c r="C43" s="46" t="s">
        <v>377</v>
      </c>
      <c r="D43" s="214" t="s">
        <v>19</v>
      </c>
      <c r="E43" s="32"/>
      <c r="F43" s="17"/>
      <c r="G43" s="18">
        <f t="shared" si="1"/>
        <v>16543</v>
      </c>
      <c r="H43" s="178"/>
      <c r="I43" s="7"/>
      <c r="J43" s="7"/>
      <c r="K43" s="7"/>
      <c r="L43" s="7"/>
    </row>
    <row r="44" spans="1:17" ht="18" customHeight="1" x14ac:dyDescent="0.25">
      <c r="A44" s="14">
        <f t="shared" si="0"/>
        <v>36</v>
      </c>
      <c r="B44" s="8"/>
      <c r="C44" s="46" t="s">
        <v>377</v>
      </c>
      <c r="D44" s="214" t="s">
        <v>19</v>
      </c>
      <c r="E44" s="32"/>
      <c r="F44" s="17"/>
      <c r="G44" s="18">
        <f t="shared" si="1"/>
        <v>16543</v>
      </c>
      <c r="H44" s="178"/>
      <c r="I44" s="7"/>
      <c r="J44" s="7"/>
      <c r="K44" s="7"/>
      <c r="L44" s="7"/>
    </row>
    <row r="45" spans="1:17" ht="18" customHeight="1" x14ac:dyDescent="0.25">
      <c r="A45" s="14">
        <f t="shared" si="0"/>
        <v>37</v>
      </c>
      <c r="B45" s="8"/>
      <c r="C45" s="46" t="s">
        <v>377</v>
      </c>
      <c r="D45" s="214" t="s">
        <v>19</v>
      </c>
      <c r="E45" s="32"/>
      <c r="F45" s="17"/>
      <c r="G45" s="18">
        <f t="shared" si="1"/>
        <v>16543</v>
      </c>
      <c r="H45" s="178"/>
      <c r="I45" s="29"/>
      <c r="J45" s="29"/>
      <c r="K45" s="7"/>
      <c r="L45" s="7"/>
    </row>
    <row r="46" spans="1:17" ht="18" customHeight="1" x14ac:dyDescent="0.25">
      <c r="A46" s="14">
        <f t="shared" si="0"/>
        <v>38</v>
      </c>
      <c r="B46" s="8"/>
      <c r="C46" s="46" t="s">
        <v>377</v>
      </c>
      <c r="D46" s="214" t="s">
        <v>19</v>
      </c>
      <c r="E46" s="32"/>
      <c r="F46" s="17"/>
      <c r="G46" s="18">
        <f t="shared" si="1"/>
        <v>16543</v>
      </c>
      <c r="H46" s="178"/>
      <c r="I46" s="29"/>
      <c r="J46" s="29"/>
      <c r="K46" s="7"/>
      <c r="L46" s="7"/>
    </row>
    <row r="47" spans="1:17" ht="18" customHeight="1" x14ac:dyDescent="0.25">
      <c r="A47" s="14">
        <f t="shared" si="0"/>
        <v>39</v>
      </c>
      <c r="B47" s="8"/>
      <c r="C47" s="46" t="s">
        <v>377</v>
      </c>
      <c r="D47" s="214" t="s">
        <v>19</v>
      </c>
      <c r="E47" s="32"/>
      <c r="F47" s="17"/>
      <c r="G47" s="18">
        <f t="shared" si="1"/>
        <v>16543</v>
      </c>
      <c r="H47" s="178"/>
      <c r="I47" s="29"/>
      <c r="J47" s="29"/>
      <c r="K47" s="7"/>
      <c r="L47" s="7"/>
    </row>
    <row r="48" spans="1:17" ht="18" customHeight="1" x14ac:dyDescent="0.25">
      <c r="A48" s="14">
        <f t="shared" si="0"/>
        <v>40</v>
      </c>
      <c r="B48" s="8"/>
      <c r="C48" s="46" t="s">
        <v>377</v>
      </c>
      <c r="D48" s="214" t="s">
        <v>19</v>
      </c>
      <c r="E48" s="32"/>
      <c r="F48" s="17"/>
      <c r="G48" s="18">
        <f t="shared" si="1"/>
        <v>16543</v>
      </c>
      <c r="H48" s="178"/>
      <c r="I48" s="29"/>
      <c r="J48" s="29"/>
      <c r="K48" s="7"/>
      <c r="L48" s="7"/>
    </row>
    <row r="49" spans="1:17" ht="18" customHeight="1" x14ac:dyDescent="0.25">
      <c r="A49" s="14">
        <f t="shared" si="0"/>
        <v>41</v>
      </c>
      <c r="B49" s="8"/>
      <c r="C49" s="46" t="s">
        <v>377</v>
      </c>
      <c r="D49" s="214" t="s">
        <v>19</v>
      </c>
      <c r="E49" s="32"/>
      <c r="F49" s="17"/>
      <c r="G49" s="18">
        <f t="shared" si="1"/>
        <v>16543</v>
      </c>
      <c r="H49" s="178"/>
      <c r="I49" s="7"/>
      <c r="J49" s="7"/>
      <c r="K49" s="7"/>
      <c r="L49" s="7"/>
    </row>
    <row r="50" spans="1:17" s="162" customFormat="1" ht="18" customHeight="1" x14ac:dyDescent="0.25">
      <c r="A50" s="158">
        <f t="shared" si="0"/>
        <v>42</v>
      </c>
      <c r="B50" s="174"/>
      <c r="C50" s="46" t="s">
        <v>377</v>
      </c>
      <c r="D50" s="237" t="s">
        <v>19</v>
      </c>
      <c r="E50" s="175"/>
      <c r="F50" s="172"/>
      <c r="G50" s="238">
        <f t="shared" si="1"/>
        <v>16543</v>
      </c>
      <c r="H50" s="178"/>
      <c r="I50" s="7"/>
      <c r="J50" s="7"/>
      <c r="K50" s="271"/>
      <c r="L50" s="271"/>
      <c r="Q50"/>
    </row>
    <row r="51" spans="1:17" ht="18" customHeight="1" x14ac:dyDescent="0.25">
      <c r="A51" s="14">
        <f t="shared" si="0"/>
        <v>43</v>
      </c>
      <c r="B51" s="8"/>
      <c r="C51" s="46" t="s">
        <v>377</v>
      </c>
      <c r="D51" s="214" t="s">
        <v>19</v>
      </c>
      <c r="E51" s="32"/>
      <c r="F51" s="17"/>
      <c r="G51" s="18">
        <f t="shared" si="1"/>
        <v>16543</v>
      </c>
      <c r="H51" s="239"/>
      <c r="I51" s="7"/>
      <c r="J51" s="7"/>
      <c r="K51" s="7"/>
      <c r="L51" s="7"/>
    </row>
    <row r="52" spans="1:17" ht="18" customHeight="1" x14ac:dyDescent="0.25">
      <c r="A52" s="14">
        <f t="shared" si="0"/>
        <v>44</v>
      </c>
      <c r="B52" s="8"/>
      <c r="C52" s="46" t="s">
        <v>377</v>
      </c>
      <c r="D52" s="214" t="s">
        <v>19</v>
      </c>
      <c r="E52" s="32"/>
      <c r="F52" s="17"/>
      <c r="G52" s="18">
        <f t="shared" si="1"/>
        <v>16543</v>
      </c>
      <c r="H52" s="239"/>
      <c r="I52" s="7"/>
      <c r="J52" s="7"/>
      <c r="K52" s="7"/>
      <c r="L52" s="7"/>
    </row>
    <row r="53" spans="1:17" ht="18" customHeight="1" x14ac:dyDescent="0.25">
      <c r="A53" s="14">
        <f t="shared" si="0"/>
        <v>45</v>
      </c>
      <c r="B53" s="8"/>
      <c r="C53" s="46" t="s">
        <v>377</v>
      </c>
      <c r="D53" s="214" t="s">
        <v>19</v>
      </c>
      <c r="E53" s="32"/>
      <c r="F53" s="17"/>
      <c r="G53" s="18">
        <f t="shared" si="1"/>
        <v>16543</v>
      </c>
      <c r="H53" s="239"/>
      <c r="I53" s="7"/>
      <c r="J53" s="7"/>
      <c r="K53" s="7"/>
      <c r="L53" s="7"/>
    </row>
    <row r="54" spans="1:17" ht="18" customHeight="1" x14ac:dyDescent="0.25">
      <c r="A54" s="14">
        <f t="shared" si="0"/>
        <v>46</v>
      </c>
      <c r="B54" s="8"/>
      <c r="C54" s="46" t="s">
        <v>377</v>
      </c>
      <c r="D54" s="214" t="s">
        <v>19</v>
      </c>
      <c r="E54" s="32"/>
      <c r="F54" s="17"/>
      <c r="G54" s="18">
        <f t="shared" si="1"/>
        <v>16543</v>
      </c>
      <c r="H54" s="28"/>
      <c r="I54" s="7"/>
      <c r="J54" s="7"/>
      <c r="K54" s="7"/>
      <c r="L54" s="7"/>
    </row>
    <row r="55" spans="1:17" ht="18" customHeight="1" x14ac:dyDescent="0.25">
      <c r="A55" s="14">
        <f t="shared" si="0"/>
        <v>47</v>
      </c>
      <c r="B55" s="8"/>
      <c r="C55" s="46" t="s">
        <v>377</v>
      </c>
      <c r="D55" s="214" t="s">
        <v>19</v>
      </c>
      <c r="E55" s="32"/>
      <c r="F55" s="17"/>
      <c r="G55" s="18">
        <f t="shared" si="1"/>
        <v>16543</v>
      </c>
      <c r="H55" s="240"/>
      <c r="I55" s="7"/>
      <c r="J55" s="7"/>
      <c r="K55" s="7"/>
      <c r="L55" s="7"/>
    </row>
    <row r="56" spans="1:17" ht="18" customHeight="1" x14ac:dyDescent="0.25">
      <c r="A56" s="14">
        <f t="shared" si="0"/>
        <v>48</v>
      </c>
      <c r="B56" s="8"/>
      <c r="C56" s="46" t="s">
        <v>377</v>
      </c>
      <c r="D56" s="214" t="s">
        <v>19</v>
      </c>
      <c r="E56" s="32"/>
      <c r="F56" s="17"/>
      <c r="G56" s="18">
        <f t="shared" si="1"/>
        <v>16543</v>
      </c>
      <c r="H56" s="240"/>
      <c r="I56" s="7"/>
      <c r="J56" s="7"/>
      <c r="K56" s="7"/>
      <c r="L56" s="7"/>
    </row>
    <row r="57" spans="1:17" ht="18" customHeight="1" x14ac:dyDescent="0.25">
      <c r="A57" s="14">
        <f t="shared" si="0"/>
        <v>49</v>
      </c>
      <c r="B57" s="8"/>
      <c r="C57" s="46" t="s">
        <v>377</v>
      </c>
      <c r="D57" s="214" t="s">
        <v>19</v>
      </c>
      <c r="E57" s="32"/>
      <c r="F57" s="17"/>
      <c r="G57" s="18">
        <f t="shared" si="1"/>
        <v>16543</v>
      </c>
      <c r="H57" s="240"/>
      <c r="I57" s="7" t="s">
        <v>14</v>
      </c>
      <c r="J57" s="7"/>
      <c r="K57" s="7"/>
      <c r="L57" s="7"/>
    </row>
    <row r="58" spans="1:17" ht="18" customHeight="1" x14ac:dyDescent="0.25">
      <c r="A58" s="14">
        <f t="shared" si="0"/>
        <v>50</v>
      </c>
      <c r="B58" s="8"/>
      <c r="C58" s="46" t="s">
        <v>377</v>
      </c>
      <c r="D58" s="214" t="s">
        <v>19</v>
      </c>
      <c r="E58" s="32"/>
      <c r="F58" s="17"/>
      <c r="G58" s="18">
        <f t="shared" si="1"/>
        <v>16543</v>
      </c>
      <c r="H58" s="240"/>
      <c r="I58" s="7" t="s">
        <v>14</v>
      </c>
      <c r="J58" s="7"/>
      <c r="K58" s="7"/>
      <c r="L58" s="7"/>
    </row>
    <row r="59" spans="1:17" ht="18" customHeight="1" x14ac:dyDescent="0.25">
      <c r="A59" s="14">
        <f t="shared" si="0"/>
        <v>51</v>
      </c>
      <c r="B59" s="8"/>
      <c r="C59" s="46" t="s">
        <v>377</v>
      </c>
      <c r="D59" s="214" t="s">
        <v>19</v>
      </c>
      <c r="E59" s="32"/>
      <c r="F59" s="17"/>
      <c r="G59" s="18">
        <f t="shared" si="1"/>
        <v>16543</v>
      </c>
      <c r="H59" s="240"/>
      <c r="I59" s="7" t="s">
        <v>14</v>
      </c>
      <c r="J59" s="7"/>
      <c r="K59" s="7"/>
      <c r="L59" s="7"/>
    </row>
    <row r="60" spans="1:17" ht="18" customHeight="1" x14ac:dyDescent="0.25">
      <c r="A60" s="14">
        <f t="shared" si="0"/>
        <v>52</v>
      </c>
      <c r="B60" s="8"/>
      <c r="C60" s="46" t="s">
        <v>377</v>
      </c>
      <c r="D60" s="214" t="s">
        <v>19</v>
      </c>
      <c r="E60" s="32"/>
      <c r="F60" s="17"/>
      <c r="G60" s="18">
        <f t="shared" si="1"/>
        <v>16543</v>
      </c>
      <c r="H60" s="240"/>
      <c r="I60" s="7" t="s">
        <v>14</v>
      </c>
      <c r="J60" s="7"/>
      <c r="K60" s="7"/>
      <c r="L60" s="7"/>
    </row>
    <row r="61" spans="1:17" ht="18" customHeight="1" x14ac:dyDescent="0.25">
      <c r="A61" s="14">
        <f t="shared" si="0"/>
        <v>53</v>
      </c>
      <c r="B61" s="8"/>
      <c r="C61" s="46" t="s">
        <v>377</v>
      </c>
      <c r="D61" s="214" t="s">
        <v>19</v>
      </c>
      <c r="E61" s="32"/>
      <c r="F61" s="17"/>
      <c r="G61" s="18">
        <f t="shared" si="1"/>
        <v>16543</v>
      </c>
      <c r="H61" s="240"/>
      <c r="I61" s="7" t="s">
        <v>14</v>
      </c>
      <c r="J61" s="7"/>
      <c r="K61" s="7"/>
      <c r="L61" s="7"/>
    </row>
    <row r="62" spans="1:17" ht="18" customHeight="1" x14ac:dyDescent="0.25">
      <c r="A62" s="14">
        <f t="shared" si="0"/>
        <v>54</v>
      </c>
      <c r="B62" s="8"/>
      <c r="C62" s="46" t="s">
        <v>377</v>
      </c>
      <c r="D62" s="214" t="s">
        <v>19</v>
      </c>
      <c r="E62" s="32"/>
      <c r="F62" s="17"/>
      <c r="G62" s="18">
        <f t="shared" si="1"/>
        <v>16543</v>
      </c>
      <c r="H62" s="240"/>
      <c r="I62" s="7" t="s">
        <v>14</v>
      </c>
      <c r="J62" s="7"/>
      <c r="K62" s="7"/>
      <c r="L62" s="7"/>
    </row>
    <row r="63" spans="1:17" ht="18" customHeight="1" x14ac:dyDescent="0.25">
      <c r="A63" s="14">
        <f t="shared" si="0"/>
        <v>55</v>
      </c>
      <c r="B63" s="8"/>
      <c r="C63" s="46" t="s">
        <v>377</v>
      </c>
      <c r="D63" s="214" t="s">
        <v>19</v>
      </c>
      <c r="E63" s="32"/>
      <c r="F63" s="17"/>
      <c r="G63" s="18">
        <f t="shared" si="1"/>
        <v>16543</v>
      </c>
      <c r="H63" s="240"/>
      <c r="I63" s="7" t="s">
        <v>14</v>
      </c>
      <c r="J63" s="7"/>
      <c r="K63" s="7"/>
      <c r="L63" s="7"/>
    </row>
    <row r="64" spans="1:17" ht="18" customHeight="1" x14ac:dyDescent="0.25">
      <c r="A64" s="14">
        <f t="shared" si="0"/>
        <v>56</v>
      </c>
      <c r="B64" s="8"/>
      <c r="C64" s="46" t="s">
        <v>377</v>
      </c>
      <c r="D64" s="214" t="s">
        <v>19</v>
      </c>
      <c r="E64" s="32"/>
      <c r="F64" s="17"/>
      <c r="G64" s="18">
        <f t="shared" si="1"/>
        <v>16543</v>
      </c>
      <c r="H64" s="240"/>
      <c r="I64" s="7" t="s">
        <v>14</v>
      </c>
      <c r="J64" s="7"/>
      <c r="K64" s="7"/>
      <c r="L64" s="7"/>
    </row>
    <row r="65" spans="1:12" ht="18" customHeight="1" x14ac:dyDescent="0.25">
      <c r="A65" s="14">
        <f t="shared" si="0"/>
        <v>57</v>
      </c>
      <c r="B65" s="8"/>
      <c r="C65" s="46" t="s">
        <v>377</v>
      </c>
      <c r="D65" s="214" t="s">
        <v>19</v>
      </c>
      <c r="E65" s="32"/>
      <c r="F65" s="17"/>
      <c r="G65" s="18">
        <f t="shared" si="1"/>
        <v>16543</v>
      </c>
      <c r="H65" s="240"/>
      <c r="I65" s="7" t="s">
        <v>14</v>
      </c>
      <c r="J65" s="7"/>
      <c r="K65" s="140"/>
      <c r="L65" s="7"/>
    </row>
    <row r="66" spans="1:12" ht="18" customHeight="1" x14ac:dyDescent="0.25">
      <c r="A66" s="14">
        <f t="shared" si="0"/>
        <v>58</v>
      </c>
      <c r="B66" s="8"/>
      <c r="C66" s="46" t="s">
        <v>377</v>
      </c>
      <c r="D66" s="214" t="s">
        <v>19</v>
      </c>
      <c r="E66" s="32"/>
      <c r="F66" s="17"/>
      <c r="G66" s="18">
        <f t="shared" si="1"/>
        <v>16543</v>
      </c>
      <c r="H66" s="240"/>
      <c r="I66" s="7" t="s">
        <v>14</v>
      </c>
      <c r="J66" s="7"/>
      <c r="K66" s="7"/>
      <c r="L66" s="7"/>
    </row>
    <row r="67" spans="1:12" ht="18" customHeight="1" x14ac:dyDescent="0.25">
      <c r="A67" s="14">
        <f t="shared" si="0"/>
        <v>59</v>
      </c>
      <c r="B67" s="8"/>
      <c r="C67" s="46" t="s">
        <v>377</v>
      </c>
      <c r="D67" s="214" t="s">
        <v>19</v>
      </c>
      <c r="E67" s="32"/>
      <c r="F67" s="17"/>
      <c r="G67" s="18">
        <f>+G66+E67-F67</f>
        <v>16543</v>
      </c>
      <c r="H67" s="240"/>
      <c r="I67" s="7" t="s">
        <v>14</v>
      </c>
      <c r="J67" s="7"/>
      <c r="K67" s="7"/>
      <c r="L67" s="7"/>
    </row>
    <row r="68" spans="1:12" ht="18" customHeight="1" x14ac:dyDescent="0.25">
      <c r="A68" s="14">
        <f t="shared" si="0"/>
        <v>60</v>
      </c>
      <c r="B68" s="8"/>
      <c r="C68" s="46" t="s">
        <v>377</v>
      </c>
      <c r="D68" s="214" t="s">
        <v>19</v>
      </c>
      <c r="E68" s="32"/>
      <c r="F68" s="17"/>
      <c r="G68" s="18">
        <f>+G67+E68-F68</f>
        <v>16543</v>
      </c>
      <c r="H68" s="240"/>
      <c r="I68" s="7" t="s">
        <v>14</v>
      </c>
      <c r="J68" s="7"/>
      <c r="K68" s="7"/>
      <c r="L68" s="7"/>
    </row>
    <row r="69" spans="1:12" ht="18" customHeight="1" x14ac:dyDescent="0.25">
      <c r="A69" s="14">
        <f t="shared" si="0"/>
        <v>61</v>
      </c>
      <c r="B69" s="8"/>
      <c r="C69" s="46" t="s">
        <v>377</v>
      </c>
      <c r="D69" s="214" t="s">
        <v>19</v>
      </c>
      <c r="E69" s="32"/>
      <c r="F69" s="17"/>
      <c r="G69" s="18">
        <f>+G68+E69-F69</f>
        <v>16543</v>
      </c>
      <c r="H69" s="240"/>
      <c r="I69" s="7" t="s">
        <v>14</v>
      </c>
      <c r="J69" s="7"/>
      <c r="K69" s="7"/>
      <c r="L69" s="7"/>
    </row>
    <row r="70" spans="1:12" ht="18" customHeight="1" x14ac:dyDescent="0.25">
      <c r="A70" s="14">
        <f t="shared" si="0"/>
        <v>62</v>
      </c>
      <c r="B70" s="8"/>
      <c r="C70" s="46" t="s">
        <v>377</v>
      </c>
      <c r="D70" s="214" t="s">
        <v>19</v>
      </c>
      <c r="E70" s="32"/>
      <c r="F70" s="17"/>
      <c r="G70" s="18">
        <f t="shared" si="1"/>
        <v>16543</v>
      </c>
      <c r="H70" s="240"/>
      <c r="I70" s="7" t="s">
        <v>14</v>
      </c>
      <c r="J70" s="7"/>
      <c r="K70" s="7"/>
      <c r="L70" s="7"/>
    </row>
    <row r="71" spans="1:12" ht="18" customHeight="1" x14ac:dyDescent="0.25">
      <c r="A71" s="14">
        <f t="shared" si="0"/>
        <v>63</v>
      </c>
      <c r="B71" s="8"/>
      <c r="C71" s="46" t="s">
        <v>377</v>
      </c>
      <c r="D71" s="214" t="s">
        <v>19</v>
      </c>
      <c r="E71" s="32"/>
      <c r="F71" s="17"/>
      <c r="G71" s="18">
        <f t="shared" si="1"/>
        <v>16543</v>
      </c>
      <c r="H71" s="240"/>
      <c r="I71" s="7" t="s">
        <v>14</v>
      </c>
      <c r="J71" s="7"/>
      <c r="K71" s="7"/>
      <c r="L71" s="7"/>
    </row>
    <row r="72" spans="1:12" ht="18" customHeight="1" x14ac:dyDescent="0.25">
      <c r="A72" s="14">
        <f>+A71+1</f>
        <v>64</v>
      </c>
      <c r="B72" s="8"/>
      <c r="C72" s="46" t="s">
        <v>377</v>
      </c>
      <c r="D72" s="214" t="s">
        <v>19</v>
      </c>
      <c r="E72" s="32"/>
      <c r="F72" s="17"/>
      <c r="G72" s="18">
        <f t="shared" si="1"/>
        <v>16543</v>
      </c>
      <c r="H72" s="240"/>
      <c r="I72" s="7" t="s">
        <v>14</v>
      </c>
      <c r="J72" s="7"/>
      <c r="K72" s="7"/>
      <c r="L72" s="7"/>
    </row>
    <row r="73" spans="1:12" ht="18" customHeight="1" x14ac:dyDescent="0.25">
      <c r="A73" s="14">
        <f t="shared" si="0"/>
        <v>65</v>
      </c>
      <c r="B73" s="8"/>
      <c r="C73" s="46" t="s">
        <v>377</v>
      </c>
      <c r="D73" s="214" t="s">
        <v>19</v>
      </c>
      <c r="E73" s="32"/>
      <c r="F73" s="17"/>
      <c r="G73" s="18">
        <f t="shared" si="1"/>
        <v>16543</v>
      </c>
      <c r="H73" s="240"/>
      <c r="I73" s="7" t="s">
        <v>14</v>
      </c>
      <c r="J73" s="7"/>
      <c r="K73" s="7"/>
      <c r="L73" s="7"/>
    </row>
    <row r="74" spans="1:12" ht="18" customHeight="1" x14ac:dyDescent="0.25">
      <c r="A74" s="14">
        <f t="shared" ref="A74:A107" si="2">+A73+1</f>
        <v>66</v>
      </c>
      <c r="B74" s="8"/>
      <c r="C74" s="46" t="s">
        <v>377</v>
      </c>
      <c r="D74" s="214" t="s">
        <v>19</v>
      </c>
      <c r="E74" s="32"/>
      <c r="F74" s="17"/>
      <c r="G74" s="18">
        <f t="shared" ref="G74:G91" si="3">+G73+E74-F74</f>
        <v>16543</v>
      </c>
      <c r="H74" s="240"/>
      <c r="I74" s="7" t="s">
        <v>14</v>
      </c>
      <c r="J74" s="7"/>
      <c r="K74" s="7"/>
      <c r="L74" s="7"/>
    </row>
    <row r="75" spans="1:12" ht="18" customHeight="1" x14ac:dyDescent="0.25">
      <c r="A75" s="14">
        <f t="shared" si="2"/>
        <v>67</v>
      </c>
      <c r="B75" s="8"/>
      <c r="C75" s="46" t="s">
        <v>377</v>
      </c>
      <c r="D75" s="214" t="s">
        <v>19</v>
      </c>
      <c r="E75" s="32"/>
      <c r="F75" s="17"/>
      <c r="G75" s="18">
        <f t="shared" si="3"/>
        <v>16543</v>
      </c>
      <c r="H75" s="240"/>
      <c r="I75" s="7" t="s">
        <v>14</v>
      </c>
      <c r="J75" s="7"/>
      <c r="K75" s="7"/>
      <c r="L75" s="7"/>
    </row>
    <row r="76" spans="1:12" ht="18" customHeight="1" x14ac:dyDescent="0.25">
      <c r="A76" s="14">
        <f t="shared" si="2"/>
        <v>68</v>
      </c>
      <c r="B76" s="8"/>
      <c r="C76" s="46" t="s">
        <v>377</v>
      </c>
      <c r="D76" s="214" t="s">
        <v>19</v>
      </c>
      <c r="E76" s="32"/>
      <c r="F76" s="17"/>
      <c r="G76" s="18">
        <f t="shared" si="3"/>
        <v>16543</v>
      </c>
      <c r="H76" s="240"/>
      <c r="I76" s="7" t="s">
        <v>14</v>
      </c>
      <c r="J76" s="7"/>
      <c r="K76" s="7"/>
      <c r="L76" s="7"/>
    </row>
    <row r="77" spans="1:12" ht="18" customHeight="1" x14ac:dyDescent="0.25">
      <c r="A77" s="14">
        <f t="shared" si="2"/>
        <v>69</v>
      </c>
      <c r="B77" s="8"/>
      <c r="C77" s="46" t="s">
        <v>377</v>
      </c>
      <c r="D77" s="214" t="s">
        <v>19</v>
      </c>
      <c r="E77" s="32"/>
      <c r="F77" s="17"/>
      <c r="G77" s="18">
        <f t="shared" si="3"/>
        <v>16543</v>
      </c>
      <c r="H77" s="240"/>
      <c r="I77" s="7" t="s">
        <v>14</v>
      </c>
      <c r="J77" s="7"/>
      <c r="K77" s="7"/>
      <c r="L77" s="7"/>
    </row>
    <row r="78" spans="1:12" ht="18" customHeight="1" x14ac:dyDescent="0.25">
      <c r="A78" s="14">
        <f t="shared" si="2"/>
        <v>70</v>
      </c>
      <c r="B78" s="8"/>
      <c r="C78" s="46" t="s">
        <v>377</v>
      </c>
      <c r="D78" s="214" t="s">
        <v>19</v>
      </c>
      <c r="E78" s="32"/>
      <c r="F78" s="17"/>
      <c r="G78" s="18">
        <f t="shared" si="3"/>
        <v>16543</v>
      </c>
      <c r="H78" s="240"/>
      <c r="I78" s="7" t="s">
        <v>14</v>
      </c>
      <c r="J78" s="7"/>
      <c r="K78" s="7"/>
      <c r="L78" s="7"/>
    </row>
    <row r="79" spans="1:12" ht="18" customHeight="1" x14ac:dyDescent="0.25">
      <c r="A79" s="14">
        <f t="shared" si="2"/>
        <v>71</v>
      </c>
      <c r="B79" s="8"/>
      <c r="C79" s="46" t="s">
        <v>377</v>
      </c>
      <c r="D79" s="214" t="s">
        <v>19</v>
      </c>
      <c r="E79" s="32"/>
      <c r="F79" s="17"/>
      <c r="G79" s="18">
        <f t="shared" si="3"/>
        <v>16543</v>
      </c>
      <c r="H79" s="240"/>
      <c r="I79" s="7" t="s">
        <v>14</v>
      </c>
      <c r="J79" s="7"/>
      <c r="K79" s="7"/>
      <c r="L79" s="7"/>
    </row>
    <row r="80" spans="1:12" ht="18" customHeight="1" x14ac:dyDescent="0.25">
      <c r="A80" s="14">
        <f t="shared" si="2"/>
        <v>72</v>
      </c>
      <c r="B80" s="8"/>
      <c r="C80" s="46" t="s">
        <v>377</v>
      </c>
      <c r="D80" s="214" t="s">
        <v>19</v>
      </c>
      <c r="E80" s="32"/>
      <c r="F80" s="17"/>
      <c r="G80" s="18">
        <f t="shared" si="3"/>
        <v>16543</v>
      </c>
      <c r="H80" s="240"/>
      <c r="I80" s="7" t="s">
        <v>14</v>
      </c>
      <c r="J80" s="7"/>
      <c r="K80" s="7"/>
      <c r="L80" s="7"/>
    </row>
    <row r="81" spans="1:18" ht="18" customHeight="1" x14ac:dyDescent="0.25">
      <c r="A81" s="14">
        <f t="shared" si="2"/>
        <v>73</v>
      </c>
      <c r="B81" s="8"/>
      <c r="C81" s="46" t="s">
        <v>377</v>
      </c>
      <c r="D81" s="214" t="s">
        <v>19</v>
      </c>
      <c r="E81" s="32"/>
      <c r="F81" s="17"/>
      <c r="G81" s="18">
        <f t="shared" si="3"/>
        <v>16543</v>
      </c>
      <c r="H81" s="240"/>
      <c r="I81" s="7" t="s">
        <v>14</v>
      </c>
      <c r="J81" s="7"/>
      <c r="K81" s="7"/>
      <c r="L81" s="7"/>
    </row>
    <row r="82" spans="1:18" ht="18" customHeight="1" x14ac:dyDescent="0.25">
      <c r="A82" s="14">
        <f t="shared" si="2"/>
        <v>74</v>
      </c>
      <c r="B82" s="8"/>
      <c r="C82" s="46" t="s">
        <v>377</v>
      </c>
      <c r="D82" s="214" t="s">
        <v>19</v>
      </c>
      <c r="E82" s="32"/>
      <c r="F82" s="17"/>
      <c r="G82" s="18">
        <f t="shared" si="3"/>
        <v>16543</v>
      </c>
      <c r="H82" s="240"/>
      <c r="I82" s="7" t="s">
        <v>14</v>
      </c>
      <c r="J82" s="7"/>
      <c r="K82" s="7"/>
      <c r="L82" s="7"/>
    </row>
    <row r="83" spans="1:18" ht="18" customHeight="1" x14ac:dyDescent="0.25">
      <c r="A83" s="14">
        <f t="shared" si="2"/>
        <v>75</v>
      </c>
      <c r="B83" s="8"/>
      <c r="C83" s="46" t="s">
        <v>377</v>
      </c>
      <c r="D83" s="214" t="s">
        <v>19</v>
      </c>
      <c r="E83" s="32"/>
      <c r="F83" s="27"/>
      <c r="G83" s="18">
        <f t="shared" si="3"/>
        <v>16543</v>
      </c>
      <c r="H83" s="240"/>
      <c r="I83" s="7" t="s">
        <v>14</v>
      </c>
      <c r="J83" s="7"/>
      <c r="K83" s="7"/>
      <c r="L83" s="7"/>
    </row>
    <row r="84" spans="1:18" ht="18" customHeight="1" x14ac:dyDescent="0.25">
      <c r="A84" s="14">
        <f t="shared" si="2"/>
        <v>76</v>
      </c>
      <c r="B84" s="8"/>
      <c r="C84" s="46" t="s">
        <v>377</v>
      </c>
      <c r="D84" s="214" t="s">
        <v>19</v>
      </c>
      <c r="E84" s="32"/>
      <c r="F84" s="17"/>
      <c r="G84" s="18">
        <f t="shared" si="3"/>
        <v>16543</v>
      </c>
      <c r="H84" s="240"/>
      <c r="I84" s="7" t="s">
        <v>14</v>
      </c>
      <c r="J84" s="7"/>
      <c r="K84" s="7"/>
      <c r="L84" s="7"/>
    </row>
    <row r="85" spans="1:18" ht="18" customHeight="1" x14ac:dyDescent="0.25">
      <c r="A85" s="14">
        <f t="shared" si="2"/>
        <v>77</v>
      </c>
      <c r="B85" s="8"/>
      <c r="C85" s="46" t="s">
        <v>377</v>
      </c>
      <c r="D85" s="214" t="s">
        <v>19</v>
      </c>
      <c r="E85" s="32"/>
      <c r="F85" s="17"/>
      <c r="G85" s="18">
        <f t="shared" si="3"/>
        <v>16543</v>
      </c>
      <c r="H85" s="240"/>
      <c r="I85" s="7" t="s">
        <v>14</v>
      </c>
      <c r="J85" s="7"/>
      <c r="K85" s="7"/>
      <c r="L85" s="7"/>
    </row>
    <row r="86" spans="1:18" ht="18" customHeight="1" x14ac:dyDescent="0.25">
      <c r="A86" s="14">
        <f t="shared" si="2"/>
        <v>78</v>
      </c>
      <c r="B86" s="8"/>
      <c r="C86" s="46" t="s">
        <v>377</v>
      </c>
      <c r="D86" s="214" t="s">
        <v>19</v>
      </c>
      <c r="E86" s="32"/>
      <c r="F86" s="17"/>
      <c r="G86" s="18">
        <f t="shared" si="3"/>
        <v>16543</v>
      </c>
      <c r="H86" s="240"/>
      <c r="I86" s="7" t="s">
        <v>14</v>
      </c>
      <c r="J86" s="7"/>
      <c r="K86" s="7"/>
      <c r="L86" s="7"/>
    </row>
    <row r="87" spans="1:18" ht="18" customHeight="1" x14ac:dyDescent="0.25">
      <c r="A87" s="14">
        <f t="shared" si="2"/>
        <v>79</v>
      </c>
      <c r="B87" s="8"/>
      <c r="C87" s="46" t="s">
        <v>377</v>
      </c>
      <c r="D87" s="214" t="s">
        <v>19</v>
      </c>
      <c r="E87" s="32"/>
      <c r="F87" s="17"/>
      <c r="G87" s="18">
        <f t="shared" si="3"/>
        <v>16543</v>
      </c>
      <c r="H87" s="240"/>
      <c r="I87" s="7" t="s">
        <v>14</v>
      </c>
      <c r="J87" s="7"/>
      <c r="K87" s="7"/>
      <c r="L87" s="7"/>
    </row>
    <row r="88" spans="1:18" ht="18" customHeight="1" x14ac:dyDescent="0.25">
      <c r="A88" s="14">
        <f t="shared" si="2"/>
        <v>80</v>
      </c>
      <c r="B88" s="8"/>
      <c r="C88" s="46" t="s">
        <v>377</v>
      </c>
      <c r="D88" s="214" t="s">
        <v>19</v>
      </c>
      <c r="E88" s="32"/>
      <c r="F88" s="17"/>
      <c r="G88" s="18">
        <f t="shared" si="3"/>
        <v>16543</v>
      </c>
      <c r="H88" s="240"/>
      <c r="I88" s="7" t="s">
        <v>14</v>
      </c>
      <c r="J88" s="7"/>
      <c r="K88" s="7"/>
      <c r="L88" s="7"/>
    </row>
    <row r="89" spans="1:18" ht="18" customHeight="1" x14ac:dyDescent="0.25">
      <c r="A89" s="14">
        <f t="shared" si="2"/>
        <v>81</v>
      </c>
      <c r="B89" s="8"/>
      <c r="C89" s="46" t="s">
        <v>377</v>
      </c>
      <c r="D89" s="214" t="s">
        <v>19</v>
      </c>
      <c r="E89" s="32"/>
      <c r="F89" s="17"/>
      <c r="G89" s="18">
        <f t="shared" si="3"/>
        <v>16543</v>
      </c>
      <c r="H89" s="240"/>
      <c r="I89" s="7" t="s">
        <v>14</v>
      </c>
      <c r="J89" s="7"/>
      <c r="K89" s="7"/>
      <c r="L89" s="7"/>
    </row>
    <row r="90" spans="1:18" ht="18" customHeight="1" x14ac:dyDescent="0.25">
      <c r="A90" s="14">
        <f t="shared" si="2"/>
        <v>82</v>
      </c>
      <c r="B90" s="8"/>
      <c r="C90" s="46" t="s">
        <v>377</v>
      </c>
      <c r="D90" s="214" t="s">
        <v>19</v>
      </c>
      <c r="E90" s="32"/>
      <c r="F90" s="17"/>
      <c r="G90" s="18">
        <f t="shared" si="3"/>
        <v>16543</v>
      </c>
      <c r="H90" s="240"/>
      <c r="I90" s="7" t="s">
        <v>14</v>
      </c>
      <c r="J90" s="7"/>
      <c r="K90" s="7"/>
      <c r="L90" s="7"/>
      <c r="M90" s="199"/>
      <c r="R90" s="199"/>
    </row>
    <row r="91" spans="1:18" ht="18" customHeight="1" x14ac:dyDescent="0.25">
      <c r="A91" s="14">
        <f t="shared" si="2"/>
        <v>83</v>
      </c>
      <c r="B91" s="8"/>
      <c r="C91" s="46" t="s">
        <v>377</v>
      </c>
      <c r="D91" s="214" t="s">
        <v>19</v>
      </c>
      <c r="E91" s="32"/>
      <c r="F91" s="27"/>
      <c r="G91" s="18">
        <f t="shared" si="3"/>
        <v>16543</v>
      </c>
      <c r="H91" s="240"/>
      <c r="I91" s="7" t="s">
        <v>14</v>
      </c>
      <c r="J91" s="7"/>
      <c r="K91" s="7"/>
      <c r="L91" s="7"/>
      <c r="M91" s="199"/>
      <c r="R91" s="199"/>
    </row>
    <row r="92" spans="1:18" ht="18" customHeight="1" x14ac:dyDescent="0.25">
      <c r="A92" s="14">
        <f t="shared" si="2"/>
        <v>84</v>
      </c>
      <c r="B92" s="8"/>
      <c r="C92" s="46" t="s">
        <v>377</v>
      </c>
      <c r="D92" s="214" t="s">
        <v>19</v>
      </c>
      <c r="E92" s="32"/>
      <c r="F92" s="27"/>
      <c r="G92" s="18">
        <f>+G91+E92-F92</f>
        <v>16543</v>
      </c>
      <c r="H92" s="240"/>
      <c r="I92" s="7" t="s">
        <v>14</v>
      </c>
      <c r="J92" s="7"/>
      <c r="K92" s="7"/>
      <c r="L92" s="7"/>
      <c r="M92" s="199"/>
      <c r="R92" s="199"/>
    </row>
    <row r="93" spans="1:18" s="179" customFormat="1" ht="18" customHeight="1" x14ac:dyDescent="0.25">
      <c r="A93" s="241">
        <f t="shared" si="2"/>
        <v>85</v>
      </c>
      <c r="B93" s="242"/>
      <c r="C93" s="46" t="s">
        <v>377</v>
      </c>
      <c r="D93" s="244" t="s">
        <v>19</v>
      </c>
      <c r="E93" s="245"/>
      <c r="F93" s="52"/>
      <c r="G93" s="246">
        <f>+G92+E93-F93</f>
        <v>16543</v>
      </c>
      <c r="H93" s="240"/>
      <c r="I93" s="247" t="s">
        <v>14</v>
      </c>
      <c r="J93" s="247"/>
      <c r="K93" s="247"/>
      <c r="L93" s="247"/>
      <c r="M93" s="248"/>
      <c r="R93" s="248"/>
    </row>
    <row r="94" spans="1:18" s="179" customFormat="1" ht="18" customHeight="1" x14ac:dyDescent="0.25">
      <c r="A94" s="241"/>
      <c r="B94" s="242"/>
      <c r="C94" s="46" t="s">
        <v>377</v>
      </c>
      <c r="D94" s="244" t="s">
        <v>19</v>
      </c>
      <c r="E94" s="245"/>
      <c r="F94" s="52"/>
      <c r="G94" s="246">
        <f t="shared" ref="G94:G106" si="4">+G93+E94-F94</f>
        <v>16543</v>
      </c>
      <c r="H94" s="240"/>
      <c r="I94" s="247" t="s">
        <v>14</v>
      </c>
      <c r="J94" s="247"/>
      <c r="K94" s="247"/>
      <c r="L94" s="247"/>
      <c r="M94" s="248"/>
      <c r="R94" s="248"/>
    </row>
    <row r="95" spans="1:18" s="179" customFormat="1" ht="18" customHeight="1" x14ac:dyDescent="0.25">
      <c r="A95" s="241"/>
      <c r="B95" s="242"/>
      <c r="C95" s="46" t="s">
        <v>377</v>
      </c>
      <c r="D95" s="244" t="s">
        <v>19</v>
      </c>
      <c r="E95" s="245"/>
      <c r="F95" s="52"/>
      <c r="G95" s="246">
        <f t="shared" si="4"/>
        <v>16543</v>
      </c>
      <c r="H95" s="240"/>
      <c r="I95" s="247" t="s">
        <v>14</v>
      </c>
      <c r="J95" s="247"/>
      <c r="K95" s="247"/>
      <c r="L95" s="247"/>
      <c r="M95" s="248"/>
      <c r="R95" s="248"/>
    </row>
    <row r="96" spans="1:18" s="179" customFormat="1" ht="18" customHeight="1" x14ac:dyDescent="0.25">
      <c r="A96" s="241"/>
      <c r="B96" s="242"/>
      <c r="C96" s="46" t="s">
        <v>377</v>
      </c>
      <c r="D96" s="244" t="s">
        <v>19</v>
      </c>
      <c r="E96" s="245"/>
      <c r="F96" s="52"/>
      <c r="G96" s="246">
        <f t="shared" si="4"/>
        <v>16543</v>
      </c>
      <c r="H96" s="240"/>
      <c r="I96" s="247" t="s">
        <v>14</v>
      </c>
      <c r="J96" s="247"/>
      <c r="K96" s="247"/>
      <c r="L96" s="247"/>
      <c r="M96" s="248"/>
      <c r="R96" s="248"/>
    </row>
    <row r="97" spans="1:18" s="179" customFormat="1" ht="18" customHeight="1" x14ac:dyDescent="0.25">
      <c r="A97" s="241"/>
      <c r="B97" s="242"/>
      <c r="C97" s="46" t="s">
        <v>377</v>
      </c>
      <c r="D97" s="244" t="s">
        <v>19</v>
      </c>
      <c r="E97" s="245"/>
      <c r="F97" s="52"/>
      <c r="G97" s="246">
        <f t="shared" si="4"/>
        <v>16543</v>
      </c>
      <c r="H97" s="240"/>
      <c r="I97" s="247" t="s">
        <v>14</v>
      </c>
      <c r="J97" s="247"/>
      <c r="K97" s="247"/>
      <c r="L97" s="247"/>
      <c r="M97" s="248"/>
      <c r="R97" s="248"/>
    </row>
    <row r="98" spans="1:18" s="179" customFormat="1" ht="18" customHeight="1" x14ac:dyDescent="0.25">
      <c r="A98" s="241"/>
      <c r="B98" s="242"/>
      <c r="C98" s="46" t="s">
        <v>377</v>
      </c>
      <c r="D98" s="244" t="s">
        <v>19</v>
      </c>
      <c r="E98" s="245"/>
      <c r="F98" s="52"/>
      <c r="G98" s="246">
        <f t="shared" si="4"/>
        <v>16543</v>
      </c>
      <c r="H98" s="240"/>
      <c r="I98" s="247" t="s">
        <v>14</v>
      </c>
      <c r="J98" s="247"/>
      <c r="K98" s="247"/>
      <c r="L98" s="247"/>
      <c r="M98" s="248"/>
      <c r="R98" s="248"/>
    </row>
    <row r="99" spans="1:18" s="179" customFormat="1" ht="18" customHeight="1" x14ac:dyDescent="0.25">
      <c r="A99" s="241"/>
      <c r="B99" s="242"/>
      <c r="C99" s="46" t="s">
        <v>377</v>
      </c>
      <c r="D99" s="244" t="s">
        <v>19</v>
      </c>
      <c r="E99" s="245"/>
      <c r="F99" s="52"/>
      <c r="G99" s="246">
        <f t="shared" si="4"/>
        <v>16543</v>
      </c>
      <c r="H99" s="240"/>
      <c r="I99" s="247" t="s">
        <v>14</v>
      </c>
      <c r="J99" s="247"/>
      <c r="K99" s="247"/>
      <c r="L99" s="247"/>
      <c r="M99" s="248"/>
      <c r="R99" s="248"/>
    </row>
    <row r="100" spans="1:18" s="179" customFormat="1" ht="18" customHeight="1" x14ac:dyDescent="0.25">
      <c r="A100" s="241"/>
      <c r="B100" s="242"/>
      <c r="C100" s="46" t="s">
        <v>377</v>
      </c>
      <c r="D100" s="244" t="s">
        <v>19</v>
      </c>
      <c r="E100" s="245"/>
      <c r="F100" s="52"/>
      <c r="G100" s="246">
        <f t="shared" si="4"/>
        <v>16543</v>
      </c>
      <c r="H100" s="240"/>
      <c r="I100" s="247" t="s">
        <v>14</v>
      </c>
      <c r="J100" s="247"/>
      <c r="K100" s="247"/>
      <c r="L100" s="247"/>
      <c r="M100" s="248"/>
      <c r="R100" s="248"/>
    </row>
    <row r="101" spans="1:18" s="179" customFormat="1" ht="18" customHeight="1" x14ac:dyDescent="0.25">
      <c r="A101" s="241"/>
      <c r="B101" s="242"/>
      <c r="C101" s="46" t="s">
        <v>377</v>
      </c>
      <c r="D101" s="244"/>
      <c r="E101" s="245"/>
      <c r="F101" s="52"/>
      <c r="G101" s="246">
        <f t="shared" si="4"/>
        <v>16543</v>
      </c>
      <c r="H101" s="240"/>
      <c r="I101" s="247"/>
      <c r="J101" s="247"/>
      <c r="K101" s="247"/>
      <c r="L101" s="247"/>
      <c r="M101" s="248"/>
      <c r="R101" s="248"/>
    </row>
    <row r="102" spans="1:18" s="179" customFormat="1" ht="18" customHeight="1" x14ac:dyDescent="0.25">
      <c r="A102" s="241"/>
      <c r="B102" s="242"/>
      <c r="C102" s="46" t="s">
        <v>377</v>
      </c>
      <c r="D102" s="244"/>
      <c r="E102" s="245"/>
      <c r="F102" s="52"/>
      <c r="G102" s="246">
        <f t="shared" si="4"/>
        <v>16543</v>
      </c>
      <c r="H102" s="240"/>
      <c r="I102" s="247"/>
      <c r="J102" s="247"/>
      <c r="K102" s="247"/>
      <c r="L102" s="247"/>
      <c r="M102" s="248"/>
      <c r="R102" s="248"/>
    </row>
    <row r="103" spans="1:18" s="179" customFormat="1" ht="18" customHeight="1" x14ac:dyDescent="0.25">
      <c r="A103" s="241"/>
      <c r="B103" s="242"/>
      <c r="C103" s="46" t="s">
        <v>377</v>
      </c>
      <c r="D103" s="244"/>
      <c r="E103" s="245"/>
      <c r="F103" s="52"/>
      <c r="G103" s="246">
        <f t="shared" si="4"/>
        <v>16543</v>
      </c>
      <c r="H103" s="240"/>
      <c r="I103" s="247"/>
      <c r="J103" s="247"/>
      <c r="K103" s="247"/>
      <c r="L103" s="247"/>
      <c r="M103" s="248"/>
      <c r="R103" s="248"/>
    </row>
    <row r="104" spans="1:18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16543</v>
      </c>
      <c r="H104" s="240"/>
      <c r="I104" s="247"/>
      <c r="J104" s="247"/>
      <c r="K104" s="247"/>
      <c r="L104" s="247"/>
      <c r="M104" s="248"/>
      <c r="R104" s="248"/>
    </row>
    <row r="105" spans="1:18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16543</v>
      </c>
      <c r="H105" s="28"/>
      <c r="I105" s="7"/>
      <c r="J105" s="7"/>
      <c r="K105" s="7"/>
      <c r="L105" s="7"/>
      <c r="M105" s="199"/>
      <c r="R105" s="199"/>
    </row>
    <row r="106" spans="1:18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16543</v>
      </c>
      <c r="H106" s="28"/>
      <c r="I106" s="7"/>
      <c r="J106" s="7"/>
      <c r="K106" s="7"/>
      <c r="L106" s="7"/>
      <c r="M106" s="199"/>
      <c r="R106" s="199"/>
    </row>
    <row r="107" spans="1:18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16543</v>
      </c>
      <c r="H107" s="28"/>
      <c r="I107" s="7"/>
      <c r="J107" s="7"/>
      <c r="K107" s="7"/>
      <c r="L107" s="7"/>
      <c r="M107" s="199"/>
      <c r="R107" s="199"/>
    </row>
    <row r="108" spans="1:18" ht="18" customHeight="1" x14ac:dyDescent="0.25">
      <c r="A108" s="7"/>
      <c r="B108" s="7"/>
      <c r="C108" s="34" t="s">
        <v>13</v>
      </c>
      <c r="D108" s="14"/>
      <c r="E108" s="35">
        <f>SUM(E8:E107)</f>
        <v>19615</v>
      </c>
      <c r="F108" s="35">
        <f>SUM(F8:F107)</f>
        <v>3072</v>
      </c>
      <c r="G108" s="35">
        <f>+E108-F108+G8</f>
        <v>16543</v>
      </c>
      <c r="H108" s="35"/>
      <c r="I108" s="36"/>
      <c r="J108" s="7">
        <f>SUM(J9:J107)</f>
        <v>0</v>
      </c>
      <c r="K108" s="7">
        <f>SUM(K9:K107)</f>
        <v>0</v>
      </c>
      <c r="L108" s="7">
        <f>+J108-K108</f>
        <v>0</v>
      </c>
    </row>
    <row r="109" spans="1:18" ht="18" customHeight="1" x14ac:dyDescent="0.25"/>
    <row r="112" spans="1:18" x14ac:dyDescent="0.25">
      <c r="E112" s="201"/>
      <c r="F112" s="201"/>
      <c r="G112" s="201"/>
      <c r="H112" s="201"/>
    </row>
    <row r="113" spans="5:10" x14ac:dyDescent="0.25">
      <c r="F113" s="26"/>
    </row>
    <row r="114" spans="5:10" x14ac:dyDescent="0.25">
      <c r="E114" s="26"/>
      <c r="F114" s="26"/>
      <c r="G114" s="26"/>
      <c r="H114" s="26"/>
      <c r="I114" s="26"/>
      <c r="J114" s="26"/>
    </row>
    <row r="115" spans="5:10" x14ac:dyDescent="0.25">
      <c r="I115" s="202"/>
      <c r="J115" s="202"/>
    </row>
    <row r="116" spans="5:10" x14ac:dyDescent="0.25">
      <c r="E116" s="199"/>
    </row>
    <row r="117" spans="5:10" x14ac:dyDescent="0.25">
      <c r="E117" s="26"/>
      <c r="F117" s="26"/>
    </row>
    <row r="118" spans="5:10" x14ac:dyDescent="0.25">
      <c r="E118" s="203"/>
      <c r="F118" s="204"/>
      <c r="G118" s="203"/>
      <c r="H118" s="203"/>
    </row>
    <row r="119" spans="5:10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A82E-F930-4EB4-B97E-369CD778006B}">
  <sheetPr codeName="Sheet95"/>
  <dimension ref="A1:Q119"/>
  <sheetViews>
    <sheetView workbookViewId="0">
      <selection activeCell="F10" sqref="F10"/>
    </sheetView>
  </sheetViews>
  <sheetFormatPr defaultRowHeight="15" x14ac:dyDescent="0.25"/>
  <cols>
    <col min="1" max="1" width="6" customWidth="1"/>
    <col min="2" max="2" width="11.5703125" customWidth="1"/>
    <col min="3" max="3" width="28.5703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68</v>
      </c>
      <c r="H8" s="7"/>
      <c r="I8" s="7"/>
      <c r="J8" s="7"/>
      <c r="K8" s="7"/>
    </row>
    <row r="9" spans="1:13" ht="17.25" customHeight="1" x14ac:dyDescent="0.25">
      <c r="A9" s="14">
        <v>1</v>
      </c>
      <c r="B9" s="8"/>
      <c r="C9" s="46" t="s">
        <v>318</v>
      </c>
      <c r="D9" s="214" t="s">
        <v>19</v>
      </c>
      <c r="E9" s="30"/>
      <c r="F9" s="27">
        <v>68</v>
      </c>
      <c r="G9" s="18">
        <f>+G8+E9-F9</f>
        <v>0</v>
      </c>
      <c r="H9" s="28" t="s">
        <v>91</v>
      </c>
      <c r="I9" s="7" t="s">
        <v>90</v>
      </c>
      <c r="J9" s="7" t="s">
        <v>304</v>
      </c>
      <c r="K9" s="7"/>
      <c r="L9">
        <f>362.5+401.5+338.5+348.5</f>
        <v>1451</v>
      </c>
      <c r="M9">
        <f>+K9-L9</f>
        <v>-1451</v>
      </c>
    </row>
    <row r="10" spans="1:13" ht="17.25" customHeight="1" x14ac:dyDescent="0.25">
      <c r="A10" s="14">
        <f t="shared" ref="A10:A73" si="0">+A9+1</f>
        <v>2</v>
      </c>
      <c r="B10" s="8"/>
      <c r="C10" s="46" t="s">
        <v>318</v>
      </c>
      <c r="D10" s="214" t="s">
        <v>19</v>
      </c>
      <c r="E10" s="11"/>
      <c r="F10" s="27"/>
      <c r="G10" s="18">
        <f t="shared" ref="G10:G73" si="1">+G9+E10-F10</f>
        <v>0</v>
      </c>
      <c r="H10" s="28" t="s">
        <v>140</v>
      </c>
      <c r="I10" s="7" t="s">
        <v>90</v>
      </c>
      <c r="J10" s="7" t="s">
        <v>305</v>
      </c>
      <c r="K10" s="7"/>
      <c r="L10">
        <f>1151+1093</f>
        <v>2244</v>
      </c>
    </row>
    <row r="11" spans="1:13" ht="18" customHeight="1" x14ac:dyDescent="0.25">
      <c r="A11" s="14">
        <f t="shared" si="0"/>
        <v>3</v>
      </c>
      <c r="B11" s="8"/>
      <c r="C11" s="46" t="s">
        <v>318</v>
      </c>
      <c r="D11" s="214" t="s">
        <v>19</v>
      </c>
      <c r="E11" s="16"/>
      <c r="F11" s="27"/>
      <c r="G11" s="18">
        <f t="shared" si="1"/>
        <v>0</v>
      </c>
      <c r="H11" s="28" t="s">
        <v>91</v>
      </c>
      <c r="I11" s="7" t="s">
        <v>90</v>
      </c>
      <c r="J11" s="140" t="s">
        <v>308</v>
      </c>
      <c r="K11" s="7"/>
    </row>
    <row r="12" spans="1:13" ht="18" customHeight="1" x14ac:dyDescent="0.25">
      <c r="A12" s="14">
        <f t="shared" si="0"/>
        <v>4</v>
      </c>
      <c r="B12" s="8"/>
      <c r="C12" s="46" t="s">
        <v>318</v>
      </c>
      <c r="D12" s="214" t="s">
        <v>19</v>
      </c>
      <c r="E12" s="16"/>
      <c r="F12" s="17"/>
      <c r="G12" s="18">
        <f t="shared" si="1"/>
        <v>0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 t="s">
        <v>318</v>
      </c>
      <c r="D13" s="214" t="s">
        <v>19</v>
      </c>
      <c r="E13" s="16"/>
      <c r="F13" s="17"/>
      <c r="G13" s="18">
        <f t="shared" si="1"/>
        <v>0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 t="s">
        <v>318</v>
      </c>
      <c r="D14" s="214" t="s">
        <v>19</v>
      </c>
      <c r="E14" s="16"/>
      <c r="F14" s="27"/>
      <c r="G14" s="18">
        <f t="shared" si="1"/>
        <v>0</v>
      </c>
      <c r="H14" s="28" t="s">
        <v>91</v>
      </c>
      <c r="I14" s="7" t="s">
        <v>90</v>
      </c>
      <c r="J14" s="7"/>
      <c r="K14" s="7"/>
    </row>
    <row r="15" spans="1:13" ht="18" customHeight="1" x14ac:dyDescent="0.25">
      <c r="A15" s="14">
        <f t="shared" si="0"/>
        <v>7</v>
      </c>
      <c r="B15" s="8"/>
      <c r="C15" s="46" t="s">
        <v>318</v>
      </c>
      <c r="D15" s="214" t="s">
        <v>19</v>
      </c>
      <c r="E15" s="16"/>
      <c r="F15" s="27"/>
      <c r="G15" s="18">
        <f t="shared" si="1"/>
        <v>0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 t="s">
        <v>318</v>
      </c>
      <c r="D16" s="214" t="s">
        <v>19</v>
      </c>
      <c r="E16" s="16"/>
      <c r="F16" s="27"/>
      <c r="G16" s="18">
        <f t="shared" si="1"/>
        <v>0</v>
      </c>
      <c r="H16" s="28" t="s">
        <v>91</v>
      </c>
      <c r="I16" s="7" t="s">
        <v>90</v>
      </c>
      <c r="J16" s="7"/>
      <c r="K16" s="7"/>
    </row>
    <row r="17" spans="1:15" ht="18" customHeight="1" x14ac:dyDescent="0.25">
      <c r="A17" s="14">
        <f t="shared" si="0"/>
        <v>9</v>
      </c>
      <c r="B17" s="8"/>
      <c r="C17" s="46" t="s">
        <v>318</v>
      </c>
      <c r="D17" s="214" t="s">
        <v>19</v>
      </c>
      <c r="E17" s="30"/>
      <c r="F17" s="27"/>
      <c r="G17" s="18">
        <f t="shared" si="1"/>
        <v>0</v>
      </c>
      <c r="H17" s="28" t="s">
        <v>91</v>
      </c>
      <c r="I17" s="7" t="s">
        <v>90</v>
      </c>
      <c r="J17" s="7"/>
      <c r="K17" s="7"/>
    </row>
    <row r="18" spans="1:15" s="230" customFormat="1" ht="18" customHeight="1" x14ac:dyDescent="0.25">
      <c r="A18" s="223">
        <f>+A17+1</f>
        <v>10</v>
      </c>
      <c r="B18" s="224"/>
      <c r="C18" s="46" t="s">
        <v>318</v>
      </c>
      <c r="D18" s="226" t="s">
        <v>19</v>
      </c>
      <c r="E18" s="227"/>
      <c r="F18" s="228"/>
      <c r="G18" s="229">
        <f t="shared" si="1"/>
        <v>0</v>
      </c>
      <c r="H18" s="28" t="s">
        <v>91</v>
      </c>
      <c r="I18" s="7" t="s">
        <v>90</v>
      </c>
      <c r="J18" s="348"/>
      <c r="K18" s="348"/>
    </row>
    <row r="19" spans="1:15" s="230" customFormat="1" ht="18" customHeight="1" x14ac:dyDescent="0.25">
      <c r="A19" s="223">
        <f t="shared" si="0"/>
        <v>11</v>
      </c>
      <c r="B19" s="224"/>
      <c r="C19" s="46" t="s">
        <v>318</v>
      </c>
      <c r="D19" s="226" t="s">
        <v>19</v>
      </c>
      <c r="E19" s="231"/>
      <c r="F19" s="228"/>
      <c r="G19" s="229">
        <f t="shared" si="1"/>
        <v>0</v>
      </c>
      <c r="H19" s="28" t="s">
        <v>91</v>
      </c>
      <c r="I19" s="7" t="s">
        <v>90</v>
      </c>
      <c r="J19" s="348"/>
      <c r="K19" s="348"/>
    </row>
    <row r="20" spans="1:15" ht="18" customHeight="1" x14ac:dyDescent="0.25">
      <c r="A20" s="14">
        <f t="shared" si="0"/>
        <v>12</v>
      </c>
      <c r="B20" s="8"/>
      <c r="C20" s="46" t="s">
        <v>318</v>
      </c>
      <c r="D20" s="214" t="s">
        <v>19</v>
      </c>
      <c r="E20" s="32"/>
      <c r="F20" s="17"/>
      <c r="G20" s="18">
        <f t="shared" si="1"/>
        <v>0</v>
      </c>
      <c r="H20" s="28" t="s">
        <v>91</v>
      </c>
      <c r="I20" s="7" t="s">
        <v>90</v>
      </c>
      <c r="J20" s="7"/>
      <c r="K20" s="7"/>
      <c r="N20" s="26"/>
    </row>
    <row r="21" spans="1:15" ht="18" customHeight="1" x14ac:dyDescent="0.25">
      <c r="A21" s="14">
        <f t="shared" si="0"/>
        <v>13</v>
      </c>
      <c r="B21" s="8"/>
      <c r="C21" s="46" t="s">
        <v>318</v>
      </c>
      <c r="D21" s="214" t="s">
        <v>19</v>
      </c>
      <c r="E21" s="32"/>
      <c r="F21" s="27"/>
      <c r="G21" s="18">
        <f t="shared" si="1"/>
        <v>0</v>
      </c>
      <c r="H21" s="28" t="s">
        <v>91</v>
      </c>
      <c r="I21" s="7" t="s">
        <v>90</v>
      </c>
      <c r="J21" s="7"/>
      <c r="K21" s="7"/>
    </row>
    <row r="22" spans="1:15" ht="18" customHeight="1" x14ac:dyDescent="0.25">
      <c r="A22" s="14">
        <f t="shared" si="0"/>
        <v>14</v>
      </c>
      <c r="B22" s="232"/>
      <c r="C22" s="46" t="s">
        <v>318</v>
      </c>
      <c r="D22" s="234" t="s">
        <v>19</v>
      </c>
      <c r="E22" s="235"/>
      <c r="F22" s="172"/>
      <c r="G22" s="18">
        <f t="shared" si="1"/>
        <v>0</v>
      </c>
      <c r="H22" s="28" t="s">
        <v>129</v>
      </c>
      <c r="I22" s="7" t="s">
        <v>90</v>
      </c>
      <c r="J22" s="7"/>
      <c r="K22" s="7"/>
    </row>
    <row r="23" spans="1:15" ht="18" customHeight="1" x14ac:dyDescent="0.25">
      <c r="A23" s="14">
        <f t="shared" si="0"/>
        <v>15</v>
      </c>
      <c r="B23" s="8"/>
      <c r="C23" s="46" t="s">
        <v>318</v>
      </c>
      <c r="D23" s="214" t="s">
        <v>19</v>
      </c>
      <c r="E23" s="32"/>
      <c r="F23" s="17"/>
      <c r="G23" s="18">
        <f t="shared" si="1"/>
        <v>0</v>
      </c>
      <c r="H23" s="28" t="s">
        <v>129</v>
      </c>
      <c r="I23" s="7" t="s">
        <v>142</v>
      </c>
      <c r="J23" s="7"/>
      <c r="K23" s="7"/>
    </row>
    <row r="24" spans="1:15" ht="18" customHeight="1" x14ac:dyDescent="0.25">
      <c r="A24" s="14">
        <f t="shared" si="0"/>
        <v>16</v>
      </c>
      <c r="B24" s="8"/>
      <c r="C24" s="46" t="s">
        <v>318</v>
      </c>
      <c r="D24" s="214" t="s">
        <v>19</v>
      </c>
      <c r="E24" s="32"/>
      <c r="F24" s="17"/>
      <c r="G24" s="18">
        <f t="shared" si="1"/>
        <v>0</v>
      </c>
      <c r="H24" s="28" t="s">
        <v>91</v>
      </c>
      <c r="I24" s="7" t="s">
        <v>90</v>
      </c>
      <c r="J24" s="7"/>
      <c r="K24" s="7"/>
    </row>
    <row r="25" spans="1:15" ht="18" customHeight="1" x14ac:dyDescent="0.25">
      <c r="A25" s="14">
        <f t="shared" si="0"/>
        <v>17</v>
      </c>
      <c r="B25" s="8"/>
      <c r="C25" s="46" t="s">
        <v>318</v>
      </c>
      <c r="D25" s="214" t="s">
        <v>19</v>
      </c>
      <c r="E25" s="32"/>
      <c r="F25" s="17"/>
      <c r="G25" s="18">
        <f t="shared" si="1"/>
        <v>0</v>
      </c>
      <c r="H25" s="28" t="s">
        <v>91</v>
      </c>
      <c r="I25" s="7" t="s">
        <v>90</v>
      </c>
      <c r="J25" s="7"/>
      <c r="K25" s="7"/>
    </row>
    <row r="26" spans="1:15" ht="18" customHeight="1" x14ac:dyDescent="0.25">
      <c r="A26" s="14">
        <f t="shared" si="0"/>
        <v>18</v>
      </c>
      <c r="B26" s="8"/>
      <c r="C26" s="46" t="s">
        <v>318</v>
      </c>
      <c r="D26" s="214" t="s">
        <v>19</v>
      </c>
      <c r="E26" s="32"/>
      <c r="F26" s="17"/>
      <c r="G26" s="18">
        <f t="shared" si="1"/>
        <v>0</v>
      </c>
      <c r="H26" s="28" t="s">
        <v>91</v>
      </c>
      <c r="I26" s="7" t="s">
        <v>90</v>
      </c>
      <c r="J26" s="7"/>
      <c r="K26" s="7"/>
    </row>
    <row r="27" spans="1:15" ht="18" customHeight="1" x14ac:dyDescent="0.25">
      <c r="A27" s="14">
        <f>+A26+1</f>
        <v>19</v>
      </c>
      <c r="B27" s="8"/>
      <c r="C27" s="46" t="s">
        <v>318</v>
      </c>
      <c r="D27" s="214" t="s">
        <v>19</v>
      </c>
      <c r="E27" s="32"/>
      <c r="F27" s="17"/>
      <c r="G27" s="18">
        <f t="shared" si="1"/>
        <v>0</v>
      </c>
      <c r="H27" s="28" t="s">
        <v>91</v>
      </c>
      <c r="I27" s="7" t="s">
        <v>90</v>
      </c>
      <c r="J27" s="7"/>
      <c r="K27" s="7"/>
    </row>
    <row r="28" spans="1:15" ht="18" customHeight="1" x14ac:dyDescent="0.25">
      <c r="A28" s="14">
        <f t="shared" si="0"/>
        <v>20</v>
      </c>
      <c r="B28" s="8"/>
      <c r="C28" s="46" t="s">
        <v>318</v>
      </c>
      <c r="D28" s="214" t="s">
        <v>19</v>
      </c>
      <c r="E28" s="129"/>
      <c r="F28" s="17"/>
      <c r="G28" s="18">
        <f t="shared" si="1"/>
        <v>0</v>
      </c>
      <c r="H28" s="28" t="s">
        <v>91</v>
      </c>
      <c r="I28" s="7" t="s">
        <v>90</v>
      </c>
      <c r="J28" s="7"/>
      <c r="K28" s="7"/>
      <c r="O28">
        <f>4-1.2</f>
        <v>2.8</v>
      </c>
    </row>
    <row r="29" spans="1:15" ht="18" customHeight="1" x14ac:dyDescent="0.25">
      <c r="A29" s="14">
        <f t="shared" si="0"/>
        <v>21</v>
      </c>
      <c r="B29" s="8"/>
      <c r="C29" s="46" t="s">
        <v>318</v>
      </c>
      <c r="D29" s="214" t="s">
        <v>19</v>
      </c>
      <c r="E29" s="32"/>
      <c r="F29" s="172"/>
      <c r="G29" s="18">
        <f t="shared" si="1"/>
        <v>0</v>
      </c>
      <c r="H29" s="28" t="s">
        <v>91</v>
      </c>
      <c r="I29" s="7" t="s">
        <v>90</v>
      </c>
      <c r="J29" s="7"/>
      <c r="K29" s="7"/>
      <c r="O29" t="s">
        <v>306</v>
      </c>
    </row>
    <row r="30" spans="1:15" ht="18" customHeight="1" x14ac:dyDescent="0.25">
      <c r="A30" s="14">
        <f t="shared" si="0"/>
        <v>22</v>
      </c>
      <c r="B30" s="8"/>
      <c r="C30" s="46" t="s">
        <v>318</v>
      </c>
      <c r="D30" s="214" t="s">
        <v>19</v>
      </c>
      <c r="E30" s="32"/>
      <c r="F30" s="17"/>
      <c r="G30" s="18">
        <f t="shared" si="1"/>
        <v>0</v>
      </c>
      <c r="H30" s="28" t="s">
        <v>91</v>
      </c>
      <c r="I30" s="7" t="s">
        <v>90</v>
      </c>
      <c r="J30" s="7"/>
      <c r="K30" s="7"/>
    </row>
    <row r="31" spans="1:15" ht="18" customHeight="1" x14ac:dyDescent="0.25">
      <c r="A31" s="14">
        <f t="shared" si="0"/>
        <v>23</v>
      </c>
      <c r="B31" s="8"/>
      <c r="C31" s="46" t="s">
        <v>318</v>
      </c>
      <c r="D31" s="214" t="s">
        <v>19</v>
      </c>
      <c r="E31" s="32"/>
      <c r="F31" s="17"/>
      <c r="G31" s="18">
        <f t="shared" si="1"/>
        <v>0</v>
      </c>
      <c r="H31" s="28" t="s">
        <v>91</v>
      </c>
      <c r="I31" s="7" t="s">
        <v>90</v>
      </c>
      <c r="J31" s="7"/>
      <c r="K31" s="7"/>
    </row>
    <row r="32" spans="1:15" ht="17.25" customHeight="1" x14ac:dyDescent="0.25">
      <c r="A32" s="14">
        <f t="shared" si="0"/>
        <v>24</v>
      </c>
      <c r="B32" s="8"/>
      <c r="C32" s="46" t="s">
        <v>318</v>
      </c>
      <c r="D32" s="214" t="s">
        <v>19</v>
      </c>
      <c r="E32" s="13"/>
      <c r="F32" s="17"/>
      <c r="G32" s="18">
        <f t="shared" si="1"/>
        <v>0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318</v>
      </c>
      <c r="D33" s="214" t="s">
        <v>19</v>
      </c>
      <c r="E33" s="13"/>
      <c r="F33" s="17"/>
      <c r="G33" s="18">
        <f t="shared" si="1"/>
        <v>0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318</v>
      </c>
      <c r="D34" s="214" t="s">
        <v>19</v>
      </c>
      <c r="E34" s="32"/>
      <c r="F34" s="40"/>
      <c r="G34" s="18">
        <f t="shared" si="1"/>
        <v>0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318</v>
      </c>
      <c r="D35" s="214" t="s">
        <v>19</v>
      </c>
      <c r="E35" s="32"/>
      <c r="F35" s="40"/>
      <c r="G35" s="18">
        <f t="shared" si="1"/>
        <v>0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318</v>
      </c>
      <c r="D36" s="214" t="s">
        <v>19</v>
      </c>
      <c r="E36" s="32"/>
      <c r="F36" s="40"/>
      <c r="G36" s="18">
        <f t="shared" si="1"/>
        <v>0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318</v>
      </c>
      <c r="D37" s="214" t="s">
        <v>19</v>
      </c>
      <c r="E37" s="32"/>
      <c r="F37" s="17"/>
      <c r="G37" s="18">
        <f t="shared" si="1"/>
        <v>0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318</v>
      </c>
      <c r="D38" s="214" t="s">
        <v>19</v>
      </c>
      <c r="E38" s="32"/>
      <c r="F38" s="17"/>
      <c r="G38" s="18">
        <f t="shared" si="1"/>
        <v>0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318</v>
      </c>
      <c r="D39" s="214" t="s">
        <v>19</v>
      </c>
      <c r="E39" s="32"/>
      <c r="F39" s="17"/>
      <c r="G39" s="18">
        <f t="shared" si="1"/>
        <v>0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318</v>
      </c>
      <c r="D40" s="214" t="s">
        <v>19</v>
      </c>
      <c r="E40" s="32"/>
      <c r="F40" s="17"/>
      <c r="G40" s="18">
        <f t="shared" si="1"/>
        <v>0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318</v>
      </c>
      <c r="D41" s="214" t="s">
        <v>19</v>
      </c>
      <c r="E41" s="32"/>
      <c r="F41" s="172"/>
      <c r="G41" s="18">
        <f t="shared" si="1"/>
        <v>0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318</v>
      </c>
      <c r="D42" s="214" t="s">
        <v>19</v>
      </c>
      <c r="E42" s="32"/>
      <c r="F42" s="17"/>
      <c r="G42" s="18">
        <f t="shared" si="1"/>
        <v>0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318</v>
      </c>
      <c r="D43" s="214" t="s">
        <v>19</v>
      </c>
      <c r="E43" s="32"/>
      <c r="F43" s="17"/>
      <c r="G43" s="18">
        <f t="shared" si="1"/>
        <v>0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318</v>
      </c>
      <c r="D44" s="214" t="s">
        <v>19</v>
      </c>
      <c r="E44" s="32"/>
      <c r="F44" s="17"/>
      <c r="G44" s="18">
        <f t="shared" si="1"/>
        <v>0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318</v>
      </c>
      <c r="D45" s="214" t="s">
        <v>19</v>
      </c>
      <c r="E45" s="32"/>
      <c r="F45" s="17"/>
      <c r="G45" s="18">
        <f t="shared" si="1"/>
        <v>0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318</v>
      </c>
      <c r="D46" s="214" t="s">
        <v>19</v>
      </c>
      <c r="E46" s="32"/>
      <c r="F46" s="17"/>
      <c r="G46" s="18">
        <f t="shared" si="1"/>
        <v>0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318</v>
      </c>
      <c r="D47" s="214" t="s">
        <v>19</v>
      </c>
      <c r="E47" s="32"/>
      <c r="F47" s="17"/>
      <c r="G47" s="18">
        <f t="shared" si="1"/>
        <v>0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318</v>
      </c>
      <c r="D48" s="214" t="s">
        <v>19</v>
      </c>
      <c r="E48" s="32"/>
      <c r="F48" s="17"/>
      <c r="G48" s="18">
        <f t="shared" si="1"/>
        <v>0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318</v>
      </c>
      <c r="D49" s="214" t="s">
        <v>19</v>
      </c>
      <c r="E49" s="32"/>
      <c r="F49" s="17"/>
      <c r="G49" s="18">
        <f t="shared" si="1"/>
        <v>0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318</v>
      </c>
      <c r="D50" s="237" t="s">
        <v>19</v>
      </c>
      <c r="E50" s="175"/>
      <c r="F50" s="172"/>
      <c r="G50" s="238">
        <f t="shared" si="1"/>
        <v>0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318</v>
      </c>
      <c r="D51" s="214" t="s">
        <v>19</v>
      </c>
      <c r="E51" s="32"/>
      <c r="F51" s="17"/>
      <c r="G51" s="18">
        <f t="shared" si="1"/>
        <v>0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318</v>
      </c>
      <c r="D52" s="214" t="s">
        <v>19</v>
      </c>
      <c r="E52" s="32"/>
      <c r="F52" s="17"/>
      <c r="G52" s="18">
        <f t="shared" si="1"/>
        <v>0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318</v>
      </c>
      <c r="D53" s="214" t="s">
        <v>19</v>
      </c>
      <c r="E53" s="32"/>
      <c r="F53" s="17"/>
      <c r="G53" s="18">
        <f t="shared" si="1"/>
        <v>0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318</v>
      </c>
      <c r="D54" s="214" t="s">
        <v>19</v>
      </c>
      <c r="E54" s="32"/>
      <c r="F54" s="17"/>
      <c r="G54" s="18">
        <f t="shared" si="1"/>
        <v>0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318</v>
      </c>
      <c r="D55" s="214" t="s">
        <v>19</v>
      </c>
      <c r="E55" s="32"/>
      <c r="F55" s="17"/>
      <c r="G55" s="18">
        <f t="shared" si="1"/>
        <v>0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318</v>
      </c>
      <c r="D56" s="214" t="s">
        <v>19</v>
      </c>
      <c r="E56" s="32"/>
      <c r="F56" s="17"/>
      <c r="G56" s="18">
        <f t="shared" si="1"/>
        <v>0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318</v>
      </c>
      <c r="D57" s="214" t="s">
        <v>19</v>
      </c>
      <c r="E57" s="32"/>
      <c r="F57" s="17"/>
      <c r="G57" s="18">
        <f t="shared" si="1"/>
        <v>0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318</v>
      </c>
      <c r="D58" s="214" t="s">
        <v>19</v>
      </c>
      <c r="E58" s="32"/>
      <c r="F58" s="17"/>
      <c r="G58" s="18">
        <f t="shared" si="1"/>
        <v>0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318</v>
      </c>
      <c r="D59" s="214" t="s">
        <v>19</v>
      </c>
      <c r="E59" s="32"/>
      <c r="F59" s="17"/>
      <c r="G59" s="18">
        <f t="shared" si="1"/>
        <v>0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318</v>
      </c>
      <c r="D60" s="214" t="s">
        <v>19</v>
      </c>
      <c r="E60" s="32"/>
      <c r="F60" s="17"/>
      <c r="G60" s="18">
        <f t="shared" si="1"/>
        <v>0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318</v>
      </c>
      <c r="D61" s="214" t="s">
        <v>19</v>
      </c>
      <c r="E61" s="32"/>
      <c r="F61" s="17"/>
      <c r="G61" s="18">
        <f t="shared" si="1"/>
        <v>0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318</v>
      </c>
      <c r="D62" s="214" t="s">
        <v>19</v>
      </c>
      <c r="E62" s="32"/>
      <c r="F62" s="17"/>
      <c r="G62" s="18">
        <f t="shared" si="1"/>
        <v>0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318</v>
      </c>
      <c r="D63" s="214" t="s">
        <v>19</v>
      </c>
      <c r="E63" s="32"/>
      <c r="F63" s="17"/>
      <c r="G63" s="18">
        <f t="shared" si="1"/>
        <v>0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318</v>
      </c>
      <c r="D64" s="214" t="s">
        <v>19</v>
      </c>
      <c r="E64" s="32"/>
      <c r="F64" s="17"/>
      <c r="G64" s="18">
        <f t="shared" si="1"/>
        <v>0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318</v>
      </c>
      <c r="D65" s="214" t="s">
        <v>19</v>
      </c>
      <c r="E65" s="32"/>
      <c r="F65" s="17"/>
      <c r="G65" s="18">
        <f t="shared" si="1"/>
        <v>0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318</v>
      </c>
      <c r="D66" s="214" t="s">
        <v>19</v>
      </c>
      <c r="E66" s="32"/>
      <c r="F66" s="17"/>
      <c r="G66" s="18">
        <f t="shared" si="1"/>
        <v>0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318</v>
      </c>
      <c r="D67" s="214" t="s">
        <v>19</v>
      </c>
      <c r="E67" s="32"/>
      <c r="F67" s="17"/>
      <c r="G67" s="18">
        <f>+G66+E67-F67</f>
        <v>0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318</v>
      </c>
      <c r="D68" s="214" t="s">
        <v>19</v>
      </c>
      <c r="E68" s="32"/>
      <c r="F68" s="17"/>
      <c r="G68" s="18">
        <f>+G67+E68-F68</f>
        <v>0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318</v>
      </c>
      <c r="D69" s="214" t="s">
        <v>19</v>
      </c>
      <c r="E69" s="32"/>
      <c r="F69" s="17"/>
      <c r="G69" s="18">
        <f>+G68+E69-F69</f>
        <v>0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318</v>
      </c>
      <c r="D70" s="214" t="s">
        <v>19</v>
      </c>
      <c r="E70" s="32"/>
      <c r="F70" s="17"/>
      <c r="G70" s="18">
        <f t="shared" si="1"/>
        <v>0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318</v>
      </c>
      <c r="D71" s="214" t="s">
        <v>19</v>
      </c>
      <c r="E71" s="32"/>
      <c r="F71" s="17"/>
      <c r="G71" s="18">
        <f t="shared" si="1"/>
        <v>0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318</v>
      </c>
      <c r="D72" s="214" t="s">
        <v>19</v>
      </c>
      <c r="E72" s="32"/>
      <c r="F72" s="17"/>
      <c r="G72" s="18">
        <f t="shared" si="1"/>
        <v>0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318</v>
      </c>
      <c r="D73" s="214" t="s">
        <v>19</v>
      </c>
      <c r="E73" s="32"/>
      <c r="F73" s="17"/>
      <c r="G73" s="18">
        <f t="shared" si="1"/>
        <v>0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318</v>
      </c>
      <c r="D74" s="214" t="s">
        <v>19</v>
      </c>
      <c r="E74" s="32"/>
      <c r="F74" s="17"/>
      <c r="G74" s="18">
        <f t="shared" ref="G74:G91" si="3">+G73+E74-F74</f>
        <v>0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318</v>
      </c>
      <c r="D75" s="214" t="s">
        <v>19</v>
      </c>
      <c r="E75" s="32"/>
      <c r="F75" s="17"/>
      <c r="G75" s="18">
        <f t="shared" si="3"/>
        <v>0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318</v>
      </c>
      <c r="D76" s="214" t="s">
        <v>19</v>
      </c>
      <c r="E76" s="32"/>
      <c r="F76" s="17"/>
      <c r="G76" s="18">
        <f t="shared" si="3"/>
        <v>0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318</v>
      </c>
      <c r="D77" s="214" t="s">
        <v>19</v>
      </c>
      <c r="E77" s="32"/>
      <c r="F77" s="17"/>
      <c r="G77" s="18">
        <f t="shared" si="3"/>
        <v>0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318</v>
      </c>
      <c r="D78" s="214" t="s">
        <v>19</v>
      </c>
      <c r="E78" s="32"/>
      <c r="F78" s="17"/>
      <c r="G78" s="18">
        <f t="shared" si="3"/>
        <v>0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318</v>
      </c>
      <c r="D79" s="214" t="s">
        <v>19</v>
      </c>
      <c r="E79" s="32"/>
      <c r="F79" s="17"/>
      <c r="G79" s="18">
        <f t="shared" si="3"/>
        <v>0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318</v>
      </c>
      <c r="D80" s="214" t="s">
        <v>19</v>
      </c>
      <c r="E80" s="32"/>
      <c r="F80" s="17"/>
      <c r="G80" s="18">
        <f t="shared" si="3"/>
        <v>0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318</v>
      </c>
      <c r="D81" s="214" t="s">
        <v>19</v>
      </c>
      <c r="E81" s="32"/>
      <c r="F81" s="17"/>
      <c r="G81" s="18">
        <f t="shared" si="3"/>
        <v>0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318</v>
      </c>
      <c r="D82" s="214" t="s">
        <v>19</v>
      </c>
      <c r="E82" s="32"/>
      <c r="F82" s="17"/>
      <c r="G82" s="18">
        <f t="shared" si="3"/>
        <v>0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318</v>
      </c>
      <c r="D83" s="214" t="s">
        <v>19</v>
      </c>
      <c r="E83" s="32"/>
      <c r="F83" s="27"/>
      <c r="G83" s="18">
        <f t="shared" si="3"/>
        <v>0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318</v>
      </c>
      <c r="D84" s="214" t="s">
        <v>19</v>
      </c>
      <c r="E84" s="32"/>
      <c r="F84" s="17"/>
      <c r="G84" s="18">
        <f t="shared" si="3"/>
        <v>0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318</v>
      </c>
      <c r="D85" s="214" t="s">
        <v>19</v>
      </c>
      <c r="E85" s="32"/>
      <c r="F85" s="17"/>
      <c r="G85" s="18">
        <f t="shared" si="3"/>
        <v>0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318</v>
      </c>
      <c r="D86" s="214" t="s">
        <v>19</v>
      </c>
      <c r="E86" s="32"/>
      <c r="F86" s="17"/>
      <c r="G86" s="18">
        <f t="shared" si="3"/>
        <v>0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318</v>
      </c>
      <c r="D87" s="214" t="s">
        <v>19</v>
      </c>
      <c r="E87" s="32"/>
      <c r="F87" s="17"/>
      <c r="G87" s="18">
        <f t="shared" si="3"/>
        <v>0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318</v>
      </c>
      <c r="D88" s="214" t="s">
        <v>19</v>
      </c>
      <c r="E88" s="32"/>
      <c r="F88" s="17"/>
      <c r="G88" s="18">
        <f t="shared" si="3"/>
        <v>0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318</v>
      </c>
      <c r="D89" s="214" t="s">
        <v>19</v>
      </c>
      <c r="E89" s="32"/>
      <c r="F89" s="17"/>
      <c r="G89" s="18">
        <f t="shared" si="3"/>
        <v>0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318</v>
      </c>
      <c r="D90" s="214" t="s">
        <v>19</v>
      </c>
      <c r="E90" s="32"/>
      <c r="F90" s="17"/>
      <c r="G90" s="18">
        <f t="shared" si="3"/>
        <v>0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318</v>
      </c>
      <c r="D91" s="214" t="s">
        <v>19</v>
      </c>
      <c r="E91" s="32"/>
      <c r="F91" s="27"/>
      <c r="G91" s="18">
        <f t="shared" si="3"/>
        <v>0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318</v>
      </c>
      <c r="D92" s="214" t="s">
        <v>19</v>
      </c>
      <c r="E92" s="32"/>
      <c r="F92" s="27"/>
      <c r="G92" s="18">
        <f>+G91+E92-F92</f>
        <v>0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318</v>
      </c>
      <c r="D93" s="244" t="s">
        <v>19</v>
      </c>
      <c r="E93" s="245"/>
      <c r="F93" s="52"/>
      <c r="G93" s="246">
        <f>+G92+E93-F93</f>
        <v>0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318</v>
      </c>
      <c r="D94" s="244" t="s">
        <v>19</v>
      </c>
      <c r="E94" s="245"/>
      <c r="F94" s="52"/>
      <c r="G94" s="246">
        <f t="shared" ref="G94:G106" si="4">+G93+E94-F94</f>
        <v>0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318</v>
      </c>
      <c r="D95" s="244" t="s">
        <v>19</v>
      </c>
      <c r="E95" s="245"/>
      <c r="F95" s="52"/>
      <c r="G95" s="246">
        <f t="shared" si="4"/>
        <v>0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318</v>
      </c>
      <c r="D96" s="244" t="s">
        <v>19</v>
      </c>
      <c r="E96" s="245"/>
      <c r="F96" s="52"/>
      <c r="G96" s="246">
        <f t="shared" si="4"/>
        <v>0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318</v>
      </c>
      <c r="D97" s="244" t="s">
        <v>19</v>
      </c>
      <c r="E97" s="245"/>
      <c r="F97" s="52"/>
      <c r="G97" s="246">
        <f t="shared" si="4"/>
        <v>0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318</v>
      </c>
      <c r="D98" s="244" t="s">
        <v>19</v>
      </c>
      <c r="E98" s="245"/>
      <c r="F98" s="52"/>
      <c r="G98" s="246">
        <f t="shared" si="4"/>
        <v>0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318</v>
      </c>
      <c r="D99" s="244" t="s">
        <v>19</v>
      </c>
      <c r="E99" s="245"/>
      <c r="F99" s="52"/>
      <c r="G99" s="246">
        <f t="shared" si="4"/>
        <v>0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318</v>
      </c>
      <c r="D100" s="244" t="s">
        <v>19</v>
      </c>
      <c r="E100" s="245"/>
      <c r="F100" s="52"/>
      <c r="G100" s="246">
        <f t="shared" si="4"/>
        <v>0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46" t="s">
        <v>318</v>
      </c>
      <c r="D101" s="244"/>
      <c r="E101" s="245"/>
      <c r="F101" s="52"/>
      <c r="G101" s="246">
        <f t="shared" si="4"/>
        <v>0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46" t="s">
        <v>318</v>
      </c>
      <c r="D102" s="244"/>
      <c r="E102" s="245"/>
      <c r="F102" s="52"/>
      <c r="G102" s="246">
        <f t="shared" si="4"/>
        <v>0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0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0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0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0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0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68</v>
      </c>
      <c r="G108" s="35">
        <f>+E108-F108+G8</f>
        <v>0</v>
      </c>
      <c r="H108" s="35"/>
      <c r="I108" s="36"/>
      <c r="J108" s="7">
        <f>SUM(J9:J107)</f>
        <v>0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B107-F559-4688-8471-4172940F5D4C}">
  <sheetPr codeName="Sheet96"/>
  <dimension ref="A1:Q119"/>
  <sheetViews>
    <sheetView workbookViewId="0">
      <selection activeCell="B12" sqref="B12"/>
    </sheetView>
  </sheetViews>
  <sheetFormatPr defaultRowHeight="15" x14ac:dyDescent="0.25"/>
  <cols>
    <col min="1" max="1" width="6" customWidth="1"/>
    <col min="2" max="2" width="11.5703125" customWidth="1"/>
    <col min="3" max="3" width="37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6451</v>
      </c>
      <c r="H8" s="7"/>
      <c r="I8" s="7"/>
      <c r="J8" s="7"/>
      <c r="K8" s="7"/>
    </row>
    <row r="9" spans="1:13" ht="17.25" customHeight="1" x14ac:dyDescent="0.25">
      <c r="A9" s="14">
        <v>1</v>
      </c>
      <c r="B9" s="8">
        <v>45771</v>
      </c>
      <c r="C9" s="46" t="s">
        <v>345</v>
      </c>
      <c r="D9" s="214" t="s">
        <v>19</v>
      </c>
      <c r="E9" s="30"/>
      <c r="F9" s="27">
        <v>2424</v>
      </c>
      <c r="G9" s="18">
        <f>+G8+E9-F9</f>
        <v>4027</v>
      </c>
      <c r="H9" s="28" t="s">
        <v>91</v>
      </c>
      <c r="I9" s="7" t="s">
        <v>90</v>
      </c>
      <c r="J9" s="7">
        <v>11</v>
      </c>
      <c r="K9" s="7"/>
      <c r="L9">
        <f>362.5+401.5+338.5+348.5</f>
        <v>1451</v>
      </c>
      <c r="M9">
        <f>+K9-L9</f>
        <v>-1451</v>
      </c>
    </row>
    <row r="10" spans="1:13" ht="17.25" customHeight="1" x14ac:dyDescent="0.25">
      <c r="A10" s="14">
        <f t="shared" ref="A10:A73" si="0">+A9+1</f>
        <v>2</v>
      </c>
      <c r="B10" s="8">
        <v>45881</v>
      </c>
      <c r="C10" s="46" t="s">
        <v>345</v>
      </c>
      <c r="D10" s="214" t="s">
        <v>19</v>
      </c>
      <c r="E10" s="11"/>
      <c r="F10" s="27">
        <v>610</v>
      </c>
      <c r="G10" s="18">
        <f t="shared" ref="G10:G73" si="1">+G9+E10-F10</f>
        <v>3417</v>
      </c>
      <c r="H10" s="28" t="s">
        <v>140</v>
      </c>
      <c r="I10" s="7" t="s">
        <v>90</v>
      </c>
      <c r="J10" s="7"/>
      <c r="K10" s="7"/>
      <c r="L10">
        <f>1151+1093</f>
        <v>2244</v>
      </c>
    </row>
    <row r="11" spans="1:13" ht="18" customHeight="1" x14ac:dyDescent="0.25">
      <c r="A11" s="14">
        <f t="shared" si="0"/>
        <v>3</v>
      </c>
      <c r="B11" s="8">
        <v>45881</v>
      </c>
      <c r="C11" s="46"/>
      <c r="D11" s="214" t="s">
        <v>19</v>
      </c>
      <c r="E11" s="16"/>
      <c r="F11" s="27">
        <v>630</v>
      </c>
      <c r="G11" s="18">
        <f t="shared" si="1"/>
        <v>2787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/>
      <c r="C12" s="46"/>
      <c r="D12" s="214" t="s">
        <v>19</v>
      </c>
      <c r="E12" s="16"/>
      <c r="F12" s="17"/>
      <c r="G12" s="18">
        <f t="shared" si="1"/>
        <v>2787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0"/>
        <v>5</v>
      </c>
      <c r="B13" s="205"/>
      <c r="C13" s="46"/>
      <c r="D13" s="214" t="s">
        <v>19</v>
      </c>
      <c r="E13" s="16"/>
      <c r="F13" s="17"/>
      <c r="G13" s="18">
        <f t="shared" si="1"/>
        <v>2787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8"/>
      <c r="C14" s="46"/>
      <c r="D14" s="214" t="s">
        <v>19</v>
      </c>
      <c r="E14" s="16"/>
      <c r="F14" s="27"/>
      <c r="G14" s="18">
        <f t="shared" si="1"/>
        <v>2787</v>
      </c>
      <c r="H14" s="28" t="s">
        <v>91</v>
      </c>
      <c r="I14" s="7" t="s">
        <v>90</v>
      </c>
      <c r="J14" s="7"/>
      <c r="K14" s="7"/>
    </row>
    <row r="15" spans="1:13" ht="18" customHeight="1" x14ac:dyDescent="0.25">
      <c r="A15" s="14">
        <f t="shared" si="0"/>
        <v>7</v>
      </c>
      <c r="B15" s="8"/>
      <c r="C15" s="46"/>
      <c r="D15" s="214" t="s">
        <v>19</v>
      </c>
      <c r="E15" s="16"/>
      <c r="F15" s="27"/>
      <c r="G15" s="18">
        <f t="shared" si="1"/>
        <v>2787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/>
      <c r="C16" s="46"/>
      <c r="D16" s="214" t="s">
        <v>19</v>
      </c>
      <c r="E16" s="16"/>
      <c r="F16" s="27"/>
      <c r="G16" s="18">
        <f t="shared" si="1"/>
        <v>2787</v>
      </c>
      <c r="H16" s="28" t="s">
        <v>91</v>
      </c>
      <c r="I16" s="7" t="s">
        <v>90</v>
      </c>
      <c r="J16" s="7"/>
      <c r="K16" s="7"/>
    </row>
    <row r="17" spans="1:15" ht="18" customHeight="1" x14ac:dyDescent="0.25">
      <c r="A17" s="14">
        <f t="shared" si="0"/>
        <v>9</v>
      </c>
      <c r="B17" s="8"/>
      <c r="C17" s="46"/>
      <c r="D17" s="214" t="s">
        <v>19</v>
      </c>
      <c r="E17" s="30"/>
      <c r="F17" s="27"/>
      <c r="G17" s="18">
        <f t="shared" si="1"/>
        <v>2787</v>
      </c>
      <c r="H17" s="28" t="s">
        <v>91</v>
      </c>
      <c r="I17" s="7" t="s">
        <v>90</v>
      </c>
      <c r="J17" s="7"/>
      <c r="K17" s="7"/>
    </row>
    <row r="18" spans="1:15" s="230" customFormat="1" ht="18" customHeight="1" x14ac:dyDescent="0.25">
      <c r="A18" s="223">
        <f>+A17+1</f>
        <v>10</v>
      </c>
      <c r="B18" s="224"/>
      <c r="C18" s="46"/>
      <c r="D18" s="226" t="s">
        <v>19</v>
      </c>
      <c r="E18" s="227"/>
      <c r="F18" s="228"/>
      <c r="G18" s="229">
        <f t="shared" si="1"/>
        <v>2787</v>
      </c>
      <c r="H18" s="28" t="s">
        <v>91</v>
      </c>
      <c r="I18" s="7" t="s">
        <v>90</v>
      </c>
      <c r="J18" s="348"/>
      <c r="K18" s="348"/>
      <c r="O18" s="230">
        <f>627+616+621+601+571+553+550+569+565+586</f>
        <v>5859</v>
      </c>
    </row>
    <row r="19" spans="1:15" s="230" customFormat="1" ht="18" customHeight="1" x14ac:dyDescent="0.25">
      <c r="A19" s="223">
        <f t="shared" si="0"/>
        <v>11</v>
      </c>
      <c r="B19" s="224"/>
      <c r="C19" s="46"/>
      <c r="D19" s="226" t="s">
        <v>19</v>
      </c>
      <c r="E19" s="231"/>
      <c r="F19" s="228"/>
      <c r="G19" s="229">
        <f t="shared" si="1"/>
        <v>2787</v>
      </c>
      <c r="H19" s="28" t="s">
        <v>91</v>
      </c>
      <c r="I19" s="7" t="s">
        <v>90</v>
      </c>
      <c r="J19" s="348"/>
      <c r="K19" s="348"/>
    </row>
    <row r="20" spans="1:15" ht="18" customHeight="1" x14ac:dyDescent="0.25">
      <c r="A20" s="14">
        <f t="shared" si="0"/>
        <v>12</v>
      </c>
      <c r="B20" s="8"/>
      <c r="C20" s="46"/>
      <c r="D20" s="214" t="s">
        <v>19</v>
      </c>
      <c r="E20" s="32"/>
      <c r="F20" s="17"/>
      <c r="G20" s="18">
        <f t="shared" si="1"/>
        <v>2787</v>
      </c>
      <c r="H20" s="28" t="s">
        <v>91</v>
      </c>
      <c r="I20" s="7" t="s">
        <v>90</v>
      </c>
      <c r="J20" s="7"/>
      <c r="K20" s="7"/>
      <c r="N20" s="26"/>
    </row>
    <row r="21" spans="1:15" ht="18" customHeight="1" x14ac:dyDescent="0.25">
      <c r="A21" s="14">
        <f t="shared" si="0"/>
        <v>13</v>
      </c>
      <c r="B21" s="8"/>
      <c r="C21" s="46"/>
      <c r="D21" s="214" t="s">
        <v>19</v>
      </c>
      <c r="E21" s="32"/>
      <c r="F21" s="27"/>
      <c r="G21" s="18">
        <f t="shared" si="1"/>
        <v>2787</v>
      </c>
      <c r="H21" s="28" t="s">
        <v>91</v>
      </c>
      <c r="I21" s="7" t="s">
        <v>90</v>
      </c>
      <c r="J21" s="7"/>
      <c r="K21" s="7"/>
    </row>
    <row r="22" spans="1:15" ht="18" customHeight="1" x14ac:dyDescent="0.25">
      <c r="A22" s="14">
        <f t="shared" si="0"/>
        <v>14</v>
      </c>
      <c r="B22" s="232"/>
      <c r="C22" s="46"/>
      <c r="D22" s="234" t="s">
        <v>19</v>
      </c>
      <c r="E22" s="235"/>
      <c r="F22" s="172"/>
      <c r="G22" s="18">
        <f t="shared" si="1"/>
        <v>2787</v>
      </c>
      <c r="H22" s="28" t="s">
        <v>129</v>
      </c>
      <c r="I22" s="7" t="s">
        <v>90</v>
      </c>
      <c r="J22" s="7"/>
      <c r="K22" s="7"/>
    </row>
    <row r="23" spans="1:15" ht="18" customHeight="1" x14ac:dyDescent="0.25">
      <c r="A23" s="14">
        <f t="shared" si="0"/>
        <v>15</v>
      </c>
      <c r="B23" s="8"/>
      <c r="C23" s="46"/>
      <c r="D23" s="214" t="s">
        <v>19</v>
      </c>
      <c r="E23" s="32"/>
      <c r="F23" s="17"/>
      <c r="G23" s="18">
        <f t="shared" si="1"/>
        <v>2787</v>
      </c>
      <c r="H23" s="28" t="s">
        <v>129</v>
      </c>
      <c r="I23" s="7" t="s">
        <v>142</v>
      </c>
      <c r="J23" s="7"/>
      <c r="K23" s="7"/>
    </row>
    <row r="24" spans="1:15" ht="18" customHeight="1" x14ac:dyDescent="0.25">
      <c r="A24" s="14">
        <f t="shared" si="0"/>
        <v>16</v>
      </c>
      <c r="B24" s="8"/>
      <c r="C24" s="46"/>
      <c r="D24" s="214" t="s">
        <v>19</v>
      </c>
      <c r="E24" s="32"/>
      <c r="F24" s="17"/>
      <c r="G24" s="18">
        <f t="shared" si="1"/>
        <v>2787</v>
      </c>
      <c r="H24" s="28" t="s">
        <v>91</v>
      </c>
      <c r="I24" s="7" t="s">
        <v>90</v>
      </c>
      <c r="J24" s="7"/>
      <c r="K24" s="7"/>
    </row>
    <row r="25" spans="1:15" ht="18" customHeight="1" x14ac:dyDescent="0.25">
      <c r="A25" s="14">
        <f t="shared" si="0"/>
        <v>17</v>
      </c>
      <c r="B25" s="8"/>
      <c r="C25" s="46"/>
      <c r="D25" s="214" t="s">
        <v>19</v>
      </c>
      <c r="E25" s="32"/>
      <c r="F25" s="17"/>
      <c r="G25" s="18">
        <f t="shared" si="1"/>
        <v>2787</v>
      </c>
      <c r="H25" s="28" t="s">
        <v>91</v>
      </c>
      <c r="I25" s="7" t="s">
        <v>90</v>
      </c>
      <c r="J25" s="7"/>
      <c r="K25" s="7"/>
    </row>
    <row r="26" spans="1:15" ht="18" customHeight="1" x14ac:dyDescent="0.25">
      <c r="A26" s="14">
        <f t="shared" si="0"/>
        <v>18</v>
      </c>
      <c r="B26" s="8"/>
      <c r="C26" s="46"/>
      <c r="D26" s="214" t="s">
        <v>19</v>
      </c>
      <c r="E26" s="32"/>
      <c r="F26" s="17"/>
      <c r="G26" s="18">
        <f t="shared" si="1"/>
        <v>2787</v>
      </c>
      <c r="H26" s="28" t="s">
        <v>91</v>
      </c>
      <c r="I26" s="7" t="s">
        <v>90</v>
      </c>
      <c r="J26" s="7"/>
      <c r="K26" s="7"/>
      <c r="N26" s="26">
        <f>6451+'Phôi   AN HÒA.K2850.DL17,gộp'!F29</f>
        <v>6451</v>
      </c>
    </row>
    <row r="27" spans="1:15" ht="18" customHeight="1" x14ac:dyDescent="0.25">
      <c r="A27" s="14">
        <f>+A26+1</f>
        <v>19</v>
      </c>
      <c r="B27" s="8"/>
      <c r="C27" s="46"/>
      <c r="D27" s="214" t="s">
        <v>19</v>
      </c>
      <c r="E27" s="32"/>
      <c r="F27" s="17"/>
      <c r="G27" s="18">
        <f t="shared" si="1"/>
        <v>2787</v>
      </c>
      <c r="H27" s="28" t="s">
        <v>91</v>
      </c>
      <c r="I27" s="7" t="s">
        <v>90</v>
      </c>
      <c r="J27" s="7"/>
      <c r="K27" s="7"/>
    </row>
    <row r="28" spans="1:15" ht="18" customHeight="1" x14ac:dyDescent="0.25">
      <c r="A28" s="14">
        <f t="shared" si="0"/>
        <v>20</v>
      </c>
      <c r="B28" s="8"/>
      <c r="C28" s="46"/>
      <c r="D28" s="214" t="s">
        <v>19</v>
      </c>
      <c r="E28" s="129"/>
      <c r="F28" s="17"/>
      <c r="G28" s="18">
        <f t="shared" si="1"/>
        <v>2787</v>
      </c>
      <c r="H28" s="28" t="s">
        <v>91</v>
      </c>
      <c r="I28" s="7" t="s">
        <v>90</v>
      </c>
      <c r="J28" s="7"/>
      <c r="K28" s="7"/>
      <c r="O28">
        <f>4-1.2</f>
        <v>2.8</v>
      </c>
    </row>
    <row r="29" spans="1:15" ht="18" customHeight="1" x14ac:dyDescent="0.25">
      <c r="A29" s="14">
        <f t="shared" si="0"/>
        <v>21</v>
      </c>
      <c r="B29" s="8"/>
      <c r="C29" s="46"/>
      <c r="D29" s="214" t="s">
        <v>19</v>
      </c>
      <c r="E29" s="32"/>
      <c r="F29" s="172"/>
      <c r="G29" s="18">
        <f t="shared" si="1"/>
        <v>2787</v>
      </c>
      <c r="H29" s="28" t="s">
        <v>91</v>
      </c>
      <c r="I29" s="7" t="s">
        <v>90</v>
      </c>
      <c r="J29" s="7"/>
      <c r="K29" s="7"/>
      <c r="O29" t="s">
        <v>306</v>
      </c>
    </row>
    <row r="30" spans="1:15" ht="18" customHeight="1" x14ac:dyDescent="0.25">
      <c r="A30" s="14">
        <f t="shared" si="0"/>
        <v>22</v>
      </c>
      <c r="B30" s="8"/>
      <c r="C30" s="46"/>
      <c r="D30" s="214" t="s">
        <v>19</v>
      </c>
      <c r="E30" s="32"/>
      <c r="F30" s="17"/>
      <c r="G30" s="18">
        <f t="shared" si="1"/>
        <v>2787</v>
      </c>
      <c r="H30" s="28" t="s">
        <v>91</v>
      </c>
      <c r="I30" s="7" t="s">
        <v>90</v>
      </c>
      <c r="J30" s="7"/>
      <c r="K30" s="7"/>
    </row>
    <row r="31" spans="1:15" ht="18" customHeight="1" x14ac:dyDescent="0.25">
      <c r="A31" s="14">
        <f t="shared" si="0"/>
        <v>23</v>
      </c>
      <c r="B31" s="8"/>
      <c r="C31" s="46"/>
      <c r="D31" s="214" t="s">
        <v>19</v>
      </c>
      <c r="E31" s="32"/>
      <c r="F31" s="17"/>
      <c r="G31" s="18">
        <f t="shared" si="1"/>
        <v>2787</v>
      </c>
      <c r="H31" s="28" t="s">
        <v>91</v>
      </c>
      <c r="I31" s="7" t="s">
        <v>90</v>
      </c>
      <c r="J31" s="7"/>
      <c r="K31" s="7"/>
    </row>
    <row r="32" spans="1:15" ht="17.25" customHeight="1" x14ac:dyDescent="0.25">
      <c r="A32" s="14">
        <f t="shared" si="0"/>
        <v>24</v>
      </c>
      <c r="B32" s="8"/>
      <c r="C32" s="46"/>
      <c r="D32" s="214" t="s">
        <v>19</v>
      </c>
      <c r="E32" s="13"/>
      <c r="F32" s="17"/>
      <c r="G32" s="18">
        <f t="shared" si="1"/>
        <v>2787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/>
      <c r="D33" s="214" t="s">
        <v>19</v>
      </c>
      <c r="E33" s="13"/>
      <c r="F33" s="17"/>
      <c r="G33" s="18">
        <f t="shared" si="1"/>
        <v>2787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/>
      <c r="D34" s="214" t="s">
        <v>19</v>
      </c>
      <c r="E34" s="32"/>
      <c r="F34" s="40"/>
      <c r="G34" s="18">
        <f t="shared" si="1"/>
        <v>2787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/>
      <c r="D35" s="214" t="s">
        <v>19</v>
      </c>
      <c r="E35" s="32"/>
      <c r="F35" s="40"/>
      <c r="G35" s="18">
        <f t="shared" si="1"/>
        <v>2787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/>
      <c r="D36" s="214" t="s">
        <v>19</v>
      </c>
      <c r="E36" s="32"/>
      <c r="F36" s="40"/>
      <c r="G36" s="18">
        <f t="shared" si="1"/>
        <v>2787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/>
      <c r="D37" s="214" t="s">
        <v>19</v>
      </c>
      <c r="E37" s="32"/>
      <c r="F37" s="17"/>
      <c r="G37" s="18">
        <f t="shared" si="1"/>
        <v>2787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/>
      <c r="D38" s="214" t="s">
        <v>19</v>
      </c>
      <c r="E38" s="32"/>
      <c r="F38" s="17"/>
      <c r="G38" s="18">
        <f t="shared" si="1"/>
        <v>2787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/>
      <c r="D39" s="214" t="s">
        <v>19</v>
      </c>
      <c r="E39" s="32"/>
      <c r="F39" s="17"/>
      <c r="G39" s="18">
        <f t="shared" si="1"/>
        <v>2787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/>
      <c r="D40" s="214" t="s">
        <v>19</v>
      </c>
      <c r="E40" s="32"/>
      <c r="F40" s="17"/>
      <c r="G40" s="18">
        <f t="shared" si="1"/>
        <v>2787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/>
      <c r="D41" s="214" t="s">
        <v>19</v>
      </c>
      <c r="E41" s="32"/>
      <c r="F41" s="172"/>
      <c r="G41" s="18">
        <f t="shared" si="1"/>
        <v>2787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/>
      <c r="D42" s="214" t="s">
        <v>19</v>
      </c>
      <c r="E42" s="32"/>
      <c r="F42" s="17"/>
      <c r="G42" s="18">
        <f t="shared" si="1"/>
        <v>2787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/>
      <c r="D43" s="214" t="s">
        <v>19</v>
      </c>
      <c r="E43" s="32"/>
      <c r="F43" s="17"/>
      <c r="G43" s="18">
        <f t="shared" si="1"/>
        <v>2787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/>
      <c r="D44" s="214" t="s">
        <v>19</v>
      </c>
      <c r="E44" s="32"/>
      <c r="F44" s="17"/>
      <c r="G44" s="18">
        <f t="shared" si="1"/>
        <v>2787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/>
      <c r="D45" s="214" t="s">
        <v>19</v>
      </c>
      <c r="E45" s="32"/>
      <c r="F45" s="17"/>
      <c r="G45" s="18">
        <f t="shared" si="1"/>
        <v>2787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/>
      <c r="D46" s="214" t="s">
        <v>19</v>
      </c>
      <c r="E46" s="32"/>
      <c r="F46" s="17"/>
      <c r="G46" s="18">
        <f t="shared" si="1"/>
        <v>2787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/>
      <c r="D47" s="214" t="s">
        <v>19</v>
      </c>
      <c r="E47" s="32"/>
      <c r="F47" s="17"/>
      <c r="G47" s="18">
        <f t="shared" si="1"/>
        <v>2787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/>
      <c r="D48" s="214" t="s">
        <v>19</v>
      </c>
      <c r="E48" s="32"/>
      <c r="F48" s="17"/>
      <c r="G48" s="18">
        <f t="shared" si="1"/>
        <v>2787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/>
      <c r="D49" s="214" t="s">
        <v>19</v>
      </c>
      <c r="E49" s="32"/>
      <c r="F49" s="17"/>
      <c r="G49" s="18">
        <f t="shared" si="1"/>
        <v>2787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/>
      <c r="D50" s="237" t="s">
        <v>19</v>
      </c>
      <c r="E50" s="175"/>
      <c r="F50" s="172"/>
      <c r="G50" s="238">
        <f t="shared" si="1"/>
        <v>2787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/>
      <c r="D51" s="214" t="s">
        <v>19</v>
      </c>
      <c r="E51" s="32"/>
      <c r="F51" s="17"/>
      <c r="G51" s="18">
        <f t="shared" si="1"/>
        <v>2787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/>
      <c r="D52" s="214" t="s">
        <v>19</v>
      </c>
      <c r="E52" s="32"/>
      <c r="F52" s="17"/>
      <c r="G52" s="18">
        <f t="shared" si="1"/>
        <v>2787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/>
      <c r="D53" s="214" t="s">
        <v>19</v>
      </c>
      <c r="E53" s="32"/>
      <c r="F53" s="17"/>
      <c r="G53" s="18">
        <f t="shared" si="1"/>
        <v>2787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/>
      <c r="D54" s="214" t="s">
        <v>19</v>
      </c>
      <c r="E54" s="32"/>
      <c r="F54" s="17"/>
      <c r="G54" s="18">
        <f t="shared" si="1"/>
        <v>2787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/>
      <c r="D55" s="214" t="s">
        <v>19</v>
      </c>
      <c r="E55" s="32"/>
      <c r="F55" s="17"/>
      <c r="G55" s="18">
        <f t="shared" si="1"/>
        <v>2787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/>
      <c r="D56" s="214" t="s">
        <v>19</v>
      </c>
      <c r="E56" s="32"/>
      <c r="F56" s="17"/>
      <c r="G56" s="18">
        <f t="shared" si="1"/>
        <v>2787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/>
      <c r="D57" s="214" t="s">
        <v>19</v>
      </c>
      <c r="E57" s="32"/>
      <c r="F57" s="17"/>
      <c r="G57" s="18">
        <f t="shared" si="1"/>
        <v>2787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/>
      <c r="D58" s="214" t="s">
        <v>19</v>
      </c>
      <c r="E58" s="32"/>
      <c r="F58" s="17"/>
      <c r="G58" s="18">
        <f t="shared" si="1"/>
        <v>2787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/>
      <c r="D59" s="214" t="s">
        <v>19</v>
      </c>
      <c r="E59" s="32"/>
      <c r="F59" s="17"/>
      <c r="G59" s="18">
        <f t="shared" si="1"/>
        <v>2787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/>
      <c r="D60" s="214" t="s">
        <v>19</v>
      </c>
      <c r="E60" s="32"/>
      <c r="F60" s="17"/>
      <c r="G60" s="18">
        <f t="shared" si="1"/>
        <v>2787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/>
      <c r="D61" s="214" t="s">
        <v>19</v>
      </c>
      <c r="E61" s="32"/>
      <c r="F61" s="17"/>
      <c r="G61" s="18">
        <f t="shared" si="1"/>
        <v>2787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/>
      <c r="D62" s="214" t="s">
        <v>19</v>
      </c>
      <c r="E62" s="32"/>
      <c r="F62" s="17"/>
      <c r="G62" s="18">
        <f t="shared" si="1"/>
        <v>2787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/>
      <c r="D63" s="214" t="s">
        <v>19</v>
      </c>
      <c r="E63" s="32"/>
      <c r="F63" s="17"/>
      <c r="G63" s="18">
        <f t="shared" si="1"/>
        <v>2787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/>
      <c r="D64" s="214" t="s">
        <v>19</v>
      </c>
      <c r="E64" s="32"/>
      <c r="F64" s="17"/>
      <c r="G64" s="18">
        <f t="shared" si="1"/>
        <v>2787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/>
      <c r="D65" s="214" t="s">
        <v>19</v>
      </c>
      <c r="E65" s="32"/>
      <c r="F65" s="17"/>
      <c r="G65" s="18">
        <f t="shared" si="1"/>
        <v>2787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/>
      <c r="D66" s="214" t="s">
        <v>19</v>
      </c>
      <c r="E66" s="32"/>
      <c r="F66" s="17"/>
      <c r="G66" s="18">
        <f t="shared" si="1"/>
        <v>2787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/>
      <c r="D67" s="214" t="s">
        <v>19</v>
      </c>
      <c r="E67" s="32"/>
      <c r="F67" s="17"/>
      <c r="G67" s="18">
        <f>+G66+E67-F67</f>
        <v>2787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/>
      <c r="D68" s="214" t="s">
        <v>19</v>
      </c>
      <c r="E68" s="32"/>
      <c r="F68" s="17"/>
      <c r="G68" s="18">
        <f>+G67+E68-F68</f>
        <v>2787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/>
      <c r="D69" s="214" t="s">
        <v>19</v>
      </c>
      <c r="E69" s="32"/>
      <c r="F69" s="17"/>
      <c r="G69" s="18">
        <f>+G68+E69-F69</f>
        <v>2787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/>
      <c r="D70" s="214" t="s">
        <v>19</v>
      </c>
      <c r="E70" s="32"/>
      <c r="F70" s="17"/>
      <c r="G70" s="18">
        <f t="shared" si="1"/>
        <v>2787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/>
      <c r="D71" s="214" t="s">
        <v>19</v>
      </c>
      <c r="E71" s="32"/>
      <c r="F71" s="17"/>
      <c r="G71" s="18">
        <f t="shared" si="1"/>
        <v>2787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/>
      <c r="D72" s="214" t="s">
        <v>19</v>
      </c>
      <c r="E72" s="32"/>
      <c r="F72" s="17"/>
      <c r="G72" s="18">
        <f t="shared" si="1"/>
        <v>2787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/>
      <c r="D73" s="214" t="s">
        <v>19</v>
      </c>
      <c r="E73" s="32"/>
      <c r="F73" s="17"/>
      <c r="G73" s="18">
        <f t="shared" si="1"/>
        <v>2787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/>
      <c r="D74" s="214" t="s">
        <v>19</v>
      </c>
      <c r="E74" s="32"/>
      <c r="F74" s="17"/>
      <c r="G74" s="18">
        <f t="shared" ref="G74:G91" si="3">+G73+E74-F74</f>
        <v>2787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/>
      <c r="D75" s="214" t="s">
        <v>19</v>
      </c>
      <c r="E75" s="32"/>
      <c r="F75" s="17"/>
      <c r="G75" s="18">
        <f t="shared" si="3"/>
        <v>2787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/>
      <c r="D76" s="214" t="s">
        <v>19</v>
      </c>
      <c r="E76" s="32"/>
      <c r="F76" s="17"/>
      <c r="G76" s="18">
        <f t="shared" si="3"/>
        <v>2787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/>
      <c r="D77" s="214" t="s">
        <v>19</v>
      </c>
      <c r="E77" s="32"/>
      <c r="F77" s="17"/>
      <c r="G77" s="18">
        <f t="shared" si="3"/>
        <v>2787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/>
      <c r="D78" s="214" t="s">
        <v>19</v>
      </c>
      <c r="E78" s="32"/>
      <c r="F78" s="17"/>
      <c r="G78" s="18">
        <f t="shared" si="3"/>
        <v>2787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/>
      <c r="D79" s="214" t="s">
        <v>19</v>
      </c>
      <c r="E79" s="32"/>
      <c r="F79" s="17"/>
      <c r="G79" s="18">
        <f t="shared" si="3"/>
        <v>2787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/>
      <c r="D80" s="214" t="s">
        <v>19</v>
      </c>
      <c r="E80" s="32"/>
      <c r="F80" s="17"/>
      <c r="G80" s="18">
        <f t="shared" si="3"/>
        <v>2787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/>
      <c r="D81" s="214" t="s">
        <v>19</v>
      </c>
      <c r="E81" s="32"/>
      <c r="F81" s="17"/>
      <c r="G81" s="18">
        <f t="shared" si="3"/>
        <v>2787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/>
      <c r="D82" s="214" t="s">
        <v>19</v>
      </c>
      <c r="E82" s="32"/>
      <c r="F82" s="17"/>
      <c r="G82" s="18">
        <f t="shared" si="3"/>
        <v>2787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/>
      <c r="D83" s="214" t="s">
        <v>19</v>
      </c>
      <c r="E83" s="32"/>
      <c r="F83" s="27"/>
      <c r="G83" s="18">
        <f t="shared" si="3"/>
        <v>2787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/>
      <c r="D84" s="214" t="s">
        <v>19</v>
      </c>
      <c r="E84" s="32"/>
      <c r="F84" s="17"/>
      <c r="G84" s="18">
        <f t="shared" si="3"/>
        <v>2787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/>
      <c r="D85" s="214" t="s">
        <v>19</v>
      </c>
      <c r="E85" s="32"/>
      <c r="F85" s="17"/>
      <c r="G85" s="18">
        <f t="shared" si="3"/>
        <v>2787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/>
      <c r="D86" s="214" t="s">
        <v>19</v>
      </c>
      <c r="E86" s="32"/>
      <c r="F86" s="17"/>
      <c r="G86" s="18">
        <f t="shared" si="3"/>
        <v>2787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/>
      <c r="D87" s="214" t="s">
        <v>19</v>
      </c>
      <c r="E87" s="32"/>
      <c r="F87" s="17"/>
      <c r="G87" s="18">
        <f t="shared" si="3"/>
        <v>2787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/>
      <c r="D88" s="214" t="s">
        <v>19</v>
      </c>
      <c r="E88" s="32"/>
      <c r="F88" s="17"/>
      <c r="G88" s="18">
        <f t="shared" si="3"/>
        <v>2787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/>
      <c r="D89" s="214" t="s">
        <v>19</v>
      </c>
      <c r="E89" s="32"/>
      <c r="F89" s="17"/>
      <c r="G89" s="18">
        <f t="shared" si="3"/>
        <v>2787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/>
      <c r="D90" s="214" t="s">
        <v>19</v>
      </c>
      <c r="E90" s="32"/>
      <c r="F90" s="17"/>
      <c r="G90" s="18">
        <f t="shared" si="3"/>
        <v>2787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/>
      <c r="D91" s="214" t="s">
        <v>19</v>
      </c>
      <c r="E91" s="32"/>
      <c r="F91" s="27"/>
      <c r="G91" s="18">
        <f t="shared" si="3"/>
        <v>2787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/>
      <c r="D92" s="214" t="s">
        <v>19</v>
      </c>
      <c r="E92" s="32"/>
      <c r="F92" s="27"/>
      <c r="G92" s="18">
        <f>+G91+E92-F92</f>
        <v>2787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/>
      <c r="D93" s="244" t="s">
        <v>19</v>
      </c>
      <c r="E93" s="245"/>
      <c r="F93" s="52"/>
      <c r="G93" s="246">
        <f>+G92+E93-F93</f>
        <v>2787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/>
      <c r="D94" s="244" t="s">
        <v>19</v>
      </c>
      <c r="E94" s="245"/>
      <c r="F94" s="52"/>
      <c r="G94" s="246">
        <f t="shared" ref="G94:G106" si="4">+G93+E94-F94</f>
        <v>2787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/>
      <c r="D95" s="244" t="s">
        <v>19</v>
      </c>
      <c r="E95" s="245"/>
      <c r="F95" s="52"/>
      <c r="G95" s="246">
        <f t="shared" si="4"/>
        <v>2787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/>
      <c r="D96" s="244" t="s">
        <v>19</v>
      </c>
      <c r="E96" s="245"/>
      <c r="F96" s="52"/>
      <c r="G96" s="246">
        <f t="shared" si="4"/>
        <v>2787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/>
      <c r="D97" s="244" t="s">
        <v>19</v>
      </c>
      <c r="E97" s="245"/>
      <c r="F97" s="52"/>
      <c r="G97" s="246">
        <f t="shared" si="4"/>
        <v>2787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/>
      <c r="D98" s="244" t="s">
        <v>19</v>
      </c>
      <c r="E98" s="245"/>
      <c r="F98" s="52"/>
      <c r="G98" s="246">
        <f t="shared" si="4"/>
        <v>2787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/>
      <c r="D99" s="244" t="s">
        <v>19</v>
      </c>
      <c r="E99" s="245"/>
      <c r="F99" s="52"/>
      <c r="G99" s="246">
        <f t="shared" si="4"/>
        <v>2787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/>
      <c r="D100" s="244" t="s">
        <v>19</v>
      </c>
      <c r="E100" s="245"/>
      <c r="F100" s="52"/>
      <c r="G100" s="246">
        <f t="shared" si="4"/>
        <v>2787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46"/>
      <c r="D101" s="244"/>
      <c r="E101" s="245"/>
      <c r="F101" s="52"/>
      <c r="G101" s="246">
        <f t="shared" si="4"/>
        <v>2787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46"/>
      <c r="D102" s="244"/>
      <c r="E102" s="245"/>
      <c r="F102" s="52"/>
      <c r="G102" s="246">
        <f t="shared" si="4"/>
        <v>2787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2787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2787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2787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2787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2787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3664</v>
      </c>
      <c r="G108" s="35">
        <f>+E108-F108+G8</f>
        <v>2787</v>
      </c>
      <c r="H108" s="35"/>
      <c r="I108" s="36"/>
      <c r="J108" s="7">
        <f>SUM(J9:J107)</f>
        <v>11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  <c r="G119" s="26">
        <f>+G106+'Phôi   AN HÒA.K2850.DL17,gộp'!G112</f>
        <v>50379.8</v>
      </c>
    </row>
  </sheetData>
  <mergeCells count="1">
    <mergeCell ref="A4:I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337-4B41-4B89-A8DA-14612DCC2ACE}">
  <sheetPr codeName="Sheet97"/>
  <dimension ref="A1:Q124"/>
  <sheetViews>
    <sheetView topLeftCell="A4" workbookViewId="0">
      <selection activeCell="E28" sqref="E28"/>
    </sheetView>
  </sheetViews>
  <sheetFormatPr defaultRowHeight="15" x14ac:dyDescent="0.25"/>
  <cols>
    <col min="1" max="1" width="6" customWidth="1"/>
    <col min="2" max="2" width="11.5703125" customWidth="1"/>
    <col min="3" max="3" width="41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1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1" x14ac:dyDescent="0.25">
      <c r="A6" t="s">
        <v>162</v>
      </c>
    </row>
    <row r="7" spans="1:11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1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f>6385+6451</f>
        <v>12836</v>
      </c>
      <c r="H8" s="7"/>
      <c r="I8" s="7"/>
      <c r="J8" s="7"/>
      <c r="K8" s="7"/>
    </row>
    <row r="9" spans="1:11" ht="17.25" customHeight="1" x14ac:dyDescent="0.25">
      <c r="A9" s="14">
        <v>1</v>
      </c>
      <c r="B9" s="8">
        <v>45719</v>
      </c>
      <c r="C9" s="46" t="s">
        <v>346</v>
      </c>
      <c r="D9" s="214" t="s">
        <v>19</v>
      </c>
      <c r="E9" s="30"/>
      <c r="F9" s="27">
        <v>1160</v>
      </c>
      <c r="G9" s="18">
        <f>+G8+E9-F9</f>
        <v>11676</v>
      </c>
      <c r="H9" s="28" t="s">
        <v>91</v>
      </c>
      <c r="I9" s="7" t="s">
        <v>90</v>
      </c>
      <c r="J9" s="7">
        <v>11</v>
      </c>
      <c r="K9" s="7"/>
    </row>
    <row r="10" spans="1:11" ht="17.25" customHeight="1" x14ac:dyDescent="0.25">
      <c r="A10" s="14">
        <v>2</v>
      </c>
      <c r="B10" s="8">
        <v>45771</v>
      </c>
      <c r="C10" s="46"/>
      <c r="D10" s="214"/>
      <c r="E10" s="30"/>
      <c r="F10" s="27">
        <v>2424</v>
      </c>
      <c r="G10" s="18">
        <f t="shared" ref="G10:G77" si="0">+G9+E10-F10</f>
        <v>9252</v>
      </c>
      <c r="H10" s="28"/>
      <c r="I10" s="7"/>
      <c r="J10" s="7"/>
      <c r="K10" s="7"/>
    </row>
    <row r="11" spans="1:11" ht="17.25" customHeight="1" x14ac:dyDescent="0.25">
      <c r="A11" s="14">
        <v>3</v>
      </c>
      <c r="B11" s="8">
        <v>45818</v>
      </c>
      <c r="C11" s="46" t="s">
        <v>346</v>
      </c>
      <c r="D11" s="214" t="s">
        <v>19</v>
      </c>
      <c r="E11" s="11"/>
      <c r="F11" s="27">
        <v>1196</v>
      </c>
      <c r="G11" s="18">
        <f t="shared" si="0"/>
        <v>8056</v>
      </c>
      <c r="H11" s="28" t="s">
        <v>140</v>
      </c>
      <c r="I11" s="7" t="s">
        <v>90</v>
      </c>
      <c r="J11" s="7"/>
      <c r="K11" s="7"/>
    </row>
    <row r="12" spans="1:11" ht="18" customHeight="1" x14ac:dyDescent="0.25">
      <c r="A12" s="14">
        <v>4</v>
      </c>
      <c r="B12" s="8">
        <v>45821</v>
      </c>
      <c r="C12" s="46"/>
      <c r="D12" s="214" t="s">
        <v>19</v>
      </c>
      <c r="E12" s="16">
        <v>6768</v>
      </c>
      <c r="F12" s="27"/>
      <c r="G12" s="18">
        <f t="shared" si="0"/>
        <v>14824</v>
      </c>
      <c r="H12" s="28" t="s">
        <v>91</v>
      </c>
      <c r="I12" s="7" t="s">
        <v>90</v>
      </c>
      <c r="J12" s="140">
        <v>11</v>
      </c>
      <c r="K12" s="7"/>
    </row>
    <row r="13" spans="1:11" ht="18" customHeight="1" x14ac:dyDescent="0.25">
      <c r="A13" s="14">
        <v>5</v>
      </c>
      <c r="B13" s="8">
        <v>45825</v>
      </c>
      <c r="C13" s="46"/>
      <c r="D13" s="214" t="s">
        <v>19</v>
      </c>
      <c r="E13" s="16"/>
      <c r="F13" s="17">
        <v>1103</v>
      </c>
      <c r="G13" s="18">
        <f t="shared" si="0"/>
        <v>13721</v>
      </c>
      <c r="H13" s="28" t="s">
        <v>91</v>
      </c>
      <c r="I13" s="7" t="s">
        <v>90</v>
      </c>
      <c r="J13" s="140"/>
      <c r="K13" s="7" t="s">
        <v>147</v>
      </c>
    </row>
    <row r="14" spans="1:11" ht="18" customHeight="1" x14ac:dyDescent="0.25">
      <c r="A14" s="14">
        <v>6</v>
      </c>
      <c r="B14" s="205">
        <v>45825</v>
      </c>
      <c r="C14" s="46" t="s">
        <v>407</v>
      </c>
      <c r="D14" s="214" t="s">
        <v>19</v>
      </c>
      <c r="E14" s="16">
        <v>551.20000000000005</v>
      </c>
      <c r="F14" s="17"/>
      <c r="G14" s="18">
        <f t="shared" si="0"/>
        <v>14272.2</v>
      </c>
      <c r="H14" s="28" t="s">
        <v>91</v>
      </c>
      <c r="I14" s="7" t="s">
        <v>90</v>
      </c>
      <c r="J14" s="140"/>
      <c r="K14" s="7"/>
    </row>
    <row r="15" spans="1:11" ht="18" customHeight="1" x14ac:dyDescent="0.25">
      <c r="A15" s="14">
        <v>7</v>
      </c>
      <c r="B15" s="205">
        <v>45825</v>
      </c>
      <c r="C15" s="46" t="s">
        <v>407</v>
      </c>
      <c r="D15" s="214" t="s">
        <v>19</v>
      </c>
      <c r="E15" s="16">
        <f>555.6-2</f>
        <v>553.6</v>
      </c>
      <c r="F15" s="27"/>
      <c r="G15" s="18">
        <f t="shared" si="0"/>
        <v>14825.800000000001</v>
      </c>
      <c r="H15" s="28" t="s">
        <v>91</v>
      </c>
      <c r="I15" s="7" t="s">
        <v>90</v>
      </c>
      <c r="J15" s="7"/>
      <c r="K15" s="7"/>
    </row>
    <row r="16" spans="1:11" ht="18" customHeight="1" x14ac:dyDescent="0.25">
      <c r="A16" s="14">
        <v>8</v>
      </c>
      <c r="B16" s="8">
        <v>45838</v>
      </c>
      <c r="C16" s="46"/>
      <c r="D16" s="214" t="s">
        <v>19</v>
      </c>
      <c r="E16" s="16">
        <v>13311</v>
      </c>
      <c r="F16" s="27"/>
      <c r="G16" s="18">
        <f t="shared" si="0"/>
        <v>28136.800000000003</v>
      </c>
      <c r="H16" s="28" t="s">
        <v>91</v>
      </c>
      <c r="I16" s="7" t="s">
        <v>90</v>
      </c>
      <c r="J16" s="140"/>
      <c r="K16" s="7"/>
    </row>
    <row r="17" spans="1:14" ht="18" customHeight="1" x14ac:dyDescent="0.25">
      <c r="A17" s="14">
        <v>9</v>
      </c>
      <c r="B17" s="8">
        <v>45846</v>
      </c>
      <c r="C17" s="46"/>
      <c r="D17" s="214"/>
      <c r="E17" s="16"/>
      <c r="F17" s="27">
        <v>551</v>
      </c>
      <c r="G17" s="18">
        <f t="shared" si="0"/>
        <v>27585.800000000003</v>
      </c>
      <c r="H17" s="28"/>
      <c r="I17" s="7"/>
      <c r="J17" s="140"/>
      <c r="K17" s="7"/>
    </row>
    <row r="18" spans="1:14" ht="18" customHeight="1" x14ac:dyDescent="0.25">
      <c r="A18" s="14">
        <v>10</v>
      </c>
      <c r="B18" s="8">
        <v>45874</v>
      </c>
      <c r="C18" s="46"/>
      <c r="D18" s="214" t="s">
        <v>19</v>
      </c>
      <c r="E18" s="16"/>
      <c r="F18" s="27">
        <v>606</v>
      </c>
      <c r="G18" s="18">
        <f t="shared" si="0"/>
        <v>26979.800000000003</v>
      </c>
      <c r="H18" s="28" t="s">
        <v>91</v>
      </c>
      <c r="I18" s="7" t="s">
        <v>90</v>
      </c>
      <c r="J18" s="7"/>
      <c r="K18" s="7"/>
    </row>
    <row r="19" spans="1:14" ht="18" customHeight="1" x14ac:dyDescent="0.25">
      <c r="A19" s="14">
        <v>11</v>
      </c>
      <c r="B19" s="8">
        <v>45877</v>
      </c>
      <c r="C19" s="46"/>
      <c r="D19" s="214"/>
      <c r="E19" s="16"/>
      <c r="F19" s="27">
        <v>613</v>
      </c>
      <c r="G19" s="18">
        <f t="shared" si="0"/>
        <v>26366.800000000003</v>
      </c>
      <c r="H19" s="28"/>
      <c r="I19" s="7"/>
      <c r="J19" s="7"/>
      <c r="K19" s="7"/>
    </row>
    <row r="20" spans="1:14" ht="18" customHeight="1" x14ac:dyDescent="0.25">
      <c r="A20" s="14">
        <v>12</v>
      </c>
      <c r="B20" s="8">
        <v>45880</v>
      </c>
      <c r="C20" s="46"/>
      <c r="D20" s="214" t="s">
        <v>19</v>
      </c>
      <c r="E20" s="30"/>
      <c r="F20" s="31">
        <v>594</v>
      </c>
      <c r="G20" s="18">
        <f t="shared" si="0"/>
        <v>25772.800000000003</v>
      </c>
      <c r="H20" s="28" t="s">
        <v>91</v>
      </c>
      <c r="I20" s="7" t="s">
        <v>90</v>
      </c>
      <c r="J20" s="7"/>
      <c r="K20" s="7"/>
    </row>
    <row r="21" spans="1:14" s="230" customFormat="1" ht="18" customHeight="1" x14ac:dyDescent="0.25">
      <c r="A21" s="14">
        <v>13</v>
      </c>
      <c r="B21" s="224">
        <v>45880</v>
      </c>
      <c r="C21" s="46"/>
      <c r="D21" s="226" t="s">
        <v>19</v>
      </c>
      <c r="E21" s="227"/>
      <c r="F21" s="431">
        <v>621</v>
      </c>
      <c r="G21" s="18">
        <f t="shared" si="0"/>
        <v>25151.800000000003</v>
      </c>
      <c r="H21" s="28" t="s">
        <v>91</v>
      </c>
      <c r="I21" s="7" t="s">
        <v>90</v>
      </c>
      <c r="J21" s="348"/>
      <c r="K21" s="348"/>
    </row>
    <row r="22" spans="1:14" s="230" customFormat="1" ht="18" customHeight="1" x14ac:dyDescent="0.25">
      <c r="A22" s="14">
        <v>14</v>
      </c>
      <c r="B22" s="224">
        <v>45881</v>
      </c>
      <c r="C22" s="46"/>
      <c r="D22" s="226"/>
      <c r="E22" s="227"/>
      <c r="F22" s="431">
        <v>610</v>
      </c>
      <c r="G22" s="18">
        <f t="shared" si="0"/>
        <v>24541.800000000003</v>
      </c>
      <c r="H22" s="28"/>
      <c r="I22" s="7"/>
      <c r="J22" s="348"/>
      <c r="K22" s="348"/>
    </row>
    <row r="23" spans="1:14" s="230" customFormat="1" ht="18" customHeight="1" x14ac:dyDescent="0.25">
      <c r="A23" s="14">
        <v>15</v>
      </c>
      <c r="B23" s="224">
        <v>45882</v>
      </c>
      <c r="C23" s="46"/>
      <c r="D23" s="226"/>
      <c r="E23" s="227"/>
      <c r="F23" s="431">
        <v>630</v>
      </c>
      <c r="G23" s="18">
        <f t="shared" si="0"/>
        <v>23911.800000000003</v>
      </c>
      <c r="H23" s="28"/>
      <c r="I23" s="7"/>
      <c r="J23" s="348"/>
      <c r="K23" s="348"/>
    </row>
    <row r="24" spans="1:14" s="230" customFormat="1" ht="18" customHeight="1" x14ac:dyDescent="0.25">
      <c r="A24" s="14">
        <v>16</v>
      </c>
      <c r="B24" s="224">
        <v>45912</v>
      </c>
      <c r="C24" s="46"/>
      <c r="D24" s="226" t="s">
        <v>19</v>
      </c>
      <c r="E24" s="231">
        <v>13461</v>
      </c>
      <c r="F24" s="228"/>
      <c r="G24" s="18">
        <f t="shared" si="0"/>
        <v>37372.800000000003</v>
      </c>
      <c r="H24" s="28" t="s">
        <v>91</v>
      </c>
      <c r="I24" s="7" t="s">
        <v>90</v>
      </c>
      <c r="J24" s="348"/>
      <c r="K24" s="348"/>
      <c r="M24" s="430"/>
    </row>
    <row r="25" spans="1:14" ht="18" customHeight="1" x14ac:dyDescent="0.25">
      <c r="A25" s="14">
        <v>17</v>
      </c>
      <c r="B25" s="8">
        <v>45919</v>
      </c>
      <c r="C25" s="46"/>
      <c r="D25" s="214" t="s">
        <v>19</v>
      </c>
      <c r="E25" s="32"/>
      <c r="F25" s="17">
        <v>1136</v>
      </c>
      <c r="G25" s="18">
        <f t="shared" si="0"/>
        <v>36236.800000000003</v>
      </c>
      <c r="H25" s="28" t="s">
        <v>91</v>
      </c>
      <c r="I25" s="7" t="s">
        <v>90</v>
      </c>
      <c r="J25" s="7"/>
      <c r="K25" s="7"/>
      <c r="N25" s="26">
        <f>23914-23911.4</f>
        <v>2.5999999999985448</v>
      </c>
    </row>
    <row r="26" spans="1:14" ht="18" customHeight="1" x14ac:dyDescent="0.25">
      <c r="A26" s="14">
        <v>18</v>
      </c>
      <c r="B26" s="8">
        <v>45922</v>
      </c>
      <c r="C26" s="46"/>
      <c r="D26" s="214" t="s">
        <v>19</v>
      </c>
      <c r="E26" s="32"/>
      <c r="F26" s="27">
        <v>1183</v>
      </c>
      <c r="G26" s="18">
        <f t="shared" si="0"/>
        <v>35053.800000000003</v>
      </c>
      <c r="H26" s="28" t="s">
        <v>91</v>
      </c>
      <c r="I26" s="7" t="s">
        <v>90</v>
      </c>
      <c r="J26" s="7"/>
      <c r="K26" s="7"/>
      <c r="N26" s="26"/>
    </row>
    <row r="27" spans="1:14" ht="18" customHeight="1" x14ac:dyDescent="0.25">
      <c r="A27" s="14">
        <v>19</v>
      </c>
      <c r="B27" s="232">
        <v>45934</v>
      </c>
      <c r="C27" s="46"/>
      <c r="D27" s="234" t="s">
        <v>19</v>
      </c>
      <c r="E27" s="235">
        <v>12539</v>
      </c>
      <c r="F27" s="172"/>
      <c r="G27" s="18">
        <f t="shared" si="0"/>
        <v>47592.800000000003</v>
      </c>
      <c r="H27" s="28" t="s">
        <v>129</v>
      </c>
      <c r="I27" s="7" t="s">
        <v>90</v>
      </c>
      <c r="J27" s="7"/>
      <c r="K27" s="7"/>
      <c r="M27" s="26"/>
    </row>
    <row r="28" spans="1:14" ht="18" customHeight="1" x14ac:dyDescent="0.25">
      <c r="A28" s="14">
        <v>20</v>
      </c>
      <c r="B28" s="8"/>
      <c r="C28" s="46"/>
      <c r="D28" s="214" t="s">
        <v>19</v>
      </c>
      <c r="E28" s="32"/>
      <c r="F28" s="17"/>
      <c r="G28" s="18">
        <f t="shared" si="0"/>
        <v>47592.800000000003</v>
      </c>
      <c r="H28" s="28" t="s">
        <v>129</v>
      </c>
      <c r="I28" s="7" t="s">
        <v>142</v>
      </c>
      <c r="J28" s="7"/>
      <c r="K28" s="7"/>
    </row>
    <row r="29" spans="1:14" ht="18" customHeight="1" x14ac:dyDescent="0.25">
      <c r="A29" s="14">
        <v>21</v>
      </c>
      <c r="B29" s="8"/>
      <c r="C29" s="46"/>
      <c r="D29" s="214" t="s">
        <v>19</v>
      </c>
      <c r="E29" s="32"/>
      <c r="F29" s="17"/>
      <c r="G29" s="18">
        <f t="shared" si="0"/>
        <v>47592.800000000003</v>
      </c>
      <c r="H29" s="28" t="s">
        <v>91</v>
      </c>
      <c r="I29" s="7" t="s">
        <v>90</v>
      </c>
      <c r="J29" s="7"/>
      <c r="K29" s="7"/>
    </row>
    <row r="30" spans="1:14" ht="18" customHeight="1" x14ac:dyDescent="0.25">
      <c r="A30" s="14">
        <v>22</v>
      </c>
      <c r="B30" s="8"/>
      <c r="C30" s="46"/>
      <c r="D30" s="214" t="s">
        <v>19</v>
      </c>
      <c r="E30" s="32"/>
      <c r="F30" s="17"/>
      <c r="G30" s="18">
        <f t="shared" si="0"/>
        <v>47592.800000000003</v>
      </c>
      <c r="H30" s="28" t="s">
        <v>91</v>
      </c>
      <c r="I30" s="7" t="s">
        <v>90</v>
      </c>
      <c r="J30" s="7"/>
      <c r="K30" s="7"/>
    </row>
    <row r="31" spans="1:14" ht="18" customHeight="1" x14ac:dyDescent="0.25">
      <c r="A31" s="14">
        <v>23</v>
      </c>
      <c r="B31" s="8"/>
      <c r="C31" s="46"/>
      <c r="D31" s="214" t="s">
        <v>19</v>
      </c>
      <c r="E31" s="32"/>
      <c r="F31" s="17"/>
      <c r="G31" s="18">
        <f t="shared" si="0"/>
        <v>47592.800000000003</v>
      </c>
      <c r="H31" s="28" t="s">
        <v>91</v>
      </c>
      <c r="I31" s="7" t="s">
        <v>90</v>
      </c>
      <c r="J31" s="7"/>
      <c r="K31" s="7"/>
    </row>
    <row r="32" spans="1:14" ht="18" customHeight="1" x14ac:dyDescent="0.25">
      <c r="A32" s="14">
        <v>24</v>
      </c>
      <c r="B32" s="8"/>
      <c r="C32" s="46"/>
      <c r="D32" s="214" t="s">
        <v>19</v>
      </c>
      <c r="E32" s="32"/>
      <c r="F32" s="17"/>
      <c r="G32" s="18">
        <f t="shared" si="0"/>
        <v>47592.800000000003</v>
      </c>
      <c r="H32" s="28" t="s">
        <v>91</v>
      </c>
      <c r="I32" s="7" t="s">
        <v>90</v>
      </c>
      <c r="J32" s="7"/>
      <c r="K32" s="7"/>
    </row>
    <row r="33" spans="1:16" ht="18" customHeight="1" x14ac:dyDescent="0.25">
      <c r="A33" s="14">
        <v>25</v>
      </c>
      <c r="B33" s="8"/>
      <c r="C33" s="46"/>
      <c r="D33" s="214" t="s">
        <v>19</v>
      </c>
      <c r="E33" s="129"/>
      <c r="F33" s="17"/>
      <c r="G33" s="18">
        <f t="shared" si="0"/>
        <v>47592.800000000003</v>
      </c>
      <c r="H33" s="28" t="s">
        <v>91</v>
      </c>
      <c r="I33" s="7" t="s">
        <v>90</v>
      </c>
      <c r="J33" s="7"/>
      <c r="K33" s="7"/>
    </row>
    <row r="34" spans="1:16" ht="18" customHeight="1" x14ac:dyDescent="0.25">
      <c r="A34" s="14">
        <v>26</v>
      </c>
      <c r="B34" s="8"/>
      <c r="C34" s="46"/>
      <c r="D34" s="214" t="s">
        <v>19</v>
      </c>
      <c r="E34" s="32"/>
      <c r="F34" s="172"/>
      <c r="G34" s="18">
        <f t="shared" si="0"/>
        <v>47592.800000000003</v>
      </c>
      <c r="H34" s="28" t="s">
        <v>91</v>
      </c>
      <c r="I34" s="7" t="s">
        <v>90</v>
      </c>
      <c r="J34" s="7"/>
      <c r="K34" s="7"/>
    </row>
    <row r="35" spans="1:16" ht="18" customHeight="1" x14ac:dyDescent="0.25">
      <c r="A35" s="14">
        <v>27</v>
      </c>
      <c r="B35" s="8"/>
      <c r="C35" s="46"/>
      <c r="D35" s="214" t="s">
        <v>19</v>
      </c>
      <c r="E35" s="32"/>
      <c r="F35" s="17"/>
      <c r="G35" s="18">
        <f t="shared" si="0"/>
        <v>47592.800000000003</v>
      </c>
      <c r="H35" s="28" t="s">
        <v>91</v>
      </c>
      <c r="I35" s="7" t="s">
        <v>90</v>
      </c>
      <c r="J35" s="7"/>
      <c r="K35" s="7"/>
    </row>
    <row r="36" spans="1:16" ht="18" customHeight="1" x14ac:dyDescent="0.25">
      <c r="A36" s="14">
        <v>28</v>
      </c>
      <c r="B36" s="8"/>
      <c r="C36" s="46"/>
      <c r="D36" s="214" t="s">
        <v>19</v>
      </c>
      <c r="E36" s="32"/>
      <c r="F36" s="17"/>
      <c r="G36" s="18">
        <f t="shared" si="0"/>
        <v>47592.800000000003</v>
      </c>
      <c r="H36" s="28" t="s">
        <v>91</v>
      </c>
      <c r="I36" s="7" t="s">
        <v>90</v>
      </c>
      <c r="J36" s="7"/>
      <c r="K36" s="7"/>
      <c r="M36" s="399"/>
    </row>
    <row r="37" spans="1:16" ht="17.25" customHeight="1" x14ac:dyDescent="0.25">
      <c r="A37" s="14">
        <v>29</v>
      </c>
      <c r="B37" s="8"/>
      <c r="C37" s="46"/>
      <c r="D37" s="214" t="s">
        <v>19</v>
      </c>
      <c r="E37" s="13"/>
      <c r="F37" s="17"/>
      <c r="G37" s="18">
        <f t="shared" si="0"/>
        <v>47592.800000000003</v>
      </c>
      <c r="H37" s="28" t="s">
        <v>91</v>
      </c>
      <c r="I37" s="7" t="s">
        <v>90</v>
      </c>
      <c r="J37" s="7"/>
      <c r="K37" s="7"/>
    </row>
    <row r="38" spans="1:16" ht="17.25" customHeight="1" x14ac:dyDescent="0.25">
      <c r="A38" s="14">
        <v>30</v>
      </c>
      <c r="B38" s="44"/>
      <c r="C38" s="46"/>
      <c r="D38" s="214" t="s">
        <v>19</v>
      </c>
      <c r="E38" s="13"/>
      <c r="F38" s="17"/>
      <c r="G38" s="18">
        <f t="shared" si="0"/>
        <v>47592.800000000003</v>
      </c>
      <c r="H38" s="178"/>
      <c r="I38" s="7"/>
      <c r="J38" s="7"/>
      <c r="K38" s="7"/>
    </row>
    <row r="39" spans="1:16" ht="18" customHeight="1" x14ac:dyDescent="0.25">
      <c r="A39" s="14">
        <v>31</v>
      </c>
      <c r="B39" s="8"/>
      <c r="C39" s="46"/>
      <c r="D39" s="214" t="s">
        <v>19</v>
      </c>
      <c r="E39" s="32"/>
      <c r="F39" s="40"/>
      <c r="G39" s="18">
        <f t="shared" si="0"/>
        <v>47592.800000000003</v>
      </c>
      <c r="H39" s="178"/>
      <c r="I39" s="7"/>
      <c r="J39" s="7"/>
      <c r="K39" s="7"/>
    </row>
    <row r="40" spans="1:16" ht="18" customHeight="1" x14ac:dyDescent="0.25">
      <c r="A40" s="14">
        <v>32</v>
      </c>
      <c r="B40" s="45"/>
      <c r="C40" s="46"/>
      <c r="D40" s="214" t="s">
        <v>19</v>
      </c>
      <c r="E40" s="32"/>
      <c r="F40" s="40"/>
      <c r="G40" s="18">
        <f t="shared" si="0"/>
        <v>47592.800000000003</v>
      </c>
      <c r="H40" s="178"/>
      <c r="I40" s="7"/>
      <c r="J40" s="7"/>
      <c r="K40" s="7"/>
    </row>
    <row r="41" spans="1:16" ht="18" customHeight="1" x14ac:dyDescent="0.25">
      <c r="A41" s="14">
        <v>33</v>
      </c>
      <c r="B41" s="8"/>
      <c r="C41" s="46"/>
      <c r="D41" s="214" t="s">
        <v>19</v>
      </c>
      <c r="E41" s="32"/>
      <c r="F41" s="40"/>
      <c r="G41" s="18">
        <f t="shared" si="0"/>
        <v>47592.800000000003</v>
      </c>
      <c r="H41" s="178"/>
      <c r="I41" s="7"/>
      <c r="J41" s="7"/>
      <c r="K41" s="7"/>
    </row>
    <row r="42" spans="1:16" ht="18" customHeight="1" x14ac:dyDescent="0.25">
      <c r="A42" s="14">
        <v>34</v>
      </c>
      <c r="B42" s="8"/>
      <c r="C42" s="46"/>
      <c r="D42" s="214" t="s">
        <v>19</v>
      </c>
      <c r="E42" s="32"/>
      <c r="F42" s="17"/>
      <c r="G42" s="18">
        <f t="shared" si="0"/>
        <v>47592.800000000003</v>
      </c>
      <c r="H42" s="178"/>
      <c r="I42" s="7"/>
      <c r="J42" s="7"/>
      <c r="K42" s="7"/>
    </row>
    <row r="43" spans="1:16" ht="18" customHeight="1" x14ac:dyDescent="0.25">
      <c r="A43" s="14">
        <v>35</v>
      </c>
      <c r="B43" s="8"/>
      <c r="C43" s="46"/>
      <c r="D43" s="214" t="s">
        <v>19</v>
      </c>
      <c r="E43" s="32"/>
      <c r="F43" s="17"/>
      <c r="G43" s="18">
        <f t="shared" si="0"/>
        <v>47592.800000000003</v>
      </c>
      <c r="H43" s="178"/>
      <c r="I43" s="7"/>
      <c r="J43" s="7"/>
      <c r="K43" s="7"/>
    </row>
    <row r="44" spans="1:16" ht="18" customHeight="1" x14ac:dyDescent="0.25">
      <c r="A44" s="14">
        <v>36</v>
      </c>
      <c r="B44" s="8"/>
      <c r="C44" s="46"/>
      <c r="D44" s="214" t="s">
        <v>19</v>
      </c>
      <c r="E44" s="32"/>
      <c r="F44" s="17"/>
      <c r="G44" s="18">
        <f t="shared" si="0"/>
        <v>47592.800000000003</v>
      </c>
      <c r="H44" s="178"/>
      <c r="I44" s="7"/>
      <c r="J44" s="7"/>
      <c r="K44" s="7"/>
    </row>
    <row r="45" spans="1:16" ht="18" customHeight="1" x14ac:dyDescent="0.25">
      <c r="A45" s="14">
        <v>37</v>
      </c>
      <c r="B45" s="8"/>
      <c r="C45" s="46"/>
      <c r="D45" s="214" t="s">
        <v>19</v>
      </c>
      <c r="E45" s="32"/>
      <c r="F45" s="17"/>
      <c r="G45" s="18">
        <f t="shared" si="0"/>
        <v>47592.800000000003</v>
      </c>
      <c r="H45" s="178"/>
      <c r="I45" s="7"/>
      <c r="J45" s="7"/>
      <c r="K45" s="7"/>
    </row>
    <row r="46" spans="1:16" ht="18" customHeight="1" x14ac:dyDescent="0.25">
      <c r="A46" s="14">
        <v>38</v>
      </c>
      <c r="B46" s="8"/>
      <c r="C46" s="46"/>
      <c r="D46" s="214" t="s">
        <v>19</v>
      </c>
      <c r="E46" s="32"/>
      <c r="F46" s="172"/>
      <c r="G46" s="18">
        <f t="shared" si="0"/>
        <v>47592.800000000003</v>
      </c>
      <c r="H46" s="178"/>
      <c r="I46" s="7"/>
      <c r="J46" s="7"/>
      <c r="K46" s="7"/>
      <c r="P46" s="162"/>
    </row>
    <row r="47" spans="1:16" ht="18" customHeight="1" x14ac:dyDescent="0.25">
      <c r="A47" s="14">
        <v>39</v>
      </c>
      <c r="B47" s="8"/>
      <c r="C47" s="46"/>
      <c r="D47" s="214" t="s">
        <v>19</v>
      </c>
      <c r="E47" s="32"/>
      <c r="F47" s="17"/>
      <c r="G47" s="18">
        <f t="shared" si="0"/>
        <v>47592.800000000003</v>
      </c>
      <c r="H47" s="178"/>
      <c r="I47" s="7"/>
      <c r="J47" s="7"/>
      <c r="K47" s="7"/>
    </row>
    <row r="48" spans="1:16" ht="18" customHeight="1" x14ac:dyDescent="0.25">
      <c r="A48" s="14">
        <v>40</v>
      </c>
      <c r="B48" s="8"/>
      <c r="C48" s="46"/>
      <c r="D48" s="214" t="s">
        <v>19</v>
      </c>
      <c r="E48" s="32"/>
      <c r="F48" s="17"/>
      <c r="G48" s="18">
        <f t="shared" si="0"/>
        <v>47592.800000000003</v>
      </c>
      <c r="H48" s="178"/>
      <c r="I48" s="7"/>
      <c r="J48" s="7"/>
      <c r="K48" s="7"/>
    </row>
    <row r="49" spans="1:16" ht="18" customHeight="1" x14ac:dyDescent="0.25">
      <c r="A49" s="14">
        <v>41</v>
      </c>
      <c r="B49" s="8"/>
      <c r="C49" s="46"/>
      <c r="D49" s="214" t="s">
        <v>19</v>
      </c>
      <c r="E49" s="32"/>
      <c r="F49" s="17"/>
      <c r="G49" s="18">
        <f t="shared" si="0"/>
        <v>47592.800000000003</v>
      </c>
      <c r="H49" s="178"/>
      <c r="I49" s="7"/>
      <c r="J49" s="7"/>
      <c r="K49" s="7"/>
    </row>
    <row r="50" spans="1:16" ht="18" customHeight="1" x14ac:dyDescent="0.25">
      <c r="A50" s="14">
        <v>42</v>
      </c>
      <c r="B50" s="8"/>
      <c r="C50" s="46"/>
      <c r="D50" s="214" t="s">
        <v>19</v>
      </c>
      <c r="E50" s="32"/>
      <c r="F50" s="17"/>
      <c r="G50" s="18">
        <f t="shared" si="0"/>
        <v>47592.800000000003</v>
      </c>
      <c r="H50" s="178"/>
      <c r="I50" s="29"/>
      <c r="J50" s="7"/>
      <c r="K50" s="7"/>
    </row>
    <row r="51" spans="1:16" ht="18" customHeight="1" x14ac:dyDescent="0.25">
      <c r="A51" s="14">
        <v>43</v>
      </c>
      <c r="B51" s="8"/>
      <c r="C51" s="46"/>
      <c r="D51" s="214" t="s">
        <v>19</v>
      </c>
      <c r="E51" s="32"/>
      <c r="F51" s="17"/>
      <c r="G51" s="18">
        <f t="shared" si="0"/>
        <v>47592.800000000003</v>
      </c>
      <c r="H51" s="178"/>
      <c r="I51" s="29"/>
      <c r="J51" s="7"/>
      <c r="K51" s="7"/>
    </row>
    <row r="52" spans="1:16" ht="18" customHeight="1" x14ac:dyDescent="0.25">
      <c r="A52" s="14">
        <v>44</v>
      </c>
      <c r="B52" s="8"/>
      <c r="C52" s="46"/>
      <c r="D52" s="214" t="s">
        <v>19</v>
      </c>
      <c r="E52" s="32"/>
      <c r="F52" s="17"/>
      <c r="G52" s="18">
        <f t="shared" si="0"/>
        <v>47592.800000000003</v>
      </c>
      <c r="H52" s="178"/>
      <c r="I52" s="29"/>
      <c r="J52" s="7"/>
      <c r="K52" s="7"/>
    </row>
    <row r="53" spans="1:16" ht="18" customHeight="1" x14ac:dyDescent="0.25">
      <c r="A53" s="14">
        <v>45</v>
      </c>
      <c r="B53" s="8"/>
      <c r="C53" s="46"/>
      <c r="D53" s="214" t="s">
        <v>19</v>
      </c>
      <c r="E53" s="32"/>
      <c r="F53" s="17"/>
      <c r="G53" s="18">
        <f t="shared" si="0"/>
        <v>47592.800000000003</v>
      </c>
      <c r="H53" s="178"/>
      <c r="I53" s="29"/>
      <c r="J53" s="7"/>
      <c r="K53" s="7"/>
    </row>
    <row r="54" spans="1:16" ht="18" customHeight="1" x14ac:dyDescent="0.25">
      <c r="A54" s="14">
        <v>46</v>
      </c>
      <c r="B54" s="8"/>
      <c r="C54" s="46"/>
      <c r="D54" s="214" t="s">
        <v>19</v>
      </c>
      <c r="E54" s="32"/>
      <c r="F54" s="17"/>
      <c r="G54" s="18">
        <f t="shared" si="0"/>
        <v>47592.800000000003</v>
      </c>
      <c r="H54" s="178"/>
      <c r="I54" s="7"/>
      <c r="J54" s="7"/>
      <c r="K54" s="7"/>
    </row>
    <row r="55" spans="1:16" s="162" customFormat="1" ht="18" customHeight="1" x14ac:dyDescent="0.25">
      <c r="A55" s="14">
        <v>47</v>
      </c>
      <c r="B55" s="174"/>
      <c r="C55" s="46"/>
      <c r="D55" s="237" t="s">
        <v>19</v>
      </c>
      <c r="E55" s="175"/>
      <c r="F55" s="172"/>
      <c r="G55" s="18">
        <f t="shared" si="0"/>
        <v>47592.800000000003</v>
      </c>
      <c r="H55" s="178"/>
      <c r="I55" s="7"/>
      <c r="J55" s="271"/>
      <c r="K55" s="271"/>
      <c r="P55"/>
    </row>
    <row r="56" spans="1:16" ht="18" customHeight="1" x14ac:dyDescent="0.25">
      <c r="A56" s="14">
        <v>48</v>
      </c>
      <c r="B56" s="8"/>
      <c r="C56" s="46"/>
      <c r="D56" s="214" t="s">
        <v>19</v>
      </c>
      <c r="E56" s="32"/>
      <c r="F56" s="17"/>
      <c r="G56" s="18">
        <f t="shared" si="0"/>
        <v>47592.800000000003</v>
      </c>
      <c r="H56" s="239"/>
      <c r="I56" s="7"/>
      <c r="J56" s="7"/>
      <c r="K56" s="7"/>
    </row>
    <row r="57" spans="1:16" ht="18" customHeight="1" x14ac:dyDescent="0.25">
      <c r="A57" s="14">
        <v>49</v>
      </c>
      <c r="B57" s="8"/>
      <c r="C57" s="46"/>
      <c r="D57" s="214" t="s">
        <v>19</v>
      </c>
      <c r="E57" s="32"/>
      <c r="F57" s="17"/>
      <c r="G57" s="18">
        <f t="shared" si="0"/>
        <v>47592.800000000003</v>
      </c>
      <c r="H57" s="239"/>
      <c r="I57" s="7"/>
      <c r="J57" s="7"/>
      <c r="K57" s="7"/>
    </row>
    <row r="58" spans="1:16" ht="18" customHeight="1" x14ac:dyDescent="0.25">
      <c r="A58" s="14">
        <v>50</v>
      </c>
      <c r="B58" s="8"/>
      <c r="C58" s="46"/>
      <c r="D58" s="214" t="s">
        <v>19</v>
      </c>
      <c r="E58" s="32"/>
      <c r="F58" s="17"/>
      <c r="G58" s="18">
        <f t="shared" si="0"/>
        <v>47592.800000000003</v>
      </c>
      <c r="H58" s="239"/>
      <c r="I58" s="7"/>
      <c r="J58" s="7"/>
      <c r="K58" s="7"/>
    </row>
    <row r="59" spans="1:16" ht="18" customHeight="1" x14ac:dyDescent="0.25">
      <c r="A59" s="14">
        <v>51</v>
      </c>
      <c r="B59" s="8"/>
      <c r="C59" s="46"/>
      <c r="D59" s="214" t="s">
        <v>19</v>
      </c>
      <c r="E59" s="32"/>
      <c r="F59" s="17"/>
      <c r="G59" s="18">
        <f t="shared" si="0"/>
        <v>47592.800000000003</v>
      </c>
      <c r="H59" s="28"/>
      <c r="I59" s="7"/>
      <c r="J59" s="7"/>
      <c r="K59" s="7"/>
    </row>
    <row r="60" spans="1:16" ht="18" customHeight="1" x14ac:dyDescent="0.25">
      <c r="A60" s="14">
        <v>52</v>
      </c>
      <c r="B60" s="8"/>
      <c r="C60" s="46"/>
      <c r="D60" s="214" t="s">
        <v>19</v>
      </c>
      <c r="E60" s="32"/>
      <c r="F60" s="17"/>
      <c r="G60" s="18">
        <f t="shared" si="0"/>
        <v>47592.800000000003</v>
      </c>
      <c r="H60" s="240"/>
      <c r="I60" s="7"/>
      <c r="J60" s="7"/>
      <c r="K60" s="7"/>
    </row>
    <row r="61" spans="1:16" ht="18" customHeight="1" x14ac:dyDescent="0.25">
      <c r="A61" s="14">
        <v>53</v>
      </c>
      <c r="B61" s="8"/>
      <c r="C61" s="46"/>
      <c r="D61" s="214" t="s">
        <v>19</v>
      </c>
      <c r="E61" s="32"/>
      <c r="F61" s="17"/>
      <c r="G61" s="18">
        <f t="shared" si="0"/>
        <v>47592.800000000003</v>
      </c>
      <c r="H61" s="240"/>
      <c r="I61" s="7"/>
      <c r="J61" s="7"/>
      <c r="K61" s="7"/>
    </row>
    <row r="62" spans="1:16" ht="18" customHeight="1" x14ac:dyDescent="0.25">
      <c r="A62" s="14">
        <v>54</v>
      </c>
      <c r="B62" s="8"/>
      <c r="C62" s="46"/>
      <c r="D62" s="214" t="s">
        <v>19</v>
      </c>
      <c r="E62" s="32"/>
      <c r="F62" s="17"/>
      <c r="G62" s="18">
        <f t="shared" si="0"/>
        <v>47592.800000000003</v>
      </c>
      <c r="H62" s="240"/>
      <c r="I62" s="7" t="s">
        <v>14</v>
      </c>
      <c r="J62" s="7"/>
      <c r="K62" s="7"/>
    </row>
    <row r="63" spans="1:16" ht="18" customHeight="1" x14ac:dyDescent="0.25">
      <c r="A63" s="14">
        <v>55</v>
      </c>
      <c r="B63" s="8"/>
      <c r="C63" s="46"/>
      <c r="D63" s="214" t="s">
        <v>19</v>
      </c>
      <c r="E63" s="32"/>
      <c r="F63" s="17"/>
      <c r="G63" s="18">
        <f t="shared" si="0"/>
        <v>47592.800000000003</v>
      </c>
      <c r="H63" s="240"/>
      <c r="I63" s="7" t="s">
        <v>14</v>
      </c>
      <c r="J63" s="7"/>
      <c r="K63" s="7"/>
    </row>
    <row r="64" spans="1:16" ht="18" customHeight="1" x14ac:dyDescent="0.25">
      <c r="A64" s="14">
        <v>56</v>
      </c>
      <c r="B64" s="8"/>
      <c r="C64" s="46"/>
      <c r="D64" s="214" t="s">
        <v>19</v>
      </c>
      <c r="E64" s="32"/>
      <c r="F64" s="17"/>
      <c r="G64" s="18">
        <f t="shared" si="0"/>
        <v>47592.800000000003</v>
      </c>
      <c r="H64" s="240"/>
      <c r="I64" s="7" t="s">
        <v>14</v>
      </c>
      <c r="J64" s="7"/>
      <c r="K64" s="7"/>
    </row>
    <row r="65" spans="1:11" ht="18" customHeight="1" x14ac:dyDescent="0.25">
      <c r="A65" s="14">
        <v>57</v>
      </c>
      <c r="B65" s="8"/>
      <c r="C65" s="46"/>
      <c r="D65" s="214" t="s">
        <v>19</v>
      </c>
      <c r="E65" s="32"/>
      <c r="F65" s="17"/>
      <c r="G65" s="18">
        <f t="shared" si="0"/>
        <v>47592.800000000003</v>
      </c>
      <c r="H65" s="240"/>
      <c r="I65" s="7" t="s">
        <v>14</v>
      </c>
      <c r="J65" s="7"/>
      <c r="K65" s="7"/>
    </row>
    <row r="66" spans="1:11" ht="18" customHeight="1" x14ac:dyDescent="0.25">
      <c r="A66" s="14">
        <v>58</v>
      </c>
      <c r="B66" s="8"/>
      <c r="C66" s="46"/>
      <c r="D66" s="214" t="s">
        <v>19</v>
      </c>
      <c r="E66" s="32"/>
      <c r="F66" s="17"/>
      <c r="G66" s="18">
        <f t="shared" si="0"/>
        <v>47592.800000000003</v>
      </c>
      <c r="H66" s="240"/>
      <c r="I66" s="7" t="s">
        <v>14</v>
      </c>
      <c r="J66" s="7"/>
      <c r="K66" s="7"/>
    </row>
    <row r="67" spans="1:11" ht="18" customHeight="1" x14ac:dyDescent="0.25">
      <c r="A67" s="14">
        <v>59</v>
      </c>
      <c r="B67" s="8"/>
      <c r="C67" s="46"/>
      <c r="D67" s="214" t="s">
        <v>19</v>
      </c>
      <c r="E67" s="32"/>
      <c r="F67" s="17"/>
      <c r="G67" s="18">
        <f t="shared" si="0"/>
        <v>47592.800000000003</v>
      </c>
      <c r="H67" s="240"/>
      <c r="I67" s="7" t="s">
        <v>14</v>
      </c>
      <c r="J67" s="7"/>
      <c r="K67" s="7"/>
    </row>
    <row r="68" spans="1:11" ht="18" customHeight="1" x14ac:dyDescent="0.25">
      <c r="A68" s="14">
        <v>60</v>
      </c>
      <c r="B68" s="8"/>
      <c r="C68" s="46"/>
      <c r="D68" s="214" t="s">
        <v>19</v>
      </c>
      <c r="E68" s="32"/>
      <c r="F68" s="17"/>
      <c r="G68" s="18">
        <f t="shared" si="0"/>
        <v>47592.800000000003</v>
      </c>
      <c r="H68" s="240"/>
      <c r="I68" s="7" t="s">
        <v>14</v>
      </c>
      <c r="J68" s="7"/>
      <c r="K68" s="7"/>
    </row>
    <row r="69" spans="1:11" ht="18" customHeight="1" x14ac:dyDescent="0.25">
      <c r="A69" s="14">
        <v>61</v>
      </c>
      <c r="B69" s="8"/>
      <c r="C69" s="46"/>
      <c r="D69" s="214" t="s">
        <v>19</v>
      </c>
      <c r="E69" s="32"/>
      <c r="F69" s="17"/>
      <c r="G69" s="18">
        <f t="shared" si="0"/>
        <v>47592.800000000003</v>
      </c>
      <c r="H69" s="240"/>
      <c r="I69" s="7" t="s">
        <v>14</v>
      </c>
      <c r="J69" s="7"/>
      <c r="K69" s="7"/>
    </row>
    <row r="70" spans="1:11" ht="18" customHeight="1" x14ac:dyDescent="0.25">
      <c r="A70" s="14">
        <v>62</v>
      </c>
      <c r="B70" s="8"/>
      <c r="C70" s="46"/>
      <c r="D70" s="214" t="s">
        <v>19</v>
      </c>
      <c r="E70" s="32"/>
      <c r="F70" s="17"/>
      <c r="G70" s="18">
        <f t="shared" si="0"/>
        <v>47592.800000000003</v>
      </c>
      <c r="H70" s="240"/>
      <c r="I70" s="7" t="s">
        <v>14</v>
      </c>
      <c r="J70" s="140"/>
      <c r="K70" s="7"/>
    </row>
    <row r="71" spans="1:11" ht="18" customHeight="1" x14ac:dyDescent="0.25">
      <c r="A71" s="14">
        <v>63</v>
      </c>
      <c r="B71" s="8"/>
      <c r="C71" s="46"/>
      <c r="D71" s="214" t="s">
        <v>19</v>
      </c>
      <c r="E71" s="32"/>
      <c r="F71" s="17"/>
      <c r="G71" s="18">
        <f t="shared" si="0"/>
        <v>47592.800000000003</v>
      </c>
      <c r="H71" s="240"/>
      <c r="I71" s="7" t="s">
        <v>14</v>
      </c>
      <c r="J71" s="7"/>
      <c r="K71" s="7"/>
    </row>
    <row r="72" spans="1:11" ht="18" customHeight="1" x14ac:dyDescent="0.25">
      <c r="A72" s="14">
        <v>64</v>
      </c>
      <c r="B72" s="8"/>
      <c r="C72" s="46"/>
      <c r="D72" s="214" t="s">
        <v>19</v>
      </c>
      <c r="E72" s="32"/>
      <c r="F72" s="17"/>
      <c r="G72" s="18">
        <f t="shared" si="0"/>
        <v>47592.800000000003</v>
      </c>
      <c r="H72" s="240"/>
      <c r="I72" s="7" t="s">
        <v>14</v>
      </c>
      <c r="J72" s="7"/>
      <c r="K72" s="7"/>
    </row>
    <row r="73" spans="1:11" ht="18" customHeight="1" x14ac:dyDescent="0.25">
      <c r="A73" s="14">
        <v>65</v>
      </c>
      <c r="B73" s="8"/>
      <c r="C73" s="46"/>
      <c r="D73" s="214" t="s">
        <v>19</v>
      </c>
      <c r="E73" s="32"/>
      <c r="F73" s="17"/>
      <c r="G73" s="18">
        <f t="shared" si="0"/>
        <v>47592.800000000003</v>
      </c>
      <c r="H73" s="240"/>
      <c r="I73" s="7" t="s">
        <v>14</v>
      </c>
      <c r="J73" s="7"/>
      <c r="K73" s="7"/>
    </row>
    <row r="74" spans="1:11" ht="18" customHeight="1" x14ac:dyDescent="0.25">
      <c r="A74" s="14">
        <v>66</v>
      </c>
      <c r="B74" s="8"/>
      <c r="C74" s="46"/>
      <c r="D74" s="214" t="s">
        <v>19</v>
      </c>
      <c r="E74" s="32"/>
      <c r="F74" s="17"/>
      <c r="G74" s="18">
        <f t="shared" si="0"/>
        <v>47592.800000000003</v>
      </c>
      <c r="H74" s="240"/>
      <c r="I74" s="7" t="s">
        <v>14</v>
      </c>
      <c r="J74" s="7"/>
      <c r="K74" s="7"/>
    </row>
    <row r="75" spans="1:11" ht="18" customHeight="1" x14ac:dyDescent="0.25">
      <c r="A75" s="14">
        <v>67</v>
      </c>
      <c r="B75" s="8"/>
      <c r="C75" s="46"/>
      <c r="D75" s="214" t="s">
        <v>19</v>
      </c>
      <c r="E75" s="32"/>
      <c r="F75" s="17"/>
      <c r="G75" s="18">
        <f t="shared" si="0"/>
        <v>47592.800000000003</v>
      </c>
      <c r="H75" s="240"/>
      <c r="I75" s="7" t="s">
        <v>14</v>
      </c>
      <c r="J75" s="7"/>
      <c r="K75" s="7"/>
    </row>
    <row r="76" spans="1:11" ht="18" customHeight="1" x14ac:dyDescent="0.25">
      <c r="A76" s="14">
        <v>68</v>
      </c>
      <c r="B76" s="8"/>
      <c r="C76" s="46"/>
      <c r="D76" s="214" t="s">
        <v>19</v>
      </c>
      <c r="E76" s="32"/>
      <c r="F76" s="17"/>
      <c r="G76" s="18">
        <f t="shared" si="0"/>
        <v>47592.800000000003</v>
      </c>
      <c r="H76" s="240"/>
      <c r="I76" s="7" t="s">
        <v>14</v>
      </c>
      <c r="J76" s="7"/>
      <c r="K76" s="7"/>
    </row>
    <row r="77" spans="1:11" ht="18" customHeight="1" x14ac:dyDescent="0.25">
      <c r="A77" s="14">
        <v>69</v>
      </c>
      <c r="B77" s="8"/>
      <c r="C77" s="46"/>
      <c r="D77" s="214" t="s">
        <v>19</v>
      </c>
      <c r="E77" s="32"/>
      <c r="F77" s="17"/>
      <c r="G77" s="18">
        <f t="shared" si="0"/>
        <v>47592.800000000003</v>
      </c>
      <c r="H77" s="240"/>
      <c r="I77" s="7" t="s">
        <v>14</v>
      </c>
      <c r="J77" s="7"/>
      <c r="K77" s="7"/>
    </row>
    <row r="78" spans="1:11" ht="18" customHeight="1" x14ac:dyDescent="0.25">
      <c r="A78" s="14">
        <v>70</v>
      </c>
      <c r="B78" s="8"/>
      <c r="C78" s="46"/>
      <c r="D78" s="214" t="s">
        <v>19</v>
      </c>
      <c r="E78" s="32"/>
      <c r="F78" s="17"/>
      <c r="G78" s="18">
        <f t="shared" ref="G78:G112" si="1">+G77+E78-F78</f>
        <v>47592.800000000003</v>
      </c>
      <c r="H78" s="240"/>
      <c r="I78" s="7" t="s">
        <v>14</v>
      </c>
      <c r="J78" s="7"/>
      <c r="K78" s="7"/>
    </row>
    <row r="79" spans="1:11" ht="18" customHeight="1" x14ac:dyDescent="0.25">
      <c r="A79" s="14">
        <v>71</v>
      </c>
      <c r="B79" s="8"/>
      <c r="C79" s="46"/>
      <c r="D79" s="214" t="s">
        <v>19</v>
      </c>
      <c r="E79" s="32"/>
      <c r="F79" s="17"/>
      <c r="G79" s="18">
        <f t="shared" si="1"/>
        <v>47592.800000000003</v>
      </c>
      <c r="H79" s="240"/>
      <c r="I79" s="7" t="s">
        <v>14</v>
      </c>
      <c r="J79" s="7"/>
      <c r="K79" s="7"/>
    </row>
    <row r="80" spans="1:11" ht="18" customHeight="1" x14ac:dyDescent="0.25">
      <c r="A80" s="14">
        <v>72</v>
      </c>
      <c r="B80" s="8"/>
      <c r="C80" s="46"/>
      <c r="D80" s="214" t="s">
        <v>19</v>
      </c>
      <c r="E80" s="32"/>
      <c r="F80" s="17"/>
      <c r="G80" s="18">
        <f t="shared" si="1"/>
        <v>47592.800000000003</v>
      </c>
      <c r="H80" s="240"/>
      <c r="I80" s="7" t="s">
        <v>14</v>
      </c>
      <c r="J80" s="7"/>
      <c r="K80" s="7"/>
    </row>
    <row r="81" spans="1:17" ht="18" customHeight="1" x14ac:dyDescent="0.25">
      <c r="A81" s="14">
        <v>73</v>
      </c>
      <c r="B81" s="8"/>
      <c r="C81" s="46"/>
      <c r="D81" s="214" t="s">
        <v>19</v>
      </c>
      <c r="E81" s="32"/>
      <c r="F81" s="17"/>
      <c r="G81" s="18">
        <f t="shared" si="1"/>
        <v>47592.800000000003</v>
      </c>
      <c r="H81" s="240"/>
      <c r="I81" s="7" t="s">
        <v>14</v>
      </c>
      <c r="J81" s="7"/>
      <c r="K81" s="7"/>
    </row>
    <row r="82" spans="1:17" ht="18" customHeight="1" x14ac:dyDescent="0.25">
      <c r="A82" s="14">
        <v>74</v>
      </c>
      <c r="B82" s="8"/>
      <c r="C82" s="46"/>
      <c r="D82" s="214" t="s">
        <v>19</v>
      </c>
      <c r="E82" s="32"/>
      <c r="F82" s="17"/>
      <c r="G82" s="18">
        <f t="shared" si="1"/>
        <v>47592.800000000003</v>
      </c>
      <c r="H82" s="240"/>
      <c r="I82" s="7" t="s">
        <v>14</v>
      </c>
      <c r="J82" s="7"/>
      <c r="K82" s="7"/>
    </row>
    <row r="83" spans="1:17" ht="18" customHeight="1" x14ac:dyDescent="0.25">
      <c r="A83" s="14">
        <v>75</v>
      </c>
      <c r="B83" s="8"/>
      <c r="C83" s="46"/>
      <c r="D83" s="214" t="s">
        <v>19</v>
      </c>
      <c r="E83" s="32"/>
      <c r="F83" s="17"/>
      <c r="G83" s="18">
        <f t="shared" si="1"/>
        <v>47592.800000000003</v>
      </c>
      <c r="H83" s="240"/>
      <c r="I83" s="7" t="s">
        <v>14</v>
      </c>
      <c r="J83" s="7"/>
      <c r="K83" s="7"/>
    </row>
    <row r="84" spans="1:17" ht="18" customHeight="1" x14ac:dyDescent="0.25">
      <c r="A84" s="14">
        <v>76</v>
      </c>
      <c r="B84" s="8"/>
      <c r="C84" s="46"/>
      <c r="D84" s="214" t="s">
        <v>19</v>
      </c>
      <c r="E84" s="32"/>
      <c r="F84" s="17"/>
      <c r="G84" s="18">
        <f t="shared" si="1"/>
        <v>47592.800000000003</v>
      </c>
      <c r="H84" s="240"/>
      <c r="I84" s="7" t="s">
        <v>14</v>
      </c>
      <c r="J84" s="7"/>
      <c r="K84" s="7"/>
    </row>
    <row r="85" spans="1:17" ht="18" customHeight="1" x14ac:dyDescent="0.25">
      <c r="A85" s="14">
        <v>77</v>
      </c>
      <c r="B85" s="8"/>
      <c r="C85" s="46"/>
      <c r="D85" s="214" t="s">
        <v>19</v>
      </c>
      <c r="E85" s="32"/>
      <c r="F85" s="17"/>
      <c r="G85" s="18">
        <f t="shared" si="1"/>
        <v>47592.800000000003</v>
      </c>
      <c r="H85" s="240"/>
      <c r="I85" s="7" t="s">
        <v>14</v>
      </c>
      <c r="J85" s="7"/>
      <c r="K85" s="7"/>
    </row>
    <row r="86" spans="1:17" ht="18" customHeight="1" x14ac:dyDescent="0.25">
      <c r="A86" s="14">
        <v>78</v>
      </c>
      <c r="B86" s="8"/>
      <c r="C86" s="46"/>
      <c r="D86" s="214" t="s">
        <v>19</v>
      </c>
      <c r="E86" s="32"/>
      <c r="F86" s="17"/>
      <c r="G86" s="18">
        <f t="shared" si="1"/>
        <v>47592.800000000003</v>
      </c>
      <c r="H86" s="240"/>
      <c r="I86" s="7" t="s">
        <v>14</v>
      </c>
      <c r="J86" s="7"/>
      <c r="K86" s="7"/>
    </row>
    <row r="87" spans="1:17" ht="18" customHeight="1" x14ac:dyDescent="0.25">
      <c r="A87" s="14">
        <v>79</v>
      </c>
      <c r="B87" s="8"/>
      <c r="C87" s="46"/>
      <c r="D87" s="214" t="s">
        <v>19</v>
      </c>
      <c r="E87" s="32"/>
      <c r="F87" s="17"/>
      <c r="G87" s="18">
        <f t="shared" si="1"/>
        <v>47592.800000000003</v>
      </c>
      <c r="H87" s="240"/>
      <c r="I87" s="7" t="s">
        <v>14</v>
      </c>
      <c r="J87" s="7"/>
      <c r="K87" s="7"/>
    </row>
    <row r="88" spans="1:17" ht="18" customHeight="1" x14ac:dyDescent="0.25">
      <c r="A88" s="14">
        <v>80</v>
      </c>
      <c r="B88" s="8"/>
      <c r="C88" s="46"/>
      <c r="D88" s="214" t="s">
        <v>19</v>
      </c>
      <c r="E88" s="32"/>
      <c r="F88" s="27"/>
      <c r="G88" s="18">
        <f t="shared" si="1"/>
        <v>47592.800000000003</v>
      </c>
      <c r="H88" s="240"/>
      <c r="I88" s="7" t="s">
        <v>14</v>
      </c>
      <c r="J88" s="7"/>
      <c r="K88" s="7"/>
    </row>
    <row r="89" spans="1:17" ht="18" customHeight="1" x14ac:dyDescent="0.25">
      <c r="A89" s="14">
        <v>81</v>
      </c>
      <c r="B89" s="8"/>
      <c r="C89" s="46"/>
      <c r="D89" s="214" t="s">
        <v>19</v>
      </c>
      <c r="E89" s="32"/>
      <c r="F89" s="17"/>
      <c r="G89" s="18">
        <f t="shared" si="1"/>
        <v>47592.800000000003</v>
      </c>
      <c r="H89" s="240"/>
      <c r="I89" s="7" t="s">
        <v>14</v>
      </c>
      <c r="J89" s="7"/>
      <c r="K89" s="7"/>
    </row>
    <row r="90" spans="1:17" ht="18" customHeight="1" x14ac:dyDescent="0.25">
      <c r="A90" s="14">
        <v>82</v>
      </c>
      <c r="B90" s="8"/>
      <c r="C90" s="46"/>
      <c r="D90" s="214" t="s">
        <v>19</v>
      </c>
      <c r="E90" s="32"/>
      <c r="F90" s="17"/>
      <c r="G90" s="18">
        <f t="shared" si="1"/>
        <v>47592.800000000003</v>
      </c>
      <c r="H90" s="240"/>
      <c r="I90" s="7" t="s">
        <v>14</v>
      </c>
      <c r="J90" s="7"/>
      <c r="K90" s="7"/>
    </row>
    <row r="91" spans="1:17" ht="18" customHeight="1" x14ac:dyDescent="0.25">
      <c r="A91" s="14">
        <v>83</v>
      </c>
      <c r="B91" s="8"/>
      <c r="C91" s="46"/>
      <c r="D91" s="214" t="s">
        <v>19</v>
      </c>
      <c r="E91" s="32"/>
      <c r="F91" s="17"/>
      <c r="G91" s="18">
        <f t="shared" si="1"/>
        <v>47592.800000000003</v>
      </c>
      <c r="H91" s="240"/>
      <c r="I91" s="7" t="s">
        <v>14</v>
      </c>
      <c r="J91" s="7"/>
      <c r="K91" s="7"/>
    </row>
    <row r="92" spans="1:17" ht="18" customHeight="1" x14ac:dyDescent="0.25">
      <c r="A92" s="14">
        <v>84</v>
      </c>
      <c r="B92" s="8"/>
      <c r="C92" s="46"/>
      <c r="D92" s="214" t="s">
        <v>19</v>
      </c>
      <c r="E92" s="32"/>
      <c r="F92" s="17"/>
      <c r="G92" s="18">
        <f t="shared" si="1"/>
        <v>47592.800000000003</v>
      </c>
      <c r="H92" s="240"/>
      <c r="I92" s="7" t="s">
        <v>14</v>
      </c>
      <c r="J92" s="7"/>
      <c r="K92" s="7"/>
    </row>
    <row r="93" spans="1:17" ht="18" customHeight="1" x14ac:dyDescent="0.25">
      <c r="A93" s="14">
        <v>85</v>
      </c>
      <c r="B93" s="8"/>
      <c r="C93" s="46"/>
      <c r="D93" s="214" t="s">
        <v>19</v>
      </c>
      <c r="E93" s="32"/>
      <c r="F93" s="17"/>
      <c r="G93" s="18">
        <f t="shared" si="1"/>
        <v>47592.800000000003</v>
      </c>
      <c r="H93" s="240"/>
      <c r="I93" s="7" t="s">
        <v>14</v>
      </c>
      <c r="J93" s="7"/>
      <c r="K93" s="7"/>
    </row>
    <row r="94" spans="1:17" ht="18" customHeight="1" x14ac:dyDescent="0.25">
      <c r="A94" s="14">
        <v>86</v>
      </c>
      <c r="B94" s="8"/>
      <c r="C94" s="46"/>
      <c r="D94" s="214" t="s">
        <v>19</v>
      </c>
      <c r="E94" s="32"/>
      <c r="F94" s="17"/>
      <c r="G94" s="18">
        <f t="shared" si="1"/>
        <v>47592.800000000003</v>
      </c>
      <c r="H94" s="240"/>
      <c r="I94" s="7" t="s">
        <v>14</v>
      </c>
      <c r="J94" s="7"/>
      <c r="K94" s="7"/>
    </row>
    <row r="95" spans="1:17" ht="18" customHeight="1" x14ac:dyDescent="0.25">
      <c r="A95" s="14">
        <v>87</v>
      </c>
      <c r="B95" s="8"/>
      <c r="C95" s="46"/>
      <c r="D95" s="214" t="s">
        <v>19</v>
      </c>
      <c r="E95" s="32"/>
      <c r="F95" s="17"/>
      <c r="G95" s="18">
        <f t="shared" si="1"/>
        <v>47592.800000000003</v>
      </c>
      <c r="H95" s="240"/>
      <c r="I95" s="7" t="s">
        <v>14</v>
      </c>
      <c r="J95" s="7"/>
      <c r="K95" s="7"/>
      <c r="L95" s="199"/>
      <c r="Q95" s="199"/>
    </row>
    <row r="96" spans="1:17" ht="18" customHeight="1" x14ac:dyDescent="0.25">
      <c r="A96" s="14">
        <v>88</v>
      </c>
      <c r="B96" s="8"/>
      <c r="C96" s="46"/>
      <c r="D96" s="214" t="s">
        <v>19</v>
      </c>
      <c r="E96" s="32"/>
      <c r="F96" s="27"/>
      <c r="G96" s="18">
        <f t="shared" si="1"/>
        <v>47592.800000000003</v>
      </c>
      <c r="H96" s="240"/>
      <c r="I96" s="7" t="s">
        <v>14</v>
      </c>
      <c r="J96" s="7"/>
      <c r="K96" s="7"/>
      <c r="L96" s="199"/>
      <c r="Q96" s="199"/>
    </row>
    <row r="97" spans="1:17" ht="18" customHeight="1" x14ac:dyDescent="0.25">
      <c r="A97" s="14">
        <v>89</v>
      </c>
      <c r="B97" s="8"/>
      <c r="C97" s="46"/>
      <c r="D97" s="214" t="s">
        <v>19</v>
      </c>
      <c r="E97" s="32"/>
      <c r="F97" s="27"/>
      <c r="G97" s="18">
        <f t="shared" si="1"/>
        <v>47592.800000000003</v>
      </c>
      <c r="H97" s="240"/>
      <c r="I97" s="7" t="s">
        <v>14</v>
      </c>
      <c r="J97" s="7"/>
      <c r="K97" s="7"/>
      <c r="L97" s="199"/>
      <c r="Q97" s="199"/>
    </row>
    <row r="98" spans="1:17" s="179" customFormat="1" ht="18" customHeight="1" x14ac:dyDescent="0.25">
      <c r="A98" s="14">
        <v>90</v>
      </c>
      <c r="B98" s="242"/>
      <c r="C98" s="46"/>
      <c r="D98" s="244" t="s">
        <v>19</v>
      </c>
      <c r="E98" s="245"/>
      <c r="F98" s="52"/>
      <c r="G98" s="18">
        <f t="shared" si="1"/>
        <v>47592.800000000003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14">
        <v>91</v>
      </c>
      <c r="B99" s="242"/>
      <c r="C99" s="46"/>
      <c r="D99" s="244" t="s">
        <v>19</v>
      </c>
      <c r="E99" s="245"/>
      <c r="F99" s="52"/>
      <c r="G99" s="18">
        <f t="shared" si="1"/>
        <v>47592.800000000003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14">
        <v>92</v>
      </c>
      <c r="B100" s="242"/>
      <c r="C100" s="46"/>
      <c r="D100" s="244" t="s">
        <v>19</v>
      </c>
      <c r="E100" s="245"/>
      <c r="F100" s="52"/>
      <c r="G100" s="18">
        <f t="shared" si="1"/>
        <v>47592.800000000003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14">
        <v>93</v>
      </c>
      <c r="B101" s="242"/>
      <c r="C101" s="46"/>
      <c r="D101" s="244" t="s">
        <v>19</v>
      </c>
      <c r="E101" s="245"/>
      <c r="F101" s="52"/>
      <c r="G101" s="18">
        <f t="shared" si="1"/>
        <v>47592.800000000003</v>
      </c>
      <c r="H101" s="240"/>
      <c r="I101" s="247" t="s">
        <v>14</v>
      </c>
      <c r="J101" s="247"/>
      <c r="K101" s="247"/>
      <c r="L101" s="248"/>
      <c r="Q101" s="248"/>
    </row>
    <row r="102" spans="1:17" s="179" customFormat="1" ht="18" customHeight="1" x14ac:dyDescent="0.25">
      <c r="A102" s="14">
        <v>94</v>
      </c>
      <c r="B102" s="242"/>
      <c r="C102" s="46"/>
      <c r="D102" s="244" t="s">
        <v>19</v>
      </c>
      <c r="E102" s="245"/>
      <c r="F102" s="52"/>
      <c r="G102" s="18">
        <f t="shared" si="1"/>
        <v>47592.800000000003</v>
      </c>
      <c r="H102" s="240"/>
      <c r="I102" s="247" t="s">
        <v>14</v>
      </c>
      <c r="J102" s="247"/>
      <c r="K102" s="247"/>
      <c r="L102" s="248"/>
      <c r="Q102" s="248"/>
    </row>
    <row r="103" spans="1:17" s="179" customFormat="1" ht="18" customHeight="1" x14ac:dyDescent="0.25">
      <c r="A103" s="14">
        <v>95</v>
      </c>
      <c r="B103" s="242"/>
      <c r="C103" s="46"/>
      <c r="D103" s="244" t="s">
        <v>19</v>
      </c>
      <c r="E103" s="245"/>
      <c r="F103" s="52"/>
      <c r="G103" s="18">
        <f t="shared" si="1"/>
        <v>47592.800000000003</v>
      </c>
      <c r="H103" s="240"/>
      <c r="I103" s="247" t="s">
        <v>14</v>
      </c>
      <c r="J103" s="247"/>
      <c r="K103" s="247"/>
      <c r="L103" s="248"/>
      <c r="Q103" s="248"/>
    </row>
    <row r="104" spans="1:17" s="179" customFormat="1" ht="18" customHeight="1" x14ac:dyDescent="0.25">
      <c r="A104" s="14">
        <v>96</v>
      </c>
      <c r="B104" s="242"/>
      <c r="C104" s="46"/>
      <c r="D104" s="244" t="s">
        <v>19</v>
      </c>
      <c r="E104" s="245"/>
      <c r="F104" s="52"/>
      <c r="G104" s="18">
        <f t="shared" si="1"/>
        <v>47592.800000000003</v>
      </c>
      <c r="H104" s="240"/>
      <c r="I104" s="247" t="s">
        <v>14</v>
      </c>
      <c r="J104" s="247"/>
      <c r="K104" s="247"/>
      <c r="L104" s="248"/>
      <c r="Q104" s="248"/>
    </row>
    <row r="105" spans="1:17" s="179" customFormat="1" ht="18" customHeight="1" x14ac:dyDescent="0.25">
      <c r="A105" s="14">
        <v>97</v>
      </c>
      <c r="B105" s="242"/>
      <c r="C105" s="46"/>
      <c r="D105" s="244" t="s">
        <v>19</v>
      </c>
      <c r="E105" s="245"/>
      <c r="F105" s="52"/>
      <c r="G105" s="18">
        <f t="shared" si="1"/>
        <v>47592.800000000003</v>
      </c>
      <c r="H105" s="240"/>
      <c r="I105" s="247" t="s">
        <v>14</v>
      </c>
      <c r="J105" s="247"/>
      <c r="K105" s="247"/>
      <c r="L105" s="248"/>
      <c r="Q105" s="248"/>
    </row>
    <row r="106" spans="1:17" s="179" customFormat="1" ht="18" customHeight="1" x14ac:dyDescent="0.25">
      <c r="A106" s="14">
        <v>98</v>
      </c>
      <c r="B106" s="242"/>
      <c r="C106" s="46"/>
      <c r="D106" s="244"/>
      <c r="E106" s="245"/>
      <c r="F106" s="52"/>
      <c r="G106" s="18">
        <f t="shared" si="1"/>
        <v>47592.800000000003</v>
      </c>
      <c r="H106" s="240"/>
      <c r="I106" s="247"/>
      <c r="J106" s="247"/>
      <c r="K106" s="247"/>
      <c r="L106" s="248"/>
      <c r="Q106" s="248"/>
    </row>
    <row r="107" spans="1:17" s="179" customFormat="1" ht="18" customHeight="1" x14ac:dyDescent="0.25">
      <c r="A107" s="14">
        <v>99</v>
      </c>
      <c r="B107" s="242"/>
      <c r="C107" s="46"/>
      <c r="D107" s="244"/>
      <c r="E107" s="245"/>
      <c r="F107" s="52"/>
      <c r="G107" s="18">
        <f t="shared" si="1"/>
        <v>47592.800000000003</v>
      </c>
      <c r="H107" s="240"/>
      <c r="I107" s="247"/>
      <c r="J107" s="247"/>
      <c r="K107" s="247"/>
      <c r="L107" s="248"/>
      <c r="Q107" s="248"/>
    </row>
    <row r="108" spans="1:17" s="179" customFormat="1" ht="18" customHeight="1" x14ac:dyDescent="0.25">
      <c r="A108" s="14">
        <v>100</v>
      </c>
      <c r="B108" s="242"/>
      <c r="C108" s="243"/>
      <c r="D108" s="244"/>
      <c r="E108" s="245"/>
      <c r="F108" s="52"/>
      <c r="G108" s="18">
        <f t="shared" si="1"/>
        <v>47592.800000000003</v>
      </c>
      <c r="H108" s="240"/>
      <c r="I108" s="247"/>
      <c r="J108" s="247"/>
      <c r="K108" s="247"/>
      <c r="L108" s="248"/>
      <c r="Q108" s="248"/>
    </row>
    <row r="109" spans="1:17" s="179" customFormat="1" ht="18" customHeight="1" x14ac:dyDescent="0.25">
      <c r="A109" s="14">
        <v>101</v>
      </c>
      <c r="B109" s="242"/>
      <c r="C109" s="243"/>
      <c r="D109" s="244"/>
      <c r="E109" s="245"/>
      <c r="F109" s="52"/>
      <c r="G109" s="18">
        <f t="shared" si="1"/>
        <v>47592.800000000003</v>
      </c>
      <c r="H109" s="240"/>
      <c r="I109" s="247"/>
      <c r="J109" s="247"/>
      <c r="K109" s="247"/>
      <c r="L109" s="248"/>
      <c r="Q109" s="248"/>
    </row>
    <row r="110" spans="1:17" ht="18" customHeight="1" x14ac:dyDescent="0.25">
      <c r="A110" s="14">
        <v>102</v>
      </c>
      <c r="B110" s="8"/>
      <c r="C110" s="46"/>
      <c r="D110" s="214"/>
      <c r="E110" s="32"/>
      <c r="F110" s="27"/>
      <c r="G110" s="18">
        <f t="shared" si="1"/>
        <v>47592.800000000003</v>
      </c>
      <c r="H110" s="28"/>
      <c r="I110" s="7"/>
      <c r="J110" s="7"/>
      <c r="K110" s="7"/>
      <c r="L110" s="199"/>
      <c r="Q110" s="199"/>
    </row>
    <row r="111" spans="1:17" ht="18" customHeight="1" x14ac:dyDescent="0.25">
      <c r="A111" s="14">
        <v>103</v>
      </c>
      <c r="B111" s="8"/>
      <c r="C111" s="46"/>
      <c r="D111" s="214"/>
      <c r="E111" s="32"/>
      <c r="F111" s="27"/>
      <c r="G111" s="18">
        <f t="shared" si="1"/>
        <v>47592.800000000003</v>
      </c>
      <c r="H111" s="28"/>
      <c r="I111" s="7"/>
      <c r="J111" s="7"/>
      <c r="K111" s="7"/>
      <c r="L111" s="199"/>
      <c r="Q111" s="199"/>
    </row>
    <row r="112" spans="1:17" ht="18" customHeight="1" x14ac:dyDescent="0.25">
      <c r="A112" s="223">
        <f t="shared" ref="A112" si="2">+A111+1</f>
        <v>104</v>
      </c>
      <c r="B112" s="37"/>
      <c r="C112" s="46"/>
      <c r="D112" s="10"/>
      <c r="E112" s="32"/>
      <c r="F112" s="27"/>
      <c r="G112" s="18">
        <f t="shared" si="1"/>
        <v>47592.800000000003</v>
      </c>
      <c r="H112" s="28"/>
      <c r="I112" s="7"/>
      <c r="J112" s="7"/>
      <c r="K112" s="7"/>
      <c r="L112" s="199"/>
      <c r="Q112" s="199"/>
    </row>
    <row r="113" spans="1:11" ht="18" customHeight="1" x14ac:dyDescent="0.25">
      <c r="A113" s="7"/>
      <c r="B113" s="7"/>
      <c r="C113" s="34" t="s">
        <v>13</v>
      </c>
      <c r="D113" s="14"/>
      <c r="E113" s="35">
        <f>SUM(E8:E112)</f>
        <v>47183.8</v>
      </c>
      <c r="F113" s="35">
        <f>SUM(F8:F112)</f>
        <v>12427</v>
      </c>
      <c r="G113" s="35">
        <f>+E113-F113+G8</f>
        <v>47592.800000000003</v>
      </c>
      <c r="H113" s="35"/>
      <c r="I113" s="36"/>
      <c r="J113" s="7">
        <f>SUM(J9:J112)</f>
        <v>22</v>
      </c>
      <c r="K113" s="7"/>
    </row>
    <row r="114" spans="1:11" ht="18" customHeight="1" x14ac:dyDescent="0.25"/>
    <row r="117" spans="1:11" x14ac:dyDescent="0.25">
      <c r="E117" s="201"/>
      <c r="F117" s="201"/>
      <c r="G117" s="201"/>
      <c r="H117" s="201"/>
    </row>
    <row r="118" spans="1:11" x14ac:dyDescent="0.25">
      <c r="F118" s="26"/>
    </row>
    <row r="119" spans="1:11" x14ac:dyDescent="0.25">
      <c r="E119" s="26"/>
      <c r="F119" s="26"/>
      <c r="G119" s="26"/>
      <c r="H119" s="26"/>
      <c r="I119" s="26"/>
    </row>
    <row r="120" spans="1:11" x14ac:dyDescent="0.25">
      <c r="I120" s="202"/>
    </row>
    <row r="121" spans="1:11" x14ac:dyDescent="0.25">
      <c r="E121" s="199"/>
    </row>
    <row r="122" spans="1:11" x14ac:dyDescent="0.25">
      <c r="E122" s="26"/>
      <c r="F122" s="26"/>
    </row>
    <row r="123" spans="1:11" x14ac:dyDescent="0.25">
      <c r="E123" s="203"/>
      <c r="F123" s="204"/>
      <c r="G123" s="203"/>
      <c r="H123" s="203"/>
    </row>
    <row r="124" spans="1:11" x14ac:dyDescent="0.25">
      <c r="F124" s="26"/>
    </row>
  </sheetData>
  <mergeCells count="1">
    <mergeCell ref="A4:I5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500D-F814-4DF0-A000-8C3B24A839F6}">
  <sheetPr codeName="Sheet98"/>
  <dimension ref="A1:Q119"/>
  <sheetViews>
    <sheetView workbookViewId="0">
      <selection activeCell="E24" sqref="E24"/>
    </sheetView>
  </sheetViews>
  <sheetFormatPr defaultRowHeight="15" x14ac:dyDescent="0.25"/>
  <cols>
    <col min="1" max="1" width="6" customWidth="1"/>
    <col min="2" max="2" width="11.5703125" customWidth="1"/>
    <col min="3" max="3" width="41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45805</v>
      </c>
      <c r="C9" s="46" t="s">
        <v>435</v>
      </c>
      <c r="D9" s="214" t="s">
        <v>19</v>
      </c>
      <c r="E9" s="30">
        <v>15601</v>
      </c>
      <c r="F9" s="27"/>
      <c r="G9" s="18">
        <f>+G8+E9-F9</f>
        <v>15601</v>
      </c>
      <c r="H9" s="28" t="s">
        <v>91</v>
      </c>
      <c r="I9" s="7" t="s">
        <v>90</v>
      </c>
      <c r="J9" s="7">
        <v>23</v>
      </c>
      <c r="K9" s="7"/>
      <c r="L9">
        <f>362.5+401.5+338.5+348.5</f>
        <v>1451</v>
      </c>
      <c r="M9">
        <f>+K9-L9</f>
        <v>-1451</v>
      </c>
    </row>
    <row r="10" spans="1:13" ht="17.25" customHeight="1" x14ac:dyDescent="0.25">
      <c r="A10" s="14">
        <f t="shared" ref="A10:A73" si="0">+A9+1</f>
        <v>2</v>
      </c>
      <c r="B10" s="8">
        <v>45899</v>
      </c>
      <c r="C10" s="46" t="s">
        <v>435</v>
      </c>
      <c r="D10" s="214" t="s">
        <v>19</v>
      </c>
      <c r="E10" s="11"/>
      <c r="F10" s="27">
        <v>666</v>
      </c>
      <c r="G10" s="18">
        <f t="shared" ref="G10:G73" si="1">+G9+E10-F10</f>
        <v>14935</v>
      </c>
      <c r="H10" s="28" t="s">
        <v>140</v>
      </c>
      <c r="I10" s="7" t="s">
        <v>90</v>
      </c>
      <c r="J10" s="7"/>
      <c r="K10" s="7"/>
      <c r="L10">
        <f>1151+1093</f>
        <v>2244</v>
      </c>
    </row>
    <row r="11" spans="1:13" ht="18" customHeight="1" x14ac:dyDescent="0.25">
      <c r="A11" s="14">
        <f t="shared" si="0"/>
        <v>3</v>
      </c>
      <c r="B11" s="8">
        <v>45903</v>
      </c>
      <c r="C11" s="46" t="s">
        <v>435</v>
      </c>
      <c r="D11" s="214" t="s">
        <v>19</v>
      </c>
      <c r="E11" s="16"/>
      <c r="F11" s="27">
        <v>709</v>
      </c>
      <c r="G11" s="18">
        <f t="shared" si="1"/>
        <v>14226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0"/>
        <v>4</v>
      </c>
      <c r="B12" s="8">
        <v>45910</v>
      </c>
      <c r="C12" s="46" t="s">
        <v>435</v>
      </c>
      <c r="D12" s="214" t="s">
        <v>19</v>
      </c>
      <c r="E12" s="16"/>
      <c r="F12" s="17">
        <v>647</v>
      </c>
      <c r="G12" s="18">
        <f t="shared" si="1"/>
        <v>13579</v>
      </c>
      <c r="H12" s="28" t="s">
        <v>91</v>
      </c>
      <c r="I12" s="7" t="s">
        <v>90</v>
      </c>
      <c r="J12" s="140"/>
      <c r="K12" s="7" t="s">
        <v>147</v>
      </c>
    </row>
    <row r="13" spans="1:13" ht="18" customHeight="1" x14ac:dyDescent="0.25">
      <c r="A13" s="14">
        <f t="shared" si="0"/>
        <v>5</v>
      </c>
      <c r="B13" s="205"/>
      <c r="C13" s="46" t="s">
        <v>435</v>
      </c>
      <c r="D13" s="214" t="s">
        <v>19</v>
      </c>
      <c r="E13" s="16"/>
      <c r="F13" s="17"/>
      <c r="G13" s="18">
        <f t="shared" si="1"/>
        <v>13579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0"/>
        <v>6</v>
      </c>
      <c r="B14" s="205">
        <v>45911</v>
      </c>
      <c r="C14" s="46" t="s">
        <v>435</v>
      </c>
      <c r="D14" s="214" t="s">
        <v>19</v>
      </c>
      <c r="E14" s="16">
        <v>15749</v>
      </c>
      <c r="F14" s="27"/>
      <c r="G14" s="18">
        <f t="shared" si="1"/>
        <v>29328</v>
      </c>
      <c r="H14" s="28" t="s">
        <v>91</v>
      </c>
      <c r="I14" s="7" t="s">
        <v>90</v>
      </c>
      <c r="J14" s="7"/>
      <c r="K14" s="7"/>
    </row>
    <row r="15" spans="1:13" ht="18" customHeight="1" x14ac:dyDescent="0.25">
      <c r="A15" s="14">
        <f t="shared" si="0"/>
        <v>7</v>
      </c>
      <c r="B15" s="8">
        <v>45911</v>
      </c>
      <c r="C15" s="46" t="s">
        <v>435</v>
      </c>
      <c r="D15" s="214" t="s">
        <v>19</v>
      </c>
      <c r="E15" s="16"/>
      <c r="F15" s="27">
        <v>1354</v>
      </c>
      <c r="G15" s="18">
        <f t="shared" si="1"/>
        <v>27974</v>
      </c>
      <c r="H15" s="28" t="s">
        <v>91</v>
      </c>
      <c r="I15" s="7" t="s">
        <v>90</v>
      </c>
      <c r="J15" s="140"/>
      <c r="K15" s="7"/>
    </row>
    <row r="16" spans="1:13" ht="18" customHeight="1" x14ac:dyDescent="0.25">
      <c r="A16" s="14">
        <f t="shared" si="0"/>
        <v>8</v>
      </c>
      <c r="B16" s="8">
        <v>45917</v>
      </c>
      <c r="C16" s="46" t="s">
        <v>435</v>
      </c>
      <c r="D16" s="214" t="s">
        <v>19</v>
      </c>
      <c r="E16" s="16"/>
      <c r="F16" s="27">
        <v>1977</v>
      </c>
      <c r="G16" s="18">
        <f t="shared" si="1"/>
        <v>25997</v>
      </c>
      <c r="H16" s="28" t="s">
        <v>91</v>
      </c>
      <c r="I16" s="7" t="s">
        <v>90</v>
      </c>
      <c r="J16" s="7"/>
      <c r="K16" s="7"/>
    </row>
    <row r="17" spans="1:16" ht="18" customHeight="1" x14ac:dyDescent="0.25">
      <c r="A17" s="14">
        <f t="shared" si="0"/>
        <v>9</v>
      </c>
      <c r="B17" s="8">
        <v>45918</v>
      </c>
      <c r="C17" s="46" t="s">
        <v>435</v>
      </c>
      <c r="D17" s="214" t="s">
        <v>19</v>
      </c>
      <c r="E17" s="30"/>
      <c r="F17" s="27">
        <v>688</v>
      </c>
      <c r="G17" s="18">
        <f t="shared" si="1"/>
        <v>25309</v>
      </c>
      <c r="H17" s="28" t="s">
        <v>91</v>
      </c>
      <c r="I17" s="7" t="s">
        <v>90</v>
      </c>
      <c r="J17" s="7"/>
      <c r="K17" s="7"/>
    </row>
    <row r="18" spans="1:16" s="230" customFormat="1" ht="18" customHeight="1" x14ac:dyDescent="0.25">
      <c r="A18" s="223">
        <f>+A17+1</f>
        <v>10</v>
      </c>
      <c r="B18" s="224"/>
      <c r="C18" s="46" t="s">
        <v>435</v>
      </c>
      <c r="D18" s="226" t="s">
        <v>19</v>
      </c>
      <c r="E18" s="227"/>
      <c r="F18" s="228"/>
      <c r="G18" s="229">
        <f t="shared" si="1"/>
        <v>25309</v>
      </c>
      <c r="H18" s="28" t="s">
        <v>91</v>
      </c>
      <c r="I18" s="7" t="s">
        <v>90</v>
      </c>
      <c r="J18" s="348"/>
      <c r="K18" s="348"/>
      <c r="O18" s="230">
        <f>627+616+621+601+571+553+550+569+565+586+592</f>
        <v>6451</v>
      </c>
    </row>
    <row r="19" spans="1:16" s="230" customFormat="1" ht="18" customHeight="1" x14ac:dyDescent="0.25">
      <c r="A19" s="223">
        <f t="shared" si="0"/>
        <v>11</v>
      </c>
      <c r="B19" s="224"/>
      <c r="C19" s="46" t="s">
        <v>435</v>
      </c>
      <c r="D19" s="226" t="s">
        <v>19</v>
      </c>
      <c r="E19" s="231"/>
      <c r="F19" s="228"/>
      <c r="G19" s="229">
        <f t="shared" si="1"/>
        <v>25309</v>
      </c>
      <c r="H19" s="28" t="s">
        <v>91</v>
      </c>
      <c r="I19" s="7" t="s">
        <v>90</v>
      </c>
      <c r="J19" s="348"/>
      <c r="K19" s="348"/>
      <c r="O19" s="230">
        <f>569+588+585+587+569+591+591+586+577+573+569</f>
        <v>6385</v>
      </c>
      <c r="P19" s="230">
        <f>+O19+O18</f>
        <v>12836</v>
      </c>
    </row>
    <row r="20" spans="1:16" ht="18" customHeight="1" x14ac:dyDescent="0.25">
      <c r="A20" s="14">
        <f t="shared" si="0"/>
        <v>12</v>
      </c>
      <c r="B20" s="8"/>
      <c r="C20" s="46" t="s">
        <v>435</v>
      </c>
      <c r="D20" s="214" t="s">
        <v>19</v>
      </c>
      <c r="E20" s="32"/>
      <c r="F20" s="17"/>
      <c r="G20" s="18">
        <f t="shared" si="1"/>
        <v>25309</v>
      </c>
      <c r="H20" s="28" t="s">
        <v>91</v>
      </c>
      <c r="I20" s="7" t="s">
        <v>90</v>
      </c>
      <c r="J20" s="7"/>
      <c r="K20" s="7"/>
      <c r="N20" s="26"/>
    </row>
    <row r="21" spans="1:16" ht="18" customHeight="1" x14ac:dyDescent="0.25">
      <c r="A21" s="14">
        <f t="shared" si="0"/>
        <v>13</v>
      </c>
      <c r="B21" s="8"/>
      <c r="C21" s="46" t="s">
        <v>435</v>
      </c>
      <c r="D21" s="214" t="s">
        <v>19</v>
      </c>
      <c r="E21" s="32"/>
      <c r="F21" s="27"/>
      <c r="G21" s="18">
        <f t="shared" si="1"/>
        <v>25309</v>
      </c>
      <c r="H21" s="28" t="s">
        <v>91</v>
      </c>
      <c r="I21" s="7" t="s">
        <v>90</v>
      </c>
      <c r="J21" s="7"/>
      <c r="K21" s="7"/>
    </row>
    <row r="22" spans="1:16" ht="18" customHeight="1" x14ac:dyDescent="0.25">
      <c r="A22" s="14">
        <f t="shared" si="0"/>
        <v>14</v>
      </c>
      <c r="B22" s="232"/>
      <c r="C22" s="46" t="s">
        <v>435</v>
      </c>
      <c r="D22" s="234" t="s">
        <v>19</v>
      </c>
      <c r="E22" s="235"/>
      <c r="F22" s="172"/>
      <c r="G22" s="18">
        <f t="shared" si="1"/>
        <v>25309</v>
      </c>
      <c r="H22" s="28" t="s">
        <v>129</v>
      </c>
      <c r="I22" s="7" t="s">
        <v>90</v>
      </c>
      <c r="J22" s="7"/>
      <c r="K22" s="7"/>
    </row>
    <row r="23" spans="1:16" ht="18" customHeight="1" x14ac:dyDescent="0.25">
      <c r="A23" s="14">
        <f t="shared" si="0"/>
        <v>15</v>
      </c>
      <c r="B23" s="8"/>
      <c r="C23" s="46" t="s">
        <v>435</v>
      </c>
      <c r="D23" s="214" t="s">
        <v>19</v>
      </c>
      <c r="E23" s="32"/>
      <c r="F23" s="17"/>
      <c r="G23" s="18">
        <f t="shared" si="1"/>
        <v>25309</v>
      </c>
      <c r="H23" s="28" t="s">
        <v>129</v>
      </c>
      <c r="I23" s="7" t="s">
        <v>142</v>
      </c>
      <c r="J23" s="7"/>
      <c r="K23" s="7"/>
    </row>
    <row r="24" spans="1:16" ht="18" customHeight="1" x14ac:dyDescent="0.25">
      <c r="A24" s="14">
        <f t="shared" si="0"/>
        <v>16</v>
      </c>
      <c r="B24" s="8"/>
      <c r="C24" s="46" t="s">
        <v>435</v>
      </c>
      <c r="D24" s="214" t="s">
        <v>19</v>
      </c>
      <c r="E24" s="32"/>
      <c r="F24" s="17"/>
      <c r="G24" s="18">
        <f t="shared" si="1"/>
        <v>25309</v>
      </c>
      <c r="H24" s="28" t="s">
        <v>91</v>
      </c>
      <c r="I24" s="7" t="s">
        <v>90</v>
      </c>
      <c r="J24" s="7"/>
      <c r="K24" s="7"/>
    </row>
    <row r="25" spans="1:16" ht="18" customHeight="1" x14ac:dyDescent="0.25">
      <c r="A25" s="14">
        <f t="shared" si="0"/>
        <v>17</v>
      </c>
      <c r="B25" s="8"/>
      <c r="C25" s="46" t="s">
        <v>435</v>
      </c>
      <c r="D25" s="214" t="s">
        <v>19</v>
      </c>
      <c r="E25" s="32"/>
      <c r="F25" s="17"/>
      <c r="G25" s="18">
        <f t="shared" si="1"/>
        <v>25309</v>
      </c>
      <c r="H25" s="28" t="s">
        <v>91</v>
      </c>
      <c r="I25" s="7" t="s">
        <v>90</v>
      </c>
      <c r="J25" s="7"/>
      <c r="K25" s="7"/>
    </row>
    <row r="26" spans="1:16" ht="18" customHeight="1" x14ac:dyDescent="0.25">
      <c r="A26" s="14">
        <f t="shared" si="0"/>
        <v>18</v>
      </c>
      <c r="B26" s="8"/>
      <c r="C26" s="46" t="s">
        <v>435</v>
      </c>
      <c r="D26" s="214" t="s">
        <v>19</v>
      </c>
      <c r="E26" s="32"/>
      <c r="F26" s="17"/>
      <c r="G26" s="18">
        <f t="shared" si="1"/>
        <v>25309</v>
      </c>
      <c r="H26" s="28" t="s">
        <v>91</v>
      </c>
      <c r="I26" s="7" t="s">
        <v>90</v>
      </c>
      <c r="J26" s="7"/>
      <c r="K26" s="7"/>
      <c r="O26">
        <f>2525*88</f>
        <v>222200</v>
      </c>
    </row>
    <row r="27" spans="1:16" ht="18" customHeight="1" x14ac:dyDescent="0.25">
      <c r="A27" s="14">
        <f>+A26+1</f>
        <v>19</v>
      </c>
      <c r="B27" s="8"/>
      <c r="C27" s="46" t="s">
        <v>435</v>
      </c>
      <c r="D27" s="214" t="s">
        <v>19</v>
      </c>
      <c r="E27" s="32"/>
      <c r="F27" s="17"/>
      <c r="G27" s="18">
        <f t="shared" si="1"/>
        <v>25309</v>
      </c>
      <c r="H27" s="28" t="s">
        <v>91</v>
      </c>
      <c r="I27" s="7" t="s">
        <v>90</v>
      </c>
      <c r="J27" s="7"/>
      <c r="K27" s="7"/>
      <c r="O27">
        <f>+O26/2816</f>
        <v>78.90625</v>
      </c>
    </row>
    <row r="28" spans="1:16" ht="18" customHeight="1" x14ac:dyDescent="0.25">
      <c r="A28" s="14">
        <f t="shared" si="0"/>
        <v>20</v>
      </c>
      <c r="B28" s="8"/>
      <c r="C28" s="46" t="s">
        <v>435</v>
      </c>
      <c r="D28" s="214" t="s">
        <v>19</v>
      </c>
      <c r="E28" s="129"/>
      <c r="F28" s="17"/>
      <c r="G28" s="18">
        <f t="shared" si="1"/>
        <v>25309</v>
      </c>
      <c r="H28" s="28" t="s">
        <v>91</v>
      </c>
      <c r="I28" s="7" t="s">
        <v>90</v>
      </c>
      <c r="J28" s="7"/>
      <c r="K28" s="7"/>
    </row>
    <row r="29" spans="1:16" ht="18" customHeight="1" x14ac:dyDescent="0.25">
      <c r="A29" s="14">
        <f t="shared" si="0"/>
        <v>21</v>
      </c>
      <c r="B29" s="8"/>
      <c r="C29" s="46" t="s">
        <v>435</v>
      </c>
      <c r="D29" s="214" t="s">
        <v>19</v>
      </c>
      <c r="E29" s="32"/>
      <c r="F29" s="172"/>
      <c r="G29" s="18">
        <f t="shared" si="1"/>
        <v>25309</v>
      </c>
      <c r="H29" s="28" t="s">
        <v>91</v>
      </c>
      <c r="I29" s="7" t="s">
        <v>90</v>
      </c>
      <c r="J29" s="7"/>
      <c r="K29" s="7"/>
    </row>
    <row r="30" spans="1:16" ht="18" customHeight="1" x14ac:dyDescent="0.25">
      <c r="A30" s="14">
        <f t="shared" si="0"/>
        <v>22</v>
      </c>
      <c r="B30" s="8"/>
      <c r="C30" s="46" t="s">
        <v>435</v>
      </c>
      <c r="D30" s="214" t="s">
        <v>19</v>
      </c>
      <c r="E30" s="32"/>
      <c r="F30" s="17"/>
      <c r="G30" s="18">
        <f t="shared" si="1"/>
        <v>25309</v>
      </c>
      <c r="H30" s="28" t="s">
        <v>91</v>
      </c>
      <c r="I30" s="7" t="s">
        <v>90</v>
      </c>
      <c r="J30" s="7"/>
      <c r="K30" s="7"/>
    </row>
    <row r="31" spans="1:16" ht="18" customHeight="1" x14ac:dyDescent="0.25">
      <c r="A31" s="14">
        <f t="shared" si="0"/>
        <v>23</v>
      </c>
      <c r="B31" s="8"/>
      <c r="C31" s="46" t="s">
        <v>435</v>
      </c>
      <c r="D31" s="214" t="s">
        <v>19</v>
      </c>
      <c r="E31" s="32"/>
      <c r="F31" s="17"/>
      <c r="G31" s="18">
        <f t="shared" si="1"/>
        <v>25309</v>
      </c>
      <c r="H31" s="28" t="s">
        <v>91</v>
      </c>
      <c r="I31" s="7" t="s">
        <v>90</v>
      </c>
      <c r="J31" s="7"/>
      <c r="K31" s="7"/>
    </row>
    <row r="32" spans="1:16" ht="17.25" customHeight="1" x14ac:dyDescent="0.25">
      <c r="A32" s="14">
        <f t="shared" si="0"/>
        <v>24</v>
      </c>
      <c r="B32" s="8"/>
      <c r="C32" s="46" t="s">
        <v>435</v>
      </c>
      <c r="D32" s="214" t="s">
        <v>19</v>
      </c>
      <c r="E32" s="13"/>
      <c r="F32" s="17"/>
      <c r="G32" s="18">
        <f t="shared" si="1"/>
        <v>25309</v>
      </c>
      <c r="H32" s="28" t="s">
        <v>91</v>
      </c>
      <c r="I32" s="7" t="s">
        <v>90</v>
      </c>
      <c r="J32" s="7"/>
      <c r="K32" s="7"/>
    </row>
    <row r="33" spans="1:16" ht="17.25" customHeight="1" x14ac:dyDescent="0.25">
      <c r="A33" s="14">
        <f t="shared" si="0"/>
        <v>25</v>
      </c>
      <c r="B33" s="44"/>
      <c r="C33" s="46" t="s">
        <v>435</v>
      </c>
      <c r="D33" s="214" t="s">
        <v>19</v>
      </c>
      <c r="E33" s="13"/>
      <c r="F33" s="17"/>
      <c r="G33" s="18">
        <f t="shared" si="1"/>
        <v>25309</v>
      </c>
      <c r="H33" s="178"/>
      <c r="I33" s="7"/>
      <c r="J33" s="7"/>
      <c r="K33" s="7"/>
    </row>
    <row r="34" spans="1:16" ht="18" customHeight="1" x14ac:dyDescent="0.25">
      <c r="A34" s="14">
        <f t="shared" si="0"/>
        <v>26</v>
      </c>
      <c r="B34" s="8"/>
      <c r="C34" s="46" t="s">
        <v>435</v>
      </c>
      <c r="D34" s="214" t="s">
        <v>19</v>
      </c>
      <c r="E34" s="32"/>
      <c r="F34" s="40"/>
      <c r="G34" s="18">
        <f t="shared" si="1"/>
        <v>25309</v>
      </c>
      <c r="H34" s="178"/>
      <c r="I34" s="7"/>
      <c r="J34" s="7"/>
      <c r="K34" s="7"/>
    </row>
    <row r="35" spans="1:16" ht="18" customHeight="1" x14ac:dyDescent="0.25">
      <c r="A35" s="14">
        <f t="shared" si="0"/>
        <v>27</v>
      </c>
      <c r="B35" s="45"/>
      <c r="C35" s="46" t="s">
        <v>435</v>
      </c>
      <c r="D35" s="214" t="s">
        <v>19</v>
      </c>
      <c r="E35" s="32"/>
      <c r="F35" s="40"/>
      <c r="G35" s="18">
        <f t="shared" si="1"/>
        <v>25309</v>
      </c>
      <c r="H35" s="178"/>
      <c r="I35" s="7"/>
      <c r="J35" s="7"/>
      <c r="K35" s="7"/>
    </row>
    <row r="36" spans="1:16" ht="18" customHeight="1" x14ac:dyDescent="0.25">
      <c r="A36" s="14">
        <f t="shared" si="0"/>
        <v>28</v>
      </c>
      <c r="B36" s="8"/>
      <c r="C36" s="46" t="s">
        <v>435</v>
      </c>
      <c r="D36" s="214" t="s">
        <v>19</v>
      </c>
      <c r="E36" s="32"/>
      <c r="F36" s="40"/>
      <c r="G36" s="18">
        <f t="shared" si="1"/>
        <v>25309</v>
      </c>
      <c r="H36" s="178"/>
      <c r="I36" s="7"/>
      <c r="J36" s="7"/>
      <c r="K36" s="7"/>
    </row>
    <row r="37" spans="1:16" ht="18" customHeight="1" x14ac:dyDescent="0.25">
      <c r="A37" s="14">
        <f t="shared" si="0"/>
        <v>29</v>
      </c>
      <c r="B37" s="8"/>
      <c r="C37" s="46" t="s">
        <v>435</v>
      </c>
      <c r="D37" s="214" t="s">
        <v>19</v>
      </c>
      <c r="E37" s="32"/>
      <c r="F37" s="17"/>
      <c r="G37" s="18">
        <f t="shared" si="1"/>
        <v>25309</v>
      </c>
      <c r="H37" s="178"/>
      <c r="I37" s="7"/>
      <c r="J37" s="7"/>
      <c r="K37" s="7"/>
    </row>
    <row r="38" spans="1:16" ht="18" customHeight="1" x14ac:dyDescent="0.25">
      <c r="A38" s="14">
        <f t="shared" si="0"/>
        <v>30</v>
      </c>
      <c r="B38" s="8"/>
      <c r="C38" s="46" t="s">
        <v>435</v>
      </c>
      <c r="D38" s="214" t="s">
        <v>19</v>
      </c>
      <c r="E38" s="32"/>
      <c r="F38" s="17"/>
      <c r="G38" s="18">
        <f t="shared" si="1"/>
        <v>25309</v>
      </c>
      <c r="H38" s="178"/>
      <c r="I38" s="7"/>
      <c r="J38" s="7"/>
      <c r="K38" s="7"/>
    </row>
    <row r="39" spans="1:16" ht="18" customHeight="1" x14ac:dyDescent="0.25">
      <c r="A39" s="14">
        <f t="shared" si="0"/>
        <v>31</v>
      </c>
      <c r="B39" s="8"/>
      <c r="C39" s="46" t="s">
        <v>435</v>
      </c>
      <c r="D39" s="214" t="s">
        <v>19</v>
      </c>
      <c r="E39" s="32"/>
      <c r="F39" s="17"/>
      <c r="G39" s="18">
        <f t="shared" si="1"/>
        <v>25309</v>
      </c>
      <c r="H39" s="178"/>
      <c r="I39" s="7"/>
      <c r="J39" s="7"/>
      <c r="K39" s="7"/>
    </row>
    <row r="40" spans="1:16" ht="18" customHeight="1" x14ac:dyDescent="0.25">
      <c r="A40" s="14">
        <f t="shared" si="0"/>
        <v>32</v>
      </c>
      <c r="B40" s="8"/>
      <c r="C40" s="46" t="s">
        <v>435</v>
      </c>
      <c r="D40" s="214" t="s">
        <v>19</v>
      </c>
      <c r="E40" s="32"/>
      <c r="F40" s="17"/>
      <c r="G40" s="18">
        <f t="shared" si="1"/>
        <v>25309</v>
      </c>
      <c r="H40" s="178"/>
      <c r="I40" s="7"/>
      <c r="J40" s="7"/>
      <c r="K40" s="7"/>
    </row>
    <row r="41" spans="1:16" ht="18" customHeight="1" x14ac:dyDescent="0.25">
      <c r="A41" s="14">
        <f t="shared" si="0"/>
        <v>33</v>
      </c>
      <c r="B41" s="8"/>
      <c r="C41" s="46" t="s">
        <v>435</v>
      </c>
      <c r="D41" s="214" t="s">
        <v>19</v>
      </c>
      <c r="E41" s="32"/>
      <c r="F41" s="172"/>
      <c r="G41" s="18">
        <f t="shared" si="1"/>
        <v>25309</v>
      </c>
      <c r="H41" s="178"/>
      <c r="I41" s="7"/>
      <c r="J41" s="7"/>
      <c r="K41" s="7"/>
      <c r="P41" s="162"/>
    </row>
    <row r="42" spans="1:16" ht="18" customHeight="1" x14ac:dyDescent="0.25">
      <c r="A42" s="14">
        <f t="shared" si="0"/>
        <v>34</v>
      </c>
      <c r="B42" s="8"/>
      <c r="C42" s="46" t="s">
        <v>435</v>
      </c>
      <c r="D42" s="214" t="s">
        <v>19</v>
      </c>
      <c r="E42" s="32"/>
      <c r="F42" s="17"/>
      <c r="G42" s="18">
        <f t="shared" si="1"/>
        <v>25309</v>
      </c>
      <c r="H42" s="178"/>
      <c r="I42" s="7"/>
      <c r="J42" s="7"/>
      <c r="K42" s="7"/>
    </row>
    <row r="43" spans="1:16" ht="18" customHeight="1" x14ac:dyDescent="0.25">
      <c r="A43" s="14">
        <f t="shared" si="0"/>
        <v>35</v>
      </c>
      <c r="B43" s="8"/>
      <c r="C43" s="46" t="s">
        <v>435</v>
      </c>
      <c r="D43" s="214" t="s">
        <v>19</v>
      </c>
      <c r="E43" s="32"/>
      <c r="F43" s="17"/>
      <c r="G43" s="18">
        <f t="shared" si="1"/>
        <v>25309</v>
      </c>
      <c r="H43" s="178"/>
      <c r="I43" s="7"/>
      <c r="J43" s="7"/>
      <c r="K43" s="7"/>
    </row>
    <row r="44" spans="1:16" ht="18" customHeight="1" x14ac:dyDescent="0.25">
      <c r="A44" s="14">
        <f t="shared" si="0"/>
        <v>36</v>
      </c>
      <c r="B44" s="8"/>
      <c r="C44" s="46" t="s">
        <v>435</v>
      </c>
      <c r="D44" s="214" t="s">
        <v>19</v>
      </c>
      <c r="E44" s="32"/>
      <c r="F44" s="17"/>
      <c r="G44" s="18">
        <f t="shared" si="1"/>
        <v>25309</v>
      </c>
      <c r="H44" s="178"/>
      <c r="I44" s="7"/>
      <c r="J44" s="7"/>
      <c r="K44" s="7"/>
    </row>
    <row r="45" spans="1:16" ht="18" customHeight="1" x14ac:dyDescent="0.25">
      <c r="A45" s="14">
        <f t="shared" si="0"/>
        <v>37</v>
      </c>
      <c r="B45" s="8"/>
      <c r="C45" s="46" t="s">
        <v>435</v>
      </c>
      <c r="D45" s="214" t="s">
        <v>19</v>
      </c>
      <c r="E45" s="32"/>
      <c r="F45" s="17"/>
      <c r="G45" s="18">
        <f t="shared" si="1"/>
        <v>25309</v>
      </c>
      <c r="H45" s="178"/>
      <c r="I45" s="29"/>
      <c r="J45" s="7"/>
      <c r="K45" s="7"/>
    </row>
    <row r="46" spans="1:16" ht="18" customHeight="1" x14ac:dyDescent="0.25">
      <c r="A46" s="14">
        <f t="shared" si="0"/>
        <v>38</v>
      </c>
      <c r="B46" s="8"/>
      <c r="C46" s="46" t="s">
        <v>435</v>
      </c>
      <c r="D46" s="214" t="s">
        <v>19</v>
      </c>
      <c r="E46" s="32"/>
      <c r="F46" s="17"/>
      <c r="G46" s="18">
        <f t="shared" si="1"/>
        <v>25309</v>
      </c>
      <c r="H46" s="178"/>
      <c r="I46" s="29"/>
      <c r="J46" s="7"/>
      <c r="K46" s="7"/>
    </row>
    <row r="47" spans="1:16" ht="18" customHeight="1" x14ac:dyDescent="0.25">
      <c r="A47" s="14">
        <f t="shared" si="0"/>
        <v>39</v>
      </c>
      <c r="B47" s="8"/>
      <c r="C47" s="46" t="s">
        <v>435</v>
      </c>
      <c r="D47" s="214" t="s">
        <v>19</v>
      </c>
      <c r="E47" s="32"/>
      <c r="F47" s="17"/>
      <c r="G47" s="18">
        <f t="shared" si="1"/>
        <v>25309</v>
      </c>
      <c r="H47" s="178"/>
      <c r="I47" s="29"/>
      <c r="J47" s="7"/>
      <c r="K47" s="7"/>
    </row>
    <row r="48" spans="1:16" ht="18" customHeight="1" x14ac:dyDescent="0.25">
      <c r="A48" s="14">
        <f t="shared" si="0"/>
        <v>40</v>
      </c>
      <c r="B48" s="8"/>
      <c r="C48" s="46" t="s">
        <v>435</v>
      </c>
      <c r="D48" s="214" t="s">
        <v>19</v>
      </c>
      <c r="E48" s="32"/>
      <c r="F48" s="17"/>
      <c r="G48" s="18">
        <f t="shared" si="1"/>
        <v>25309</v>
      </c>
      <c r="H48" s="178"/>
      <c r="I48" s="29"/>
      <c r="J48" s="7"/>
      <c r="K48" s="7"/>
    </row>
    <row r="49" spans="1:16" ht="18" customHeight="1" x14ac:dyDescent="0.25">
      <c r="A49" s="14">
        <f t="shared" si="0"/>
        <v>41</v>
      </c>
      <c r="B49" s="8"/>
      <c r="C49" s="46" t="s">
        <v>435</v>
      </c>
      <c r="D49" s="214" t="s">
        <v>19</v>
      </c>
      <c r="E49" s="32"/>
      <c r="F49" s="17"/>
      <c r="G49" s="18">
        <f t="shared" si="1"/>
        <v>25309</v>
      </c>
      <c r="H49" s="178"/>
      <c r="I49" s="7"/>
      <c r="J49" s="7"/>
      <c r="K49" s="7"/>
    </row>
    <row r="50" spans="1:16" s="162" customFormat="1" ht="18" customHeight="1" x14ac:dyDescent="0.25">
      <c r="A50" s="158">
        <f t="shared" si="0"/>
        <v>42</v>
      </c>
      <c r="B50" s="174"/>
      <c r="C50" s="46" t="s">
        <v>435</v>
      </c>
      <c r="D50" s="237" t="s">
        <v>19</v>
      </c>
      <c r="E50" s="175"/>
      <c r="F50" s="172"/>
      <c r="G50" s="238">
        <f t="shared" si="1"/>
        <v>25309</v>
      </c>
      <c r="H50" s="178"/>
      <c r="I50" s="7"/>
      <c r="J50" s="271"/>
      <c r="K50" s="271"/>
      <c r="P50"/>
    </row>
    <row r="51" spans="1:16" ht="18" customHeight="1" x14ac:dyDescent="0.25">
      <c r="A51" s="14">
        <f t="shared" si="0"/>
        <v>43</v>
      </c>
      <c r="B51" s="8"/>
      <c r="C51" s="46" t="s">
        <v>435</v>
      </c>
      <c r="D51" s="214" t="s">
        <v>19</v>
      </c>
      <c r="E51" s="32"/>
      <c r="F51" s="17"/>
      <c r="G51" s="18">
        <f t="shared" si="1"/>
        <v>25309</v>
      </c>
      <c r="H51" s="239"/>
      <c r="I51" s="7"/>
      <c r="J51" s="7"/>
      <c r="K51" s="7"/>
    </row>
    <row r="52" spans="1:16" ht="18" customHeight="1" x14ac:dyDescent="0.25">
      <c r="A52" s="14">
        <f t="shared" si="0"/>
        <v>44</v>
      </c>
      <c r="B52" s="8"/>
      <c r="C52" s="46" t="s">
        <v>435</v>
      </c>
      <c r="D52" s="214" t="s">
        <v>19</v>
      </c>
      <c r="E52" s="32"/>
      <c r="F52" s="17"/>
      <c r="G52" s="18">
        <f t="shared" si="1"/>
        <v>25309</v>
      </c>
      <c r="H52" s="239"/>
      <c r="I52" s="7"/>
      <c r="J52" s="7"/>
      <c r="K52" s="7"/>
    </row>
    <row r="53" spans="1:16" ht="18" customHeight="1" x14ac:dyDescent="0.25">
      <c r="A53" s="14">
        <f t="shared" si="0"/>
        <v>45</v>
      </c>
      <c r="B53" s="8"/>
      <c r="C53" s="46" t="s">
        <v>435</v>
      </c>
      <c r="D53" s="214" t="s">
        <v>19</v>
      </c>
      <c r="E53" s="32"/>
      <c r="F53" s="17"/>
      <c r="G53" s="18">
        <f t="shared" si="1"/>
        <v>25309</v>
      </c>
      <c r="H53" s="239"/>
      <c r="I53" s="7"/>
      <c r="J53" s="7"/>
      <c r="K53" s="7"/>
    </row>
    <row r="54" spans="1:16" ht="18" customHeight="1" x14ac:dyDescent="0.25">
      <c r="A54" s="14">
        <f t="shared" si="0"/>
        <v>46</v>
      </c>
      <c r="B54" s="8"/>
      <c r="C54" s="46" t="s">
        <v>435</v>
      </c>
      <c r="D54" s="214" t="s">
        <v>19</v>
      </c>
      <c r="E54" s="32"/>
      <c r="F54" s="17"/>
      <c r="G54" s="18">
        <f t="shared" si="1"/>
        <v>25309</v>
      </c>
      <c r="H54" s="28"/>
      <c r="I54" s="7"/>
      <c r="J54" s="7"/>
      <c r="K54" s="7"/>
    </row>
    <row r="55" spans="1:16" ht="18" customHeight="1" x14ac:dyDescent="0.25">
      <c r="A55" s="14">
        <f t="shared" si="0"/>
        <v>47</v>
      </c>
      <c r="B55" s="8"/>
      <c r="C55" s="46" t="s">
        <v>435</v>
      </c>
      <c r="D55" s="214" t="s">
        <v>19</v>
      </c>
      <c r="E55" s="32"/>
      <c r="F55" s="17"/>
      <c r="G55" s="18">
        <f t="shared" si="1"/>
        <v>25309</v>
      </c>
      <c r="H55" s="240"/>
      <c r="I55" s="7"/>
      <c r="J55" s="7"/>
      <c r="K55" s="7"/>
    </row>
    <row r="56" spans="1:16" ht="18" customHeight="1" x14ac:dyDescent="0.25">
      <c r="A56" s="14">
        <f t="shared" si="0"/>
        <v>48</v>
      </c>
      <c r="B56" s="8"/>
      <c r="C56" s="46" t="s">
        <v>435</v>
      </c>
      <c r="D56" s="214" t="s">
        <v>19</v>
      </c>
      <c r="E56" s="32"/>
      <c r="F56" s="17"/>
      <c r="G56" s="18">
        <f t="shared" si="1"/>
        <v>25309</v>
      </c>
      <c r="H56" s="240"/>
      <c r="I56" s="7"/>
      <c r="J56" s="7"/>
      <c r="K56" s="7"/>
    </row>
    <row r="57" spans="1:16" ht="18" customHeight="1" x14ac:dyDescent="0.25">
      <c r="A57" s="14">
        <f t="shared" si="0"/>
        <v>49</v>
      </c>
      <c r="B57" s="8"/>
      <c r="C57" s="46" t="s">
        <v>435</v>
      </c>
      <c r="D57" s="214" t="s">
        <v>19</v>
      </c>
      <c r="E57" s="32"/>
      <c r="F57" s="17"/>
      <c r="G57" s="18">
        <f t="shared" si="1"/>
        <v>25309</v>
      </c>
      <c r="H57" s="240"/>
      <c r="I57" s="7" t="s">
        <v>14</v>
      </c>
      <c r="J57" s="7"/>
      <c r="K57" s="7"/>
    </row>
    <row r="58" spans="1:16" ht="18" customHeight="1" x14ac:dyDescent="0.25">
      <c r="A58" s="14">
        <f t="shared" si="0"/>
        <v>50</v>
      </c>
      <c r="B58" s="8"/>
      <c r="C58" s="46" t="s">
        <v>435</v>
      </c>
      <c r="D58" s="214" t="s">
        <v>19</v>
      </c>
      <c r="E58" s="32"/>
      <c r="F58" s="17"/>
      <c r="G58" s="18">
        <f t="shared" si="1"/>
        <v>25309</v>
      </c>
      <c r="H58" s="240"/>
      <c r="I58" s="7" t="s">
        <v>14</v>
      </c>
      <c r="J58" s="7"/>
      <c r="K58" s="7"/>
    </row>
    <row r="59" spans="1:16" ht="18" customHeight="1" x14ac:dyDescent="0.25">
      <c r="A59" s="14">
        <f t="shared" si="0"/>
        <v>51</v>
      </c>
      <c r="B59" s="8"/>
      <c r="C59" s="46" t="s">
        <v>435</v>
      </c>
      <c r="D59" s="214" t="s">
        <v>19</v>
      </c>
      <c r="E59" s="32"/>
      <c r="F59" s="17"/>
      <c r="G59" s="18">
        <f t="shared" si="1"/>
        <v>25309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0"/>
        <v>52</v>
      </c>
      <c r="B60" s="8"/>
      <c r="C60" s="46" t="s">
        <v>435</v>
      </c>
      <c r="D60" s="214" t="s">
        <v>19</v>
      </c>
      <c r="E60" s="32"/>
      <c r="F60" s="17"/>
      <c r="G60" s="18">
        <f t="shared" si="1"/>
        <v>25309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0"/>
        <v>53</v>
      </c>
      <c r="B61" s="8"/>
      <c r="C61" s="46" t="s">
        <v>435</v>
      </c>
      <c r="D61" s="214" t="s">
        <v>19</v>
      </c>
      <c r="E61" s="32"/>
      <c r="F61" s="17"/>
      <c r="G61" s="18">
        <f t="shared" si="1"/>
        <v>25309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0"/>
        <v>54</v>
      </c>
      <c r="B62" s="8"/>
      <c r="C62" s="46" t="s">
        <v>435</v>
      </c>
      <c r="D62" s="214" t="s">
        <v>19</v>
      </c>
      <c r="E62" s="32"/>
      <c r="F62" s="17"/>
      <c r="G62" s="18">
        <f t="shared" si="1"/>
        <v>25309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0"/>
        <v>55</v>
      </c>
      <c r="B63" s="8"/>
      <c r="C63" s="46" t="s">
        <v>435</v>
      </c>
      <c r="D63" s="214" t="s">
        <v>19</v>
      </c>
      <c r="E63" s="32"/>
      <c r="F63" s="17"/>
      <c r="G63" s="18">
        <f t="shared" si="1"/>
        <v>25309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0"/>
        <v>56</v>
      </c>
      <c r="B64" s="8"/>
      <c r="C64" s="46" t="s">
        <v>435</v>
      </c>
      <c r="D64" s="214" t="s">
        <v>19</v>
      </c>
      <c r="E64" s="32"/>
      <c r="F64" s="17"/>
      <c r="G64" s="18">
        <f t="shared" si="1"/>
        <v>25309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0"/>
        <v>57</v>
      </c>
      <c r="B65" s="8"/>
      <c r="C65" s="46" t="s">
        <v>435</v>
      </c>
      <c r="D65" s="214" t="s">
        <v>19</v>
      </c>
      <c r="E65" s="32"/>
      <c r="F65" s="17"/>
      <c r="G65" s="18">
        <f t="shared" si="1"/>
        <v>25309</v>
      </c>
      <c r="H65" s="240"/>
      <c r="I65" s="7" t="s">
        <v>14</v>
      </c>
      <c r="J65" s="140"/>
      <c r="K65" s="7"/>
    </row>
    <row r="66" spans="1:11" ht="18" customHeight="1" x14ac:dyDescent="0.25">
      <c r="A66" s="14">
        <f t="shared" si="0"/>
        <v>58</v>
      </c>
      <c r="B66" s="8"/>
      <c r="C66" s="46" t="s">
        <v>435</v>
      </c>
      <c r="D66" s="214" t="s">
        <v>19</v>
      </c>
      <c r="E66" s="32"/>
      <c r="F66" s="17"/>
      <c r="G66" s="18">
        <f t="shared" si="1"/>
        <v>25309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0"/>
        <v>59</v>
      </c>
      <c r="B67" s="8"/>
      <c r="C67" s="46" t="s">
        <v>435</v>
      </c>
      <c r="D67" s="214" t="s">
        <v>19</v>
      </c>
      <c r="E67" s="32"/>
      <c r="F67" s="17"/>
      <c r="G67" s="18">
        <f>+G66+E67-F67</f>
        <v>25309</v>
      </c>
      <c r="H67" s="240"/>
      <c r="I67" s="7" t="s">
        <v>14</v>
      </c>
      <c r="J67" s="7"/>
      <c r="K67" s="7"/>
    </row>
    <row r="68" spans="1:11" ht="18" customHeight="1" x14ac:dyDescent="0.25">
      <c r="A68" s="14">
        <f t="shared" si="0"/>
        <v>60</v>
      </c>
      <c r="B68" s="8"/>
      <c r="C68" s="46" t="s">
        <v>435</v>
      </c>
      <c r="D68" s="214" t="s">
        <v>19</v>
      </c>
      <c r="E68" s="32"/>
      <c r="F68" s="17"/>
      <c r="G68" s="18">
        <f>+G67+E68-F68</f>
        <v>25309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0"/>
        <v>61</v>
      </c>
      <c r="B69" s="8"/>
      <c r="C69" s="46" t="s">
        <v>435</v>
      </c>
      <c r="D69" s="214" t="s">
        <v>19</v>
      </c>
      <c r="E69" s="32"/>
      <c r="F69" s="17"/>
      <c r="G69" s="18">
        <f>+G68+E69-F69</f>
        <v>25309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0"/>
        <v>62</v>
      </c>
      <c r="B70" s="8"/>
      <c r="C70" s="46" t="s">
        <v>435</v>
      </c>
      <c r="D70" s="214" t="s">
        <v>19</v>
      </c>
      <c r="E70" s="32"/>
      <c r="F70" s="17"/>
      <c r="G70" s="18">
        <f t="shared" si="1"/>
        <v>25309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0"/>
        <v>63</v>
      </c>
      <c r="B71" s="8"/>
      <c r="C71" s="46" t="s">
        <v>435</v>
      </c>
      <c r="D71" s="214" t="s">
        <v>19</v>
      </c>
      <c r="E71" s="32"/>
      <c r="F71" s="17"/>
      <c r="G71" s="18">
        <f t="shared" si="1"/>
        <v>25309</v>
      </c>
      <c r="H71" s="240"/>
      <c r="I71" s="7" t="s">
        <v>14</v>
      </c>
      <c r="J71" s="7"/>
      <c r="K71" s="7"/>
    </row>
    <row r="72" spans="1:11" ht="18" customHeight="1" x14ac:dyDescent="0.25">
      <c r="A72" s="14">
        <f>+A71+1</f>
        <v>64</v>
      </c>
      <c r="B72" s="8"/>
      <c r="C72" s="46" t="s">
        <v>435</v>
      </c>
      <c r="D72" s="214" t="s">
        <v>19</v>
      </c>
      <c r="E72" s="32"/>
      <c r="F72" s="17"/>
      <c r="G72" s="18">
        <f t="shared" si="1"/>
        <v>25309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0"/>
        <v>65</v>
      </c>
      <c r="B73" s="8"/>
      <c r="C73" s="46" t="s">
        <v>435</v>
      </c>
      <c r="D73" s="214" t="s">
        <v>19</v>
      </c>
      <c r="E73" s="32"/>
      <c r="F73" s="17"/>
      <c r="G73" s="18">
        <f t="shared" si="1"/>
        <v>25309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ref="A74:A107" si="2">+A73+1</f>
        <v>66</v>
      </c>
      <c r="B74" s="8"/>
      <c r="C74" s="46" t="s">
        <v>435</v>
      </c>
      <c r="D74" s="214" t="s">
        <v>19</v>
      </c>
      <c r="E74" s="32"/>
      <c r="F74" s="17"/>
      <c r="G74" s="18">
        <f t="shared" ref="G74:G91" si="3">+G73+E74-F74</f>
        <v>25309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2"/>
        <v>67</v>
      </c>
      <c r="B75" s="8"/>
      <c r="C75" s="46" t="s">
        <v>435</v>
      </c>
      <c r="D75" s="214" t="s">
        <v>19</v>
      </c>
      <c r="E75" s="32"/>
      <c r="F75" s="17"/>
      <c r="G75" s="18">
        <f t="shared" si="3"/>
        <v>25309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si="2"/>
        <v>68</v>
      </c>
      <c r="B76" s="8"/>
      <c r="C76" s="46" t="s">
        <v>435</v>
      </c>
      <c r="D76" s="214" t="s">
        <v>19</v>
      </c>
      <c r="E76" s="32"/>
      <c r="F76" s="17"/>
      <c r="G76" s="18">
        <f t="shared" si="3"/>
        <v>25309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 t="s">
        <v>435</v>
      </c>
      <c r="D77" s="214" t="s">
        <v>19</v>
      </c>
      <c r="E77" s="32"/>
      <c r="F77" s="17"/>
      <c r="G77" s="18">
        <f t="shared" si="3"/>
        <v>25309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 t="s">
        <v>435</v>
      </c>
      <c r="D78" s="214" t="s">
        <v>19</v>
      </c>
      <c r="E78" s="32"/>
      <c r="F78" s="17"/>
      <c r="G78" s="18">
        <f t="shared" si="3"/>
        <v>25309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 t="s">
        <v>435</v>
      </c>
      <c r="D79" s="214" t="s">
        <v>19</v>
      </c>
      <c r="E79" s="32"/>
      <c r="F79" s="17"/>
      <c r="G79" s="18">
        <f t="shared" si="3"/>
        <v>25309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 t="s">
        <v>435</v>
      </c>
      <c r="D80" s="214" t="s">
        <v>19</v>
      </c>
      <c r="E80" s="32"/>
      <c r="F80" s="17"/>
      <c r="G80" s="18">
        <f t="shared" si="3"/>
        <v>25309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 t="s">
        <v>435</v>
      </c>
      <c r="D81" s="214" t="s">
        <v>19</v>
      </c>
      <c r="E81" s="32"/>
      <c r="F81" s="17"/>
      <c r="G81" s="18">
        <f t="shared" si="3"/>
        <v>25309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 t="s">
        <v>435</v>
      </c>
      <c r="D82" s="214" t="s">
        <v>19</v>
      </c>
      <c r="E82" s="32"/>
      <c r="F82" s="17"/>
      <c r="G82" s="18">
        <f t="shared" si="3"/>
        <v>25309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 t="s">
        <v>435</v>
      </c>
      <c r="D83" s="214" t="s">
        <v>19</v>
      </c>
      <c r="E83" s="32"/>
      <c r="F83" s="27"/>
      <c r="G83" s="18">
        <f t="shared" si="3"/>
        <v>25309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 t="s">
        <v>435</v>
      </c>
      <c r="D84" s="214" t="s">
        <v>19</v>
      </c>
      <c r="E84" s="32"/>
      <c r="F84" s="17"/>
      <c r="G84" s="18">
        <f t="shared" si="3"/>
        <v>25309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 t="s">
        <v>435</v>
      </c>
      <c r="D85" s="214" t="s">
        <v>19</v>
      </c>
      <c r="E85" s="32"/>
      <c r="F85" s="17"/>
      <c r="G85" s="18">
        <f t="shared" si="3"/>
        <v>25309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 t="s">
        <v>435</v>
      </c>
      <c r="D86" s="214" t="s">
        <v>19</v>
      </c>
      <c r="E86" s="32"/>
      <c r="F86" s="17"/>
      <c r="G86" s="18">
        <f t="shared" si="3"/>
        <v>25309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 t="s">
        <v>435</v>
      </c>
      <c r="D87" s="214" t="s">
        <v>19</v>
      </c>
      <c r="E87" s="32"/>
      <c r="F87" s="17"/>
      <c r="G87" s="18">
        <f t="shared" si="3"/>
        <v>25309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 t="s">
        <v>435</v>
      </c>
      <c r="D88" s="214" t="s">
        <v>19</v>
      </c>
      <c r="E88" s="32"/>
      <c r="F88" s="17"/>
      <c r="G88" s="18">
        <f t="shared" si="3"/>
        <v>25309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 t="s">
        <v>435</v>
      </c>
      <c r="D89" s="214" t="s">
        <v>19</v>
      </c>
      <c r="E89" s="32"/>
      <c r="F89" s="17"/>
      <c r="G89" s="18">
        <f t="shared" si="3"/>
        <v>25309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 t="s">
        <v>435</v>
      </c>
      <c r="D90" s="214" t="s">
        <v>19</v>
      </c>
      <c r="E90" s="32"/>
      <c r="F90" s="17"/>
      <c r="G90" s="18">
        <f t="shared" si="3"/>
        <v>25309</v>
      </c>
      <c r="H90" s="240"/>
      <c r="I90" s="7" t="s">
        <v>14</v>
      </c>
      <c r="J90" s="7"/>
      <c r="K90" s="7"/>
      <c r="L90" s="199"/>
      <c r="Q90" s="199"/>
    </row>
    <row r="91" spans="1:17" ht="18" customHeight="1" x14ac:dyDescent="0.25">
      <c r="A91" s="14">
        <f t="shared" si="2"/>
        <v>83</v>
      </c>
      <c r="B91" s="8"/>
      <c r="C91" s="46" t="s">
        <v>435</v>
      </c>
      <c r="D91" s="214" t="s">
        <v>19</v>
      </c>
      <c r="E91" s="32"/>
      <c r="F91" s="27"/>
      <c r="G91" s="18">
        <f t="shared" si="3"/>
        <v>25309</v>
      </c>
      <c r="H91" s="240"/>
      <c r="I91" s="7" t="s">
        <v>14</v>
      </c>
      <c r="J91" s="7"/>
      <c r="K91" s="7"/>
      <c r="L91" s="199"/>
      <c r="Q91" s="199"/>
    </row>
    <row r="92" spans="1:17" ht="18" customHeight="1" x14ac:dyDescent="0.25">
      <c r="A92" s="14">
        <f t="shared" si="2"/>
        <v>84</v>
      </c>
      <c r="B92" s="8"/>
      <c r="C92" s="46" t="s">
        <v>435</v>
      </c>
      <c r="D92" s="214" t="s">
        <v>19</v>
      </c>
      <c r="E92" s="32"/>
      <c r="F92" s="27"/>
      <c r="G92" s="18">
        <f>+G91+E92-F92</f>
        <v>25309</v>
      </c>
      <c r="H92" s="240"/>
      <c r="I92" s="7" t="s">
        <v>14</v>
      </c>
      <c r="J92" s="7"/>
      <c r="K92" s="7"/>
      <c r="L92" s="199"/>
      <c r="Q92" s="199"/>
    </row>
    <row r="93" spans="1:17" s="179" customFormat="1" ht="18" customHeight="1" x14ac:dyDescent="0.25">
      <c r="A93" s="241">
        <f t="shared" si="2"/>
        <v>85</v>
      </c>
      <c r="B93" s="242"/>
      <c r="C93" s="46" t="s">
        <v>435</v>
      </c>
      <c r="D93" s="244" t="s">
        <v>19</v>
      </c>
      <c r="E93" s="245"/>
      <c r="F93" s="52"/>
      <c r="G93" s="246">
        <f>+G92+E93-F93</f>
        <v>25309</v>
      </c>
      <c r="H93" s="240"/>
      <c r="I93" s="247" t="s">
        <v>14</v>
      </c>
      <c r="J93" s="247"/>
      <c r="K93" s="247"/>
      <c r="L93" s="248"/>
      <c r="Q93" s="248"/>
    </row>
    <row r="94" spans="1:17" s="179" customFormat="1" ht="18" customHeight="1" x14ac:dyDescent="0.25">
      <c r="A94" s="241"/>
      <c r="B94" s="242"/>
      <c r="C94" s="46" t="s">
        <v>435</v>
      </c>
      <c r="D94" s="244" t="s">
        <v>19</v>
      </c>
      <c r="E94" s="245"/>
      <c r="F94" s="52"/>
      <c r="G94" s="246">
        <f t="shared" ref="G94:G106" si="4">+G93+E94-F94</f>
        <v>25309</v>
      </c>
      <c r="H94" s="240"/>
      <c r="I94" s="247" t="s">
        <v>14</v>
      </c>
      <c r="J94" s="247"/>
      <c r="K94" s="247"/>
      <c r="L94" s="248"/>
      <c r="Q94" s="248"/>
    </row>
    <row r="95" spans="1:17" s="179" customFormat="1" ht="18" customHeight="1" x14ac:dyDescent="0.25">
      <c r="A95" s="241"/>
      <c r="B95" s="242"/>
      <c r="C95" s="46" t="s">
        <v>435</v>
      </c>
      <c r="D95" s="244" t="s">
        <v>19</v>
      </c>
      <c r="E95" s="245"/>
      <c r="F95" s="52"/>
      <c r="G95" s="246">
        <f t="shared" si="4"/>
        <v>25309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241"/>
      <c r="B96" s="242"/>
      <c r="C96" s="46" t="s">
        <v>435</v>
      </c>
      <c r="D96" s="244" t="s">
        <v>19</v>
      </c>
      <c r="E96" s="245"/>
      <c r="F96" s="52"/>
      <c r="G96" s="246">
        <f t="shared" si="4"/>
        <v>25309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241"/>
      <c r="B97" s="242"/>
      <c r="C97" s="46" t="s">
        <v>435</v>
      </c>
      <c r="D97" s="244" t="s">
        <v>19</v>
      </c>
      <c r="E97" s="245"/>
      <c r="F97" s="52"/>
      <c r="G97" s="246">
        <f t="shared" si="4"/>
        <v>25309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241"/>
      <c r="B98" s="242"/>
      <c r="C98" s="46" t="s">
        <v>435</v>
      </c>
      <c r="D98" s="244" t="s">
        <v>19</v>
      </c>
      <c r="E98" s="245"/>
      <c r="F98" s="52"/>
      <c r="G98" s="246">
        <f t="shared" si="4"/>
        <v>25309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241"/>
      <c r="B99" s="242"/>
      <c r="C99" s="46" t="s">
        <v>435</v>
      </c>
      <c r="D99" s="244" t="s">
        <v>19</v>
      </c>
      <c r="E99" s="245"/>
      <c r="F99" s="52"/>
      <c r="G99" s="246">
        <f t="shared" si="4"/>
        <v>25309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241"/>
      <c r="B100" s="242"/>
      <c r="C100" s="46" t="s">
        <v>435</v>
      </c>
      <c r="D100" s="244" t="s">
        <v>19</v>
      </c>
      <c r="E100" s="245"/>
      <c r="F100" s="52"/>
      <c r="G100" s="246">
        <f t="shared" si="4"/>
        <v>25309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241"/>
      <c r="B101" s="242"/>
      <c r="C101" s="46"/>
      <c r="D101" s="244"/>
      <c r="E101" s="245"/>
      <c r="F101" s="52"/>
      <c r="G101" s="246">
        <f t="shared" si="4"/>
        <v>25309</v>
      </c>
      <c r="H101" s="240"/>
      <c r="I101" s="247"/>
      <c r="J101" s="247"/>
      <c r="K101" s="247"/>
      <c r="L101" s="248"/>
      <c r="Q101" s="248"/>
    </row>
    <row r="102" spans="1:17" s="179" customFormat="1" ht="18" customHeight="1" x14ac:dyDescent="0.25">
      <c r="A102" s="241"/>
      <c r="B102" s="242"/>
      <c r="C102" s="46"/>
      <c r="D102" s="244"/>
      <c r="E102" s="245"/>
      <c r="F102" s="52"/>
      <c r="G102" s="246">
        <f t="shared" si="4"/>
        <v>25309</v>
      </c>
      <c r="H102" s="240"/>
      <c r="I102" s="247"/>
      <c r="J102" s="247"/>
      <c r="K102" s="247"/>
      <c r="L102" s="248"/>
      <c r="Q102" s="248"/>
    </row>
    <row r="103" spans="1:17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25309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25309</v>
      </c>
      <c r="H104" s="240"/>
      <c r="I104" s="247"/>
      <c r="J104" s="247"/>
      <c r="K104" s="247"/>
      <c r="L104" s="248"/>
      <c r="Q104" s="248"/>
    </row>
    <row r="105" spans="1:17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25309</v>
      </c>
      <c r="H105" s="28"/>
      <c r="I105" s="7"/>
      <c r="J105" s="7"/>
      <c r="K105" s="7"/>
      <c r="L105" s="199"/>
      <c r="Q105" s="199"/>
    </row>
    <row r="106" spans="1:17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25309</v>
      </c>
      <c r="H106" s="28"/>
      <c r="I106" s="7"/>
      <c r="J106" s="7"/>
      <c r="K106" s="7"/>
      <c r="L106" s="199"/>
      <c r="Q106" s="199"/>
    </row>
    <row r="107" spans="1:17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25309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7"/>
      <c r="B108" s="7"/>
      <c r="C108" s="34" t="s">
        <v>13</v>
      </c>
      <c r="D108" s="14"/>
      <c r="E108" s="35">
        <f>SUM(E8:E107)</f>
        <v>31350</v>
      </c>
      <c r="F108" s="35">
        <f>SUM(F8:F107)</f>
        <v>6041</v>
      </c>
      <c r="G108" s="35">
        <f>+E108-F108+G8</f>
        <v>25309</v>
      </c>
      <c r="H108" s="35"/>
      <c r="I108" s="36"/>
      <c r="J108" s="7">
        <f>SUM(J9:J107)</f>
        <v>23</v>
      </c>
      <c r="K108" s="7"/>
    </row>
    <row r="109" spans="1:17" ht="18" customHeight="1" x14ac:dyDescent="0.25"/>
    <row r="112" spans="1:17" x14ac:dyDescent="0.25">
      <c r="E112" s="201"/>
      <c r="F112" s="201"/>
      <c r="G112" s="201"/>
      <c r="H112" s="201"/>
    </row>
    <row r="113" spans="5:9" x14ac:dyDescent="0.25">
      <c r="F113" s="26"/>
    </row>
    <row r="114" spans="5:9" x14ac:dyDescent="0.25">
      <c r="E114" s="26"/>
      <c r="F114" s="26"/>
      <c r="G114" s="26"/>
      <c r="H114" s="26"/>
      <c r="I114" s="26"/>
    </row>
    <row r="115" spans="5:9" x14ac:dyDescent="0.25">
      <c r="I115" s="202"/>
    </row>
    <row r="116" spans="5:9" x14ac:dyDescent="0.25">
      <c r="E116" s="199"/>
    </row>
    <row r="117" spans="5:9" x14ac:dyDescent="0.25">
      <c r="E117" s="26"/>
      <c r="F117" s="26"/>
    </row>
    <row r="118" spans="5:9" x14ac:dyDescent="0.25">
      <c r="E118" s="203"/>
      <c r="F118" s="204"/>
      <c r="G118" s="203"/>
      <c r="H118" s="203"/>
    </row>
    <row r="119" spans="5:9" x14ac:dyDescent="0.25">
      <c r="F119" s="26"/>
    </row>
  </sheetData>
  <mergeCells count="1">
    <mergeCell ref="A4:I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6F4D-AE55-44C7-A4CE-4ED78555D3CD}">
  <sheetPr codeName="Sheet99"/>
  <dimension ref="A1:Q121"/>
  <sheetViews>
    <sheetView topLeftCell="A60" workbookViewId="0">
      <selection activeCell="C106" sqref="C106"/>
    </sheetView>
  </sheetViews>
  <sheetFormatPr defaultRowHeight="15" x14ac:dyDescent="0.25"/>
  <cols>
    <col min="1" max="1" width="6" customWidth="1"/>
    <col min="2" max="2" width="11.5703125" customWidth="1"/>
    <col min="3" max="3" width="41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4.85546875" customWidth="1"/>
    <col min="10" max="10" width="11.1406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6" spans="1:13" x14ac:dyDescent="0.25">
      <c r="A6" t="s">
        <v>162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  <c r="J7" s="260" t="s">
        <v>180</v>
      </c>
      <c r="K7" s="260" t="s">
        <v>181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45810</v>
      </c>
      <c r="C9" s="46" t="s">
        <v>404</v>
      </c>
      <c r="D9" s="214" t="s">
        <v>19</v>
      </c>
      <c r="E9" s="30">
        <v>6101</v>
      </c>
      <c r="F9" s="27"/>
      <c r="G9" s="18">
        <f>+G8+E9-F9</f>
        <v>6101</v>
      </c>
      <c r="H9" s="28" t="s">
        <v>91</v>
      </c>
      <c r="I9" s="7" t="s">
        <v>90</v>
      </c>
      <c r="J9" s="7">
        <v>11</v>
      </c>
      <c r="K9" s="7"/>
      <c r="L9">
        <f>362.5+401.5+338.5+348.5</f>
        <v>1451</v>
      </c>
      <c r="M9">
        <f>+K9-L9</f>
        <v>-1451</v>
      </c>
    </row>
    <row r="10" spans="1:13" ht="17.25" customHeight="1" x14ac:dyDescent="0.25">
      <c r="A10" s="14">
        <f>+A9+1</f>
        <v>2</v>
      </c>
      <c r="B10" s="8">
        <v>45825</v>
      </c>
      <c r="C10" s="46" t="s">
        <v>404</v>
      </c>
      <c r="D10" s="214" t="s">
        <v>19</v>
      </c>
      <c r="E10" s="11"/>
      <c r="F10" s="27">
        <v>1701</v>
      </c>
      <c r="G10" s="18">
        <f t="shared" ref="G10:G75" si="0">+G9+E10-F10</f>
        <v>4400</v>
      </c>
      <c r="H10" s="28" t="s">
        <v>140</v>
      </c>
      <c r="I10" s="7" t="s">
        <v>90</v>
      </c>
      <c r="J10" s="7"/>
      <c r="K10" s="7"/>
      <c r="L10">
        <f>1151+1093</f>
        <v>2244</v>
      </c>
    </row>
    <row r="11" spans="1:13" ht="18" customHeight="1" x14ac:dyDescent="0.25">
      <c r="A11" s="14">
        <f t="shared" ref="A11:A75" si="1">+A10+1</f>
        <v>3</v>
      </c>
      <c r="B11" s="8">
        <v>45825</v>
      </c>
      <c r="C11" s="46" t="s">
        <v>406</v>
      </c>
      <c r="D11" s="214" t="s">
        <v>19</v>
      </c>
      <c r="E11" s="16">
        <v>463.6</v>
      </c>
      <c r="F11" s="27"/>
      <c r="G11" s="18">
        <f t="shared" si="0"/>
        <v>4863.6000000000004</v>
      </c>
      <c r="H11" s="28" t="s">
        <v>91</v>
      </c>
      <c r="I11" s="7" t="s">
        <v>90</v>
      </c>
      <c r="J11" s="140"/>
      <c r="K11" s="7"/>
    </row>
    <row r="12" spans="1:13" ht="18" customHeight="1" x14ac:dyDescent="0.25">
      <c r="A12" s="14">
        <f t="shared" si="1"/>
        <v>4</v>
      </c>
      <c r="B12" s="8">
        <v>45825</v>
      </c>
      <c r="C12" s="46" t="s">
        <v>406</v>
      </c>
      <c r="D12" s="214" t="s">
        <v>19</v>
      </c>
      <c r="E12" s="16">
        <v>443.8</v>
      </c>
      <c r="F12" s="17"/>
      <c r="G12" s="18">
        <f t="shared" si="0"/>
        <v>5307.4000000000005</v>
      </c>
      <c r="H12" s="28" t="s">
        <v>91</v>
      </c>
      <c r="I12" s="7" t="s">
        <v>90</v>
      </c>
      <c r="J12" s="140"/>
      <c r="K12" s="7"/>
    </row>
    <row r="13" spans="1:13" ht="18" customHeight="1" x14ac:dyDescent="0.25">
      <c r="A13" s="14">
        <f t="shared" si="1"/>
        <v>5</v>
      </c>
      <c r="B13" s="8">
        <v>45825</v>
      </c>
      <c r="C13" s="46"/>
      <c r="D13" s="214" t="s">
        <v>19</v>
      </c>
      <c r="E13" s="16">
        <v>462</v>
      </c>
      <c r="F13" s="17"/>
      <c r="G13" s="18">
        <f t="shared" si="0"/>
        <v>5769.4000000000005</v>
      </c>
      <c r="H13" s="28" t="s">
        <v>91</v>
      </c>
      <c r="I13" s="7" t="s">
        <v>90</v>
      </c>
      <c r="J13" s="140"/>
      <c r="K13" s="7"/>
    </row>
    <row r="14" spans="1:13" ht="18" customHeight="1" x14ac:dyDescent="0.25">
      <c r="A14" s="14">
        <f t="shared" si="1"/>
        <v>6</v>
      </c>
      <c r="B14" s="8">
        <v>45826</v>
      </c>
      <c r="C14" s="46"/>
      <c r="D14" s="214" t="s">
        <v>19</v>
      </c>
      <c r="E14" s="16"/>
      <c r="F14" s="27">
        <v>462</v>
      </c>
      <c r="G14" s="18">
        <f t="shared" si="0"/>
        <v>5307.4000000000005</v>
      </c>
      <c r="H14" s="28" t="s">
        <v>91</v>
      </c>
      <c r="I14" s="7" t="s">
        <v>90</v>
      </c>
      <c r="J14" s="7"/>
      <c r="K14" s="7"/>
    </row>
    <row r="15" spans="1:13" ht="18" customHeight="1" x14ac:dyDescent="0.25">
      <c r="A15" s="14">
        <f t="shared" si="1"/>
        <v>7</v>
      </c>
      <c r="B15" s="8">
        <v>45827</v>
      </c>
      <c r="C15" s="46"/>
      <c r="D15" s="214" t="s">
        <v>19</v>
      </c>
      <c r="E15" s="16"/>
      <c r="F15" s="27">
        <v>443.8</v>
      </c>
      <c r="G15" s="18">
        <f t="shared" si="0"/>
        <v>4863.6000000000004</v>
      </c>
      <c r="H15" s="28" t="s">
        <v>91</v>
      </c>
      <c r="I15" s="7" t="s">
        <v>90</v>
      </c>
      <c r="J15" s="140"/>
      <c r="K15" s="7"/>
      <c r="L15">
        <f>1701-1369</f>
        <v>332</v>
      </c>
    </row>
    <row r="16" spans="1:13" ht="18" customHeight="1" x14ac:dyDescent="0.25">
      <c r="A16" s="14">
        <f t="shared" si="1"/>
        <v>8</v>
      </c>
      <c r="B16" s="8">
        <v>45828</v>
      </c>
      <c r="C16" s="46"/>
      <c r="D16" s="214" t="s">
        <v>19</v>
      </c>
      <c r="E16" s="16"/>
      <c r="F16" s="27">
        <v>1015.6</v>
      </c>
      <c r="G16" s="18">
        <f t="shared" si="0"/>
        <v>3848.0000000000005</v>
      </c>
      <c r="H16" s="28" t="s">
        <v>91</v>
      </c>
      <c r="I16" s="7" t="s">
        <v>90</v>
      </c>
      <c r="J16" s="7"/>
      <c r="K16" s="7"/>
      <c r="L16" s="149">
        <f>332+462</f>
        <v>794</v>
      </c>
    </row>
    <row r="17" spans="1:16" ht="18" customHeight="1" x14ac:dyDescent="0.25">
      <c r="A17" s="14">
        <f t="shared" si="1"/>
        <v>9</v>
      </c>
      <c r="B17" s="8">
        <v>45833</v>
      </c>
      <c r="C17" s="46"/>
      <c r="D17" s="214" t="s">
        <v>19</v>
      </c>
      <c r="E17" s="30"/>
      <c r="F17" s="27">
        <v>535</v>
      </c>
      <c r="G17" s="18">
        <f t="shared" si="0"/>
        <v>3313.0000000000005</v>
      </c>
      <c r="H17" s="28" t="s">
        <v>91</v>
      </c>
      <c r="I17" s="7" t="s">
        <v>90</v>
      </c>
      <c r="J17" s="7"/>
      <c r="K17" s="7"/>
    </row>
    <row r="18" spans="1:16" s="230" customFormat="1" ht="18" customHeight="1" x14ac:dyDescent="0.25">
      <c r="A18" s="223">
        <f>+A17+1</f>
        <v>10</v>
      </c>
      <c r="B18" s="224">
        <v>45834</v>
      </c>
      <c r="C18" s="46"/>
      <c r="D18" s="226" t="s">
        <v>19</v>
      </c>
      <c r="E18" s="227"/>
      <c r="F18" s="228">
        <v>548</v>
      </c>
      <c r="G18" s="18">
        <f t="shared" si="0"/>
        <v>2765.0000000000005</v>
      </c>
      <c r="H18" s="28" t="s">
        <v>91</v>
      </c>
      <c r="I18" s="7" t="s">
        <v>90</v>
      </c>
      <c r="J18" s="348"/>
      <c r="K18" s="348"/>
      <c r="O18" s="230">
        <f>627+616+621+601+571+553+550+569+565+586+592</f>
        <v>6451</v>
      </c>
    </row>
    <row r="19" spans="1:16" s="230" customFormat="1" ht="18" customHeight="1" x14ac:dyDescent="0.25">
      <c r="A19" s="223">
        <f t="shared" si="1"/>
        <v>11</v>
      </c>
      <c r="B19" s="224">
        <v>45834</v>
      </c>
      <c r="C19" s="46"/>
      <c r="D19" s="226" t="s">
        <v>19</v>
      </c>
      <c r="E19" s="231"/>
      <c r="F19" s="228">
        <v>538</v>
      </c>
      <c r="G19" s="18">
        <f t="shared" si="0"/>
        <v>2227.0000000000005</v>
      </c>
      <c r="H19" s="28" t="s">
        <v>91</v>
      </c>
      <c r="I19" s="7" t="s">
        <v>90</v>
      </c>
      <c r="J19" s="348"/>
      <c r="K19" s="348"/>
      <c r="O19" s="230">
        <f>569+588+585+587+569+591+591+586+577+573+569</f>
        <v>6385</v>
      </c>
      <c r="P19" s="230">
        <f>+O19+O18</f>
        <v>12836</v>
      </c>
    </row>
    <row r="20" spans="1:16" ht="18" customHeight="1" x14ac:dyDescent="0.25">
      <c r="A20" s="14">
        <f t="shared" si="1"/>
        <v>12</v>
      </c>
      <c r="B20" s="8">
        <v>45835</v>
      </c>
      <c r="C20" s="46"/>
      <c r="D20" s="214" t="s">
        <v>19</v>
      </c>
      <c r="E20" s="32"/>
      <c r="F20" s="17">
        <v>561</v>
      </c>
      <c r="G20" s="18">
        <f t="shared" si="0"/>
        <v>1666.0000000000005</v>
      </c>
      <c r="H20" s="28" t="s">
        <v>91</v>
      </c>
      <c r="I20" s="7" t="s">
        <v>90</v>
      </c>
      <c r="J20" s="7"/>
      <c r="K20" s="7"/>
      <c r="N20" s="26"/>
    </row>
    <row r="21" spans="1:16" ht="18" customHeight="1" x14ac:dyDescent="0.25">
      <c r="A21" s="14">
        <f t="shared" si="1"/>
        <v>13</v>
      </c>
      <c r="B21" s="8">
        <v>45839</v>
      </c>
      <c r="C21" s="46"/>
      <c r="D21" s="214" t="s">
        <v>19</v>
      </c>
      <c r="E21" s="32"/>
      <c r="F21" s="27">
        <v>562</v>
      </c>
      <c r="G21" s="18">
        <f t="shared" si="0"/>
        <v>1104.0000000000005</v>
      </c>
      <c r="H21" s="28" t="s">
        <v>91</v>
      </c>
      <c r="I21" s="7" t="s">
        <v>90</v>
      </c>
      <c r="J21" s="7"/>
      <c r="K21" s="7"/>
    </row>
    <row r="22" spans="1:16" ht="18" customHeight="1" x14ac:dyDescent="0.25">
      <c r="A22" s="14">
        <f t="shared" si="1"/>
        <v>14</v>
      </c>
      <c r="B22" s="8">
        <v>45873</v>
      </c>
      <c r="C22" s="46"/>
      <c r="D22" s="214" t="s">
        <v>19</v>
      </c>
      <c r="E22" s="32"/>
      <c r="F22" s="27">
        <v>554</v>
      </c>
      <c r="G22" s="18">
        <f t="shared" si="0"/>
        <v>550.00000000000045</v>
      </c>
      <c r="H22" s="28" t="s">
        <v>91</v>
      </c>
      <c r="I22" s="7"/>
      <c r="J22" s="7"/>
      <c r="K22" s="7"/>
    </row>
    <row r="23" spans="1:16" ht="18" customHeight="1" x14ac:dyDescent="0.25">
      <c r="A23" s="14">
        <f t="shared" si="1"/>
        <v>15</v>
      </c>
      <c r="B23" s="232">
        <v>45875</v>
      </c>
      <c r="C23" s="46"/>
      <c r="D23" s="214" t="s">
        <v>19</v>
      </c>
      <c r="E23" s="235"/>
      <c r="F23" s="172">
        <v>550</v>
      </c>
      <c r="G23" s="18">
        <f t="shared" si="0"/>
        <v>0</v>
      </c>
      <c r="H23" s="28" t="s">
        <v>129</v>
      </c>
      <c r="I23" s="7" t="s">
        <v>90</v>
      </c>
      <c r="J23" s="7"/>
      <c r="K23" s="7"/>
    </row>
    <row r="24" spans="1:16" ht="18" customHeight="1" x14ac:dyDescent="0.25">
      <c r="A24" s="14">
        <f t="shared" si="1"/>
        <v>16</v>
      </c>
      <c r="B24" s="8">
        <v>45885</v>
      </c>
      <c r="C24" s="46"/>
      <c r="D24" s="214" t="s">
        <v>19</v>
      </c>
      <c r="E24" s="32">
        <v>13236</v>
      </c>
      <c r="F24" s="17"/>
      <c r="G24" s="18">
        <f t="shared" si="0"/>
        <v>13236</v>
      </c>
      <c r="H24" s="28" t="s">
        <v>129</v>
      </c>
      <c r="I24" s="7" t="s">
        <v>142</v>
      </c>
      <c r="J24" s="7">
        <v>23</v>
      </c>
      <c r="K24" s="7"/>
    </row>
    <row r="25" spans="1:16" ht="18" customHeight="1" x14ac:dyDescent="0.25">
      <c r="A25" s="14">
        <f t="shared" si="1"/>
        <v>17</v>
      </c>
      <c r="B25" s="8">
        <v>45911</v>
      </c>
      <c r="C25" s="46"/>
      <c r="D25" s="214" t="s">
        <v>19</v>
      </c>
      <c r="E25" s="32"/>
      <c r="F25" s="17">
        <v>1130</v>
      </c>
      <c r="G25" s="18">
        <f t="shared" si="0"/>
        <v>12106</v>
      </c>
      <c r="H25" s="28" t="s">
        <v>91</v>
      </c>
      <c r="I25" s="7" t="s">
        <v>90</v>
      </c>
      <c r="J25" s="7"/>
      <c r="K25" s="7"/>
    </row>
    <row r="26" spans="1:16" ht="18" customHeight="1" x14ac:dyDescent="0.25">
      <c r="A26" s="14">
        <f t="shared" si="1"/>
        <v>18</v>
      </c>
      <c r="B26" s="8">
        <v>45912</v>
      </c>
      <c r="C26" s="46"/>
      <c r="D26" s="214" t="s">
        <v>19</v>
      </c>
      <c r="E26" s="32"/>
      <c r="F26" s="17">
        <v>1147</v>
      </c>
      <c r="G26" s="18">
        <f t="shared" si="0"/>
        <v>10959</v>
      </c>
      <c r="H26" s="28" t="s">
        <v>91</v>
      </c>
      <c r="I26" s="7" t="s">
        <v>90</v>
      </c>
      <c r="J26" s="7"/>
      <c r="K26" s="7"/>
    </row>
    <row r="27" spans="1:16" ht="18" customHeight="1" x14ac:dyDescent="0.25">
      <c r="A27" s="14">
        <f t="shared" si="1"/>
        <v>19</v>
      </c>
      <c r="B27" s="8">
        <v>45915</v>
      </c>
      <c r="C27" s="46"/>
      <c r="D27" s="214" t="s">
        <v>19</v>
      </c>
      <c r="E27" s="32"/>
      <c r="F27" s="17">
        <v>1140</v>
      </c>
      <c r="G27" s="18">
        <f t="shared" si="0"/>
        <v>9819</v>
      </c>
      <c r="H27" s="28" t="s">
        <v>91</v>
      </c>
      <c r="I27" s="7" t="s">
        <v>90</v>
      </c>
      <c r="J27" s="7"/>
      <c r="K27" s="7"/>
    </row>
    <row r="28" spans="1:16" ht="18" customHeight="1" x14ac:dyDescent="0.25">
      <c r="A28" s="14">
        <f t="shared" si="1"/>
        <v>20</v>
      </c>
      <c r="B28" s="8">
        <v>45916</v>
      </c>
      <c r="C28" s="46"/>
      <c r="D28" s="214" t="s">
        <v>19</v>
      </c>
      <c r="E28" s="32"/>
      <c r="F28" s="17">
        <v>1172</v>
      </c>
      <c r="G28" s="18">
        <f t="shared" si="0"/>
        <v>8647</v>
      </c>
      <c r="H28" s="28" t="s">
        <v>91</v>
      </c>
      <c r="I28" s="7" t="s">
        <v>90</v>
      </c>
      <c r="J28" s="7"/>
      <c r="K28" s="7"/>
    </row>
    <row r="29" spans="1:16" ht="18" customHeight="1" x14ac:dyDescent="0.25">
      <c r="A29" s="14">
        <f t="shared" si="1"/>
        <v>21</v>
      </c>
      <c r="B29" s="8">
        <v>45934</v>
      </c>
      <c r="C29" s="46"/>
      <c r="D29" s="214"/>
      <c r="E29" s="32">
        <v>12153</v>
      </c>
      <c r="F29" s="17"/>
      <c r="G29" s="18">
        <f t="shared" si="0"/>
        <v>20800</v>
      </c>
      <c r="H29" s="28"/>
      <c r="I29" s="7"/>
      <c r="J29" s="7"/>
      <c r="K29" s="7"/>
    </row>
    <row r="30" spans="1:16" ht="18" customHeight="1" x14ac:dyDescent="0.25">
      <c r="A30" s="14">
        <f t="shared" si="1"/>
        <v>22</v>
      </c>
      <c r="B30" s="8">
        <v>45938</v>
      </c>
      <c r="C30" s="46"/>
      <c r="D30" s="214" t="s">
        <v>19</v>
      </c>
      <c r="E30" s="129"/>
      <c r="F30" s="17">
        <v>1040</v>
      </c>
      <c r="G30" s="18">
        <f t="shared" si="0"/>
        <v>19760</v>
      </c>
      <c r="H30" s="28" t="s">
        <v>91</v>
      </c>
      <c r="I30" s="7" t="s">
        <v>90</v>
      </c>
      <c r="J30" s="7"/>
      <c r="K30" s="7"/>
      <c r="O30">
        <f>4-1.2</f>
        <v>2.8</v>
      </c>
    </row>
    <row r="31" spans="1:16" ht="18" customHeight="1" x14ac:dyDescent="0.25">
      <c r="A31" s="14">
        <f t="shared" si="1"/>
        <v>23</v>
      </c>
      <c r="B31" s="8">
        <v>45941</v>
      </c>
      <c r="C31" s="46"/>
      <c r="D31" s="214" t="s">
        <v>19</v>
      </c>
      <c r="E31" s="32"/>
      <c r="F31" s="172">
        <v>1178</v>
      </c>
      <c r="G31" s="18">
        <f t="shared" si="0"/>
        <v>18582</v>
      </c>
      <c r="H31" s="28" t="s">
        <v>91</v>
      </c>
      <c r="I31" s="7" t="s">
        <v>90</v>
      </c>
      <c r="J31" s="7"/>
      <c r="K31" s="7"/>
      <c r="O31" t="s">
        <v>306</v>
      </c>
    </row>
    <row r="32" spans="1:16" ht="18" customHeight="1" x14ac:dyDescent="0.25">
      <c r="A32" s="14">
        <f t="shared" si="1"/>
        <v>24</v>
      </c>
      <c r="B32" s="8">
        <v>45944</v>
      </c>
      <c r="C32" s="46"/>
      <c r="D32" s="214" t="s">
        <v>19</v>
      </c>
      <c r="E32" s="32"/>
      <c r="F32" s="17">
        <v>1086</v>
      </c>
      <c r="G32" s="18">
        <f t="shared" si="0"/>
        <v>17496</v>
      </c>
      <c r="H32" s="28" t="s">
        <v>91</v>
      </c>
      <c r="I32" s="7" t="s">
        <v>90</v>
      </c>
      <c r="J32" s="7"/>
      <c r="K32" s="7"/>
    </row>
    <row r="33" spans="1:16" ht="18" customHeight="1" x14ac:dyDescent="0.25">
      <c r="A33" s="14">
        <f t="shared" si="1"/>
        <v>25</v>
      </c>
      <c r="B33" s="8">
        <v>45945</v>
      </c>
      <c r="C33" s="46"/>
      <c r="D33" s="214" t="s">
        <v>19</v>
      </c>
      <c r="E33" s="32"/>
      <c r="F33" s="17">
        <v>1053</v>
      </c>
      <c r="G33" s="18">
        <f t="shared" si="0"/>
        <v>16443</v>
      </c>
      <c r="H33" s="28" t="s">
        <v>91</v>
      </c>
      <c r="I33" s="7" t="s">
        <v>90</v>
      </c>
      <c r="J33" s="7"/>
      <c r="K33" s="7"/>
    </row>
    <row r="34" spans="1:16" ht="17.25" customHeight="1" x14ac:dyDescent="0.25">
      <c r="A34" s="14">
        <f t="shared" si="1"/>
        <v>26</v>
      </c>
      <c r="B34" s="8"/>
      <c r="C34" s="46"/>
      <c r="D34" s="214" t="s">
        <v>19</v>
      </c>
      <c r="E34" s="13"/>
      <c r="F34" s="17"/>
      <c r="G34" s="18">
        <f t="shared" si="0"/>
        <v>16443</v>
      </c>
      <c r="H34" s="28" t="s">
        <v>91</v>
      </c>
      <c r="I34" s="7" t="s">
        <v>90</v>
      </c>
      <c r="J34" s="7"/>
      <c r="K34" s="7"/>
    </row>
    <row r="35" spans="1:16" ht="17.25" customHeight="1" x14ac:dyDescent="0.25">
      <c r="A35" s="14">
        <f t="shared" si="1"/>
        <v>27</v>
      </c>
      <c r="B35" s="44"/>
      <c r="C35" s="46"/>
      <c r="D35" s="214" t="s">
        <v>19</v>
      </c>
      <c r="E35" s="13"/>
      <c r="F35" s="17"/>
      <c r="G35" s="18">
        <f t="shared" si="0"/>
        <v>16443</v>
      </c>
      <c r="H35" s="178"/>
      <c r="I35" s="7"/>
      <c r="J35" s="7"/>
      <c r="K35" s="7"/>
    </row>
    <row r="36" spans="1:16" ht="18" customHeight="1" x14ac:dyDescent="0.25">
      <c r="A36" s="14">
        <f t="shared" si="1"/>
        <v>28</v>
      </c>
      <c r="B36" s="8"/>
      <c r="C36" s="46"/>
      <c r="D36" s="214" t="s">
        <v>19</v>
      </c>
      <c r="E36" s="32"/>
      <c r="F36" s="40"/>
      <c r="G36" s="18">
        <f t="shared" si="0"/>
        <v>16443</v>
      </c>
      <c r="H36" s="178"/>
      <c r="I36" s="7"/>
      <c r="J36" s="7"/>
      <c r="K36" s="7"/>
    </row>
    <row r="37" spans="1:16" ht="18" customHeight="1" x14ac:dyDescent="0.25">
      <c r="A37" s="14">
        <f t="shared" si="1"/>
        <v>29</v>
      </c>
      <c r="B37" s="45"/>
      <c r="C37" s="46"/>
      <c r="D37" s="214" t="s">
        <v>19</v>
      </c>
      <c r="E37" s="32"/>
      <c r="F37" s="40"/>
      <c r="G37" s="18">
        <f t="shared" si="0"/>
        <v>16443</v>
      </c>
      <c r="H37" s="178"/>
      <c r="I37" s="7"/>
      <c r="J37" s="7"/>
      <c r="K37" s="7"/>
    </row>
    <row r="38" spans="1:16" ht="18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40"/>
      <c r="G38" s="18">
        <f t="shared" si="0"/>
        <v>16443</v>
      </c>
      <c r="H38" s="178"/>
      <c r="I38" s="7"/>
      <c r="J38" s="7"/>
      <c r="K38" s="7"/>
    </row>
    <row r="39" spans="1:16" ht="18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16443</v>
      </c>
      <c r="H39" s="178"/>
      <c r="I39" s="7"/>
      <c r="J39" s="7"/>
      <c r="K39" s="7"/>
    </row>
    <row r="40" spans="1:16" ht="18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16443</v>
      </c>
      <c r="H40" s="178"/>
      <c r="I40" s="7"/>
      <c r="J40" s="7"/>
      <c r="K40" s="7"/>
    </row>
    <row r="41" spans="1:16" ht="18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16443</v>
      </c>
      <c r="H41" s="178"/>
      <c r="I41" s="7"/>
      <c r="J41" s="7"/>
      <c r="K41" s="7"/>
    </row>
    <row r="42" spans="1:16" ht="18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16443</v>
      </c>
      <c r="H42" s="178"/>
      <c r="I42" s="7"/>
      <c r="J42" s="7"/>
      <c r="K42" s="7"/>
    </row>
    <row r="43" spans="1:16" ht="18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2"/>
      <c r="G43" s="18">
        <f t="shared" si="0"/>
        <v>16443</v>
      </c>
      <c r="H43" s="178"/>
      <c r="I43" s="7"/>
      <c r="J43" s="7"/>
      <c r="K43" s="7"/>
      <c r="P43" s="162"/>
    </row>
    <row r="44" spans="1:16" ht="18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16443</v>
      </c>
      <c r="H44" s="178"/>
      <c r="I44" s="7"/>
      <c r="J44" s="7"/>
      <c r="K44" s="7"/>
    </row>
    <row r="45" spans="1:16" ht="18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16443</v>
      </c>
      <c r="H45" s="178"/>
      <c r="I45" s="7"/>
      <c r="J45" s="7"/>
      <c r="K45" s="7"/>
    </row>
    <row r="46" spans="1:16" ht="18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16443</v>
      </c>
      <c r="H46" s="178"/>
      <c r="I46" s="7"/>
      <c r="J46" s="7"/>
      <c r="K46" s="7"/>
    </row>
    <row r="47" spans="1:16" ht="18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16443</v>
      </c>
      <c r="H47" s="178"/>
      <c r="I47" s="29"/>
      <c r="J47" s="7"/>
      <c r="K47" s="7"/>
    </row>
    <row r="48" spans="1:16" ht="18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16443</v>
      </c>
      <c r="H48" s="178"/>
      <c r="I48" s="29"/>
      <c r="J48" s="7"/>
      <c r="K48" s="7"/>
    </row>
    <row r="49" spans="1:16" ht="18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16443</v>
      </c>
      <c r="H49" s="178"/>
      <c r="I49" s="29"/>
      <c r="J49" s="7"/>
      <c r="K49" s="7"/>
    </row>
    <row r="50" spans="1:16" ht="18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16443</v>
      </c>
      <c r="H50" s="178"/>
      <c r="I50" s="29"/>
      <c r="J50" s="7"/>
      <c r="K50" s="7"/>
    </row>
    <row r="51" spans="1:16" ht="18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16443</v>
      </c>
      <c r="H51" s="178"/>
      <c r="I51" s="7"/>
      <c r="J51" s="7"/>
      <c r="K51" s="7"/>
    </row>
    <row r="52" spans="1:16" s="162" customFormat="1" ht="18" customHeight="1" x14ac:dyDescent="0.25">
      <c r="A52" s="14">
        <f t="shared" si="1"/>
        <v>44</v>
      </c>
      <c r="B52" s="174"/>
      <c r="C52" s="46"/>
      <c r="D52" s="214" t="s">
        <v>19</v>
      </c>
      <c r="E52" s="175"/>
      <c r="F52" s="172"/>
      <c r="G52" s="18">
        <f t="shared" si="0"/>
        <v>16443</v>
      </c>
      <c r="H52" s="178"/>
      <c r="I52" s="7"/>
      <c r="J52" s="271"/>
      <c r="K52" s="271"/>
      <c r="P52"/>
    </row>
    <row r="53" spans="1:16" ht="18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16443</v>
      </c>
      <c r="H53" s="239"/>
      <c r="I53" s="7"/>
      <c r="J53" s="7"/>
      <c r="K53" s="7"/>
    </row>
    <row r="54" spans="1:16" ht="18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16443</v>
      </c>
      <c r="H54" s="239"/>
      <c r="I54" s="7"/>
      <c r="J54" s="7"/>
      <c r="K54" s="7"/>
    </row>
    <row r="55" spans="1:16" ht="18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16443</v>
      </c>
      <c r="H55" s="239"/>
      <c r="I55" s="7"/>
      <c r="J55" s="7"/>
      <c r="K55" s="7"/>
    </row>
    <row r="56" spans="1:16" ht="18" customHeight="1" x14ac:dyDescent="0.25">
      <c r="A56" s="14">
        <f t="shared" si="1"/>
        <v>48</v>
      </c>
      <c r="B56" s="8"/>
      <c r="C56" s="46"/>
      <c r="D56" s="214" t="s">
        <v>19</v>
      </c>
      <c r="E56" s="32"/>
      <c r="F56" s="17"/>
      <c r="G56" s="18">
        <f t="shared" si="0"/>
        <v>16443</v>
      </c>
      <c r="H56" s="28"/>
      <c r="I56" s="7"/>
      <c r="J56" s="7"/>
      <c r="K56" s="7"/>
    </row>
    <row r="57" spans="1:16" ht="18" customHeight="1" x14ac:dyDescent="0.25">
      <c r="A57" s="14">
        <f t="shared" si="1"/>
        <v>49</v>
      </c>
      <c r="B57" s="8"/>
      <c r="C57" s="46"/>
      <c r="D57" s="214" t="s">
        <v>19</v>
      </c>
      <c r="E57" s="32"/>
      <c r="F57" s="17"/>
      <c r="G57" s="18">
        <f t="shared" si="0"/>
        <v>16443</v>
      </c>
      <c r="H57" s="240"/>
      <c r="I57" s="7"/>
      <c r="J57" s="7"/>
      <c r="K57" s="7"/>
    </row>
    <row r="58" spans="1:16" ht="18" customHeight="1" x14ac:dyDescent="0.25">
      <c r="A58" s="14">
        <f t="shared" si="1"/>
        <v>50</v>
      </c>
      <c r="B58" s="8"/>
      <c r="C58" s="46"/>
      <c r="D58" s="214" t="s">
        <v>19</v>
      </c>
      <c r="E58" s="32"/>
      <c r="F58" s="17"/>
      <c r="G58" s="18">
        <f t="shared" si="0"/>
        <v>16443</v>
      </c>
      <c r="H58" s="240"/>
      <c r="I58" s="7"/>
      <c r="J58" s="7"/>
      <c r="K58" s="7"/>
    </row>
    <row r="59" spans="1:16" ht="18" customHeight="1" x14ac:dyDescent="0.25">
      <c r="A59" s="14">
        <f t="shared" si="1"/>
        <v>51</v>
      </c>
      <c r="B59" s="8"/>
      <c r="C59" s="46"/>
      <c r="D59" s="214" t="s">
        <v>19</v>
      </c>
      <c r="E59" s="32"/>
      <c r="F59" s="17"/>
      <c r="G59" s="18">
        <f t="shared" si="0"/>
        <v>16443</v>
      </c>
      <c r="H59" s="240"/>
      <c r="I59" s="7" t="s">
        <v>14</v>
      </c>
      <c r="J59" s="7"/>
      <c r="K59" s="7"/>
    </row>
    <row r="60" spans="1:16" ht="18" customHeight="1" x14ac:dyDescent="0.25">
      <c r="A60" s="14">
        <f t="shared" si="1"/>
        <v>52</v>
      </c>
      <c r="B60" s="8"/>
      <c r="C60" s="46"/>
      <c r="D60" s="214" t="s">
        <v>19</v>
      </c>
      <c r="E60" s="32"/>
      <c r="F60" s="17"/>
      <c r="G60" s="18">
        <f t="shared" si="0"/>
        <v>16443</v>
      </c>
      <c r="H60" s="240"/>
      <c r="I60" s="7" t="s">
        <v>14</v>
      </c>
      <c r="J60" s="7"/>
      <c r="K60" s="7"/>
    </row>
    <row r="61" spans="1:16" ht="18" customHeight="1" x14ac:dyDescent="0.25">
      <c r="A61" s="14">
        <f t="shared" si="1"/>
        <v>53</v>
      </c>
      <c r="B61" s="8"/>
      <c r="C61" s="46"/>
      <c r="D61" s="214" t="s">
        <v>19</v>
      </c>
      <c r="E61" s="32"/>
      <c r="F61" s="17"/>
      <c r="G61" s="18">
        <f t="shared" si="0"/>
        <v>16443</v>
      </c>
      <c r="H61" s="240"/>
      <c r="I61" s="7" t="s">
        <v>14</v>
      </c>
      <c r="J61" s="7"/>
      <c r="K61" s="7"/>
    </row>
    <row r="62" spans="1:16" ht="18" customHeight="1" x14ac:dyDescent="0.25">
      <c r="A62" s="14">
        <f t="shared" si="1"/>
        <v>54</v>
      </c>
      <c r="B62" s="8"/>
      <c r="C62" s="46"/>
      <c r="D62" s="214" t="s">
        <v>19</v>
      </c>
      <c r="E62" s="32"/>
      <c r="F62" s="17"/>
      <c r="G62" s="18">
        <f t="shared" si="0"/>
        <v>16443</v>
      </c>
      <c r="H62" s="240"/>
      <c r="I62" s="7" t="s">
        <v>14</v>
      </c>
      <c r="J62" s="7"/>
      <c r="K62" s="7"/>
    </row>
    <row r="63" spans="1:16" ht="18" customHeight="1" x14ac:dyDescent="0.25">
      <c r="A63" s="14">
        <f t="shared" si="1"/>
        <v>55</v>
      </c>
      <c r="B63" s="8"/>
      <c r="C63" s="46"/>
      <c r="D63" s="214" t="s">
        <v>19</v>
      </c>
      <c r="E63" s="32"/>
      <c r="F63" s="17"/>
      <c r="G63" s="18">
        <f t="shared" si="0"/>
        <v>16443</v>
      </c>
      <c r="H63" s="240"/>
      <c r="I63" s="7" t="s">
        <v>14</v>
      </c>
      <c r="J63" s="7"/>
      <c r="K63" s="7"/>
    </row>
    <row r="64" spans="1:16" ht="18" customHeight="1" x14ac:dyDescent="0.25">
      <c r="A64" s="14">
        <f t="shared" si="1"/>
        <v>56</v>
      </c>
      <c r="B64" s="8"/>
      <c r="C64" s="46"/>
      <c r="D64" s="214" t="s">
        <v>19</v>
      </c>
      <c r="E64" s="32"/>
      <c r="F64" s="17"/>
      <c r="G64" s="18">
        <f t="shared" si="0"/>
        <v>16443</v>
      </c>
      <c r="H64" s="240"/>
      <c r="I64" s="7" t="s">
        <v>14</v>
      </c>
      <c r="J64" s="7"/>
      <c r="K64" s="7"/>
    </row>
    <row r="65" spans="1:11" ht="18" customHeight="1" x14ac:dyDescent="0.25">
      <c r="A65" s="14">
        <f t="shared" si="1"/>
        <v>57</v>
      </c>
      <c r="B65" s="8"/>
      <c r="C65" s="46"/>
      <c r="D65" s="214" t="s">
        <v>19</v>
      </c>
      <c r="E65" s="32"/>
      <c r="F65" s="17"/>
      <c r="G65" s="18">
        <f t="shared" si="0"/>
        <v>16443</v>
      </c>
      <c r="H65" s="240"/>
      <c r="I65" s="7" t="s">
        <v>14</v>
      </c>
      <c r="J65" s="7"/>
      <c r="K65" s="7"/>
    </row>
    <row r="66" spans="1:11" ht="18" customHeight="1" x14ac:dyDescent="0.25">
      <c r="A66" s="14">
        <f t="shared" si="1"/>
        <v>58</v>
      </c>
      <c r="B66" s="8"/>
      <c r="C66" s="46"/>
      <c r="D66" s="214" t="s">
        <v>19</v>
      </c>
      <c r="E66" s="32"/>
      <c r="F66" s="17"/>
      <c r="G66" s="18">
        <f t="shared" si="0"/>
        <v>16443</v>
      </c>
      <c r="H66" s="240"/>
      <c r="I66" s="7" t="s">
        <v>14</v>
      </c>
      <c r="J66" s="7"/>
      <c r="K66" s="7"/>
    </row>
    <row r="67" spans="1:11" ht="18" customHeight="1" x14ac:dyDescent="0.25">
      <c r="A67" s="14">
        <f t="shared" si="1"/>
        <v>59</v>
      </c>
      <c r="B67" s="8"/>
      <c r="C67" s="46"/>
      <c r="D67" s="214" t="s">
        <v>19</v>
      </c>
      <c r="E67" s="32"/>
      <c r="F67" s="17"/>
      <c r="G67" s="18">
        <f t="shared" si="0"/>
        <v>16443</v>
      </c>
      <c r="H67" s="240"/>
      <c r="I67" s="7" t="s">
        <v>14</v>
      </c>
      <c r="J67" s="140"/>
      <c r="K67" s="7"/>
    </row>
    <row r="68" spans="1:11" ht="18" customHeight="1" x14ac:dyDescent="0.25">
      <c r="A68" s="14">
        <f t="shared" si="1"/>
        <v>60</v>
      </c>
      <c r="B68" s="8"/>
      <c r="C68" s="46"/>
      <c r="D68" s="214" t="s">
        <v>19</v>
      </c>
      <c r="E68" s="32"/>
      <c r="F68" s="17"/>
      <c r="G68" s="18">
        <f t="shared" si="0"/>
        <v>16443</v>
      </c>
      <c r="H68" s="240"/>
      <c r="I68" s="7" t="s">
        <v>14</v>
      </c>
      <c r="J68" s="7"/>
      <c r="K68" s="7"/>
    </row>
    <row r="69" spans="1:11" ht="18" customHeight="1" x14ac:dyDescent="0.25">
      <c r="A69" s="14">
        <f t="shared" si="1"/>
        <v>61</v>
      </c>
      <c r="B69" s="8"/>
      <c r="C69" s="46"/>
      <c r="D69" s="214" t="s">
        <v>19</v>
      </c>
      <c r="E69" s="32"/>
      <c r="F69" s="17"/>
      <c r="G69" s="18">
        <f t="shared" si="0"/>
        <v>16443</v>
      </c>
      <c r="H69" s="240"/>
      <c r="I69" s="7" t="s">
        <v>14</v>
      </c>
      <c r="J69" s="7"/>
      <c r="K69" s="7"/>
    </row>
    <row r="70" spans="1:11" ht="18" customHeight="1" x14ac:dyDescent="0.25">
      <c r="A70" s="14">
        <f t="shared" si="1"/>
        <v>62</v>
      </c>
      <c r="B70" s="8"/>
      <c r="C70" s="46"/>
      <c r="D70" s="214" t="s">
        <v>19</v>
      </c>
      <c r="E70" s="32"/>
      <c r="F70" s="17"/>
      <c r="G70" s="18">
        <f t="shared" si="0"/>
        <v>16443</v>
      </c>
      <c r="H70" s="240"/>
      <c r="I70" s="7" t="s">
        <v>14</v>
      </c>
      <c r="J70" s="7"/>
      <c r="K70" s="7"/>
    </row>
    <row r="71" spans="1:11" ht="18" customHeight="1" x14ac:dyDescent="0.25">
      <c r="A71" s="14">
        <f t="shared" si="1"/>
        <v>63</v>
      </c>
      <c r="B71" s="8"/>
      <c r="C71" s="46"/>
      <c r="D71" s="214" t="s">
        <v>19</v>
      </c>
      <c r="E71" s="32"/>
      <c r="F71" s="17"/>
      <c r="G71" s="18">
        <f t="shared" si="0"/>
        <v>16443</v>
      </c>
      <c r="H71" s="240"/>
      <c r="I71" s="7" t="s">
        <v>14</v>
      </c>
      <c r="J71" s="7"/>
      <c r="K71" s="7"/>
    </row>
    <row r="72" spans="1:11" ht="18" customHeight="1" x14ac:dyDescent="0.25">
      <c r="A72" s="14">
        <f t="shared" si="1"/>
        <v>64</v>
      </c>
      <c r="B72" s="8"/>
      <c r="C72" s="46"/>
      <c r="D72" s="214" t="s">
        <v>19</v>
      </c>
      <c r="E72" s="32"/>
      <c r="F72" s="17"/>
      <c r="G72" s="18">
        <f t="shared" si="0"/>
        <v>16443</v>
      </c>
      <c r="H72" s="240"/>
      <c r="I72" s="7" t="s">
        <v>14</v>
      </c>
      <c r="J72" s="7"/>
      <c r="K72" s="7"/>
    </row>
    <row r="73" spans="1:11" ht="18" customHeight="1" x14ac:dyDescent="0.25">
      <c r="A73" s="14">
        <f t="shared" si="1"/>
        <v>65</v>
      </c>
      <c r="B73" s="8"/>
      <c r="C73" s="46"/>
      <c r="D73" s="214" t="s">
        <v>19</v>
      </c>
      <c r="E73" s="32"/>
      <c r="F73" s="17"/>
      <c r="G73" s="18">
        <f t="shared" si="0"/>
        <v>16443</v>
      </c>
      <c r="H73" s="240"/>
      <c r="I73" s="7" t="s">
        <v>14</v>
      </c>
      <c r="J73" s="7"/>
      <c r="K73" s="7"/>
    </row>
    <row r="74" spans="1:11" ht="18" customHeight="1" x14ac:dyDescent="0.25">
      <c r="A74" s="14">
        <f t="shared" si="1"/>
        <v>66</v>
      </c>
      <c r="B74" s="8"/>
      <c r="C74" s="46"/>
      <c r="D74" s="214" t="s">
        <v>19</v>
      </c>
      <c r="E74" s="32"/>
      <c r="F74" s="17"/>
      <c r="G74" s="18">
        <f t="shared" si="0"/>
        <v>16443</v>
      </c>
      <c r="H74" s="240"/>
      <c r="I74" s="7" t="s">
        <v>14</v>
      </c>
      <c r="J74" s="7"/>
      <c r="K74" s="7"/>
    </row>
    <row r="75" spans="1:11" ht="18" customHeight="1" x14ac:dyDescent="0.25">
      <c r="A75" s="14">
        <f t="shared" si="1"/>
        <v>67</v>
      </c>
      <c r="B75" s="8"/>
      <c r="C75" s="46"/>
      <c r="D75" s="214" t="s">
        <v>19</v>
      </c>
      <c r="E75" s="32"/>
      <c r="F75" s="17"/>
      <c r="G75" s="18">
        <f t="shared" si="0"/>
        <v>16443</v>
      </c>
      <c r="H75" s="240"/>
      <c r="I75" s="7" t="s">
        <v>14</v>
      </c>
      <c r="J75" s="7"/>
      <c r="K75" s="7"/>
    </row>
    <row r="76" spans="1:11" ht="18" customHeight="1" x14ac:dyDescent="0.25">
      <c r="A76" s="14">
        <f t="shared" ref="A76:A109" si="2">+A75+1</f>
        <v>68</v>
      </c>
      <c r="B76" s="8"/>
      <c r="C76" s="46"/>
      <c r="D76" s="214" t="s">
        <v>19</v>
      </c>
      <c r="E76" s="32"/>
      <c r="F76" s="17"/>
      <c r="G76" s="18">
        <f t="shared" ref="G76:G109" si="3">+G75+E76-F76</f>
        <v>16443</v>
      </c>
      <c r="H76" s="240"/>
      <c r="I76" s="7" t="s">
        <v>14</v>
      </c>
      <c r="J76" s="7"/>
      <c r="K76" s="7"/>
    </row>
    <row r="77" spans="1:11" ht="18" customHeight="1" x14ac:dyDescent="0.25">
      <c r="A77" s="14">
        <f t="shared" si="2"/>
        <v>69</v>
      </c>
      <c r="B77" s="8"/>
      <c r="C77" s="46"/>
      <c r="D77" s="214" t="s">
        <v>19</v>
      </c>
      <c r="E77" s="32"/>
      <c r="F77" s="17"/>
      <c r="G77" s="18">
        <f t="shared" si="3"/>
        <v>16443</v>
      </c>
      <c r="H77" s="240"/>
      <c r="I77" s="7" t="s">
        <v>14</v>
      </c>
      <c r="J77" s="7"/>
      <c r="K77" s="7"/>
    </row>
    <row r="78" spans="1:11" ht="18" customHeight="1" x14ac:dyDescent="0.25">
      <c r="A78" s="14">
        <f t="shared" si="2"/>
        <v>70</v>
      </c>
      <c r="B78" s="8"/>
      <c r="C78" s="46"/>
      <c r="D78" s="214" t="s">
        <v>19</v>
      </c>
      <c r="E78" s="32"/>
      <c r="F78" s="17"/>
      <c r="G78" s="18">
        <f t="shared" si="3"/>
        <v>16443</v>
      </c>
      <c r="H78" s="240"/>
      <c r="I78" s="7" t="s">
        <v>14</v>
      </c>
      <c r="J78" s="7"/>
      <c r="K78" s="7"/>
    </row>
    <row r="79" spans="1:11" ht="18" customHeight="1" x14ac:dyDescent="0.25">
      <c r="A79" s="14">
        <f t="shared" si="2"/>
        <v>71</v>
      </c>
      <c r="B79" s="8"/>
      <c r="C79" s="46"/>
      <c r="D79" s="214" t="s">
        <v>19</v>
      </c>
      <c r="E79" s="32"/>
      <c r="F79" s="17"/>
      <c r="G79" s="18">
        <f t="shared" si="3"/>
        <v>16443</v>
      </c>
      <c r="H79" s="240"/>
      <c r="I79" s="7" t="s">
        <v>14</v>
      </c>
      <c r="J79" s="7"/>
      <c r="K79" s="7"/>
    </row>
    <row r="80" spans="1:11" ht="18" customHeight="1" x14ac:dyDescent="0.25">
      <c r="A80" s="14">
        <f t="shared" si="2"/>
        <v>72</v>
      </c>
      <c r="B80" s="8"/>
      <c r="C80" s="46"/>
      <c r="D80" s="214" t="s">
        <v>19</v>
      </c>
      <c r="E80" s="32"/>
      <c r="F80" s="17"/>
      <c r="G80" s="18">
        <f t="shared" si="3"/>
        <v>16443</v>
      </c>
      <c r="H80" s="240"/>
      <c r="I80" s="7" t="s">
        <v>14</v>
      </c>
      <c r="J80" s="7"/>
      <c r="K80" s="7"/>
    </row>
    <row r="81" spans="1:17" ht="18" customHeight="1" x14ac:dyDescent="0.25">
      <c r="A81" s="14">
        <f t="shared" si="2"/>
        <v>73</v>
      </c>
      <c r="B81" s="8"/>
      <c r="C81" s="46"/>
      <c r="D81" s="214" t="s">
        <v>19</v>
      </c>
      <c r="E81" s="32"/>
      <c r="F81" s="17"/>
      <c r="G81" s="18">
        <f t="shared" si="3"/>
        <v>16443</v>
      </c>
      <c r="H81" s="240"/>
      <c r="I81" s="7" t="s">
        <v>14</v>
      </c>
      <c r="J81" s="7"/>
      <c r="K81" s="7"/>
    </row>
    <row r="82" spans="1:17" ht="18" customHeight="1" x14ac:dyDescent="0.25">
      <c r="A82" s="14">
        <f t="shared" si="2"/>
        <v>74</v>
      </c>
      <c r="B82" s="8"/>
      <c r="C82" s="46"/>
      <c r="D82" s="214" t="s">
        <v>19</v>
      </c>
      <c r="E82" s="32"/>
      <c r="F82" s="17"/>
      <c r="G82" s="18">
        <f t="shared" si="3"/>
        <v>16443</v>
      </c>
      <c r="H82" s="240"/>
      <c r="I82" s="7" t="s">
        <v>14</v>
      </c>
      <c r="J82" s="7"/>
      <c r="K82" s="7"/>
    </row>
    <row r="83" spans="1:17" ht="18" customHeight="1" x14ac:dyDescent="0.25">
      <c r="A83" s="14">
        <f t="shared" si="2"/>
        <v>75</v>
      </c>
      <c r="B83" s="8"/>
      <c r="C83" s="46"/>
      <c r="D83" s="214" t="s">
        <v>19</v>
      </c>
      <c r="E83" s="32"/>
      <c r="F83" s="17"/>
      <c r="G83" s="18">
        <f t="shared" si="3"/>
        <v>16443</v>
      </c>
      <c r="H83" s="240"/>
      <c r="I83" s="7" t="s">
        <v>14</v>
      </c>
      <c r="J83" s="7"/>
      <c r="K83" s="7"/>
    </row>
    <row r="84" spans="1:17" ht="18" customHeight="1" x14ac:dyDescent="0.25">
      <c r="A84" s="14">
        <f t="shared" si="2"/>
        <v>76</v>
      </c>
      <c r="B84" s="8"/>
      <c r="C84" s="46"/>
      <c r="D84" s="214" t="s">
        <v>19</v>
      </c>
      <c r="E84" s="32"/>
      <c r="F84" s="17"/>
      <c r="G84" s="18">
        <f t="shared" si="3"/>
        <v>16443</v>
      </c>
      <c r="H84" s="240"/>
      <c r="I84" s="7" t="s">
        <v>14</v>
      </c>
      <c r="J84" s="7"/>
      <c r="K84" s="7"/>
    </row>
    <row r="85" spans="1:17" ht="18" customHeight="1" x14ac:dyDescent="0.25">
      <c r="A85" s="14">
        <f t="shared" si="2"/>
        <v>77</v>
      </c>
      <c r="B85" s="8"/>
      <c r="C85" s="46"/>
      <c r="D85" s="214" t="s">
        <v>19</v>
      </c>
      <c r="E85" s="32"/>
      <c r="F85" s="27"/>
      <c r="G85" s="18">
        <f t="shared" si="3"/>
        <v>16443</v>
      </c>
      <c r="H85" s="240"/>
      <c r="I85" s="7" t="s">
        <v>14</v>
      </c>
      <c r="J85" s="7"/>
      <c r="K85" s="7"/>
    </row>
    <row r="86" spans="1:17" ht="18" customHeight="1" x14ac:dyDescent="0.25">
      <c r="A86" s="14">
        <f t="shared" si="2"/>
        <v>78</v>
      </c>
      <c r="B86" s="8"/>
      <c r="C86" s="46"/>
      <c r="D86" s="214" t="s">
        <v>19</v>
      </c>
      <c r="E86" s="32"/>
      <c r="F86" s="17"/>
      <c r="G86" s="18">
        <f t="shared" si="3"/>
        <v>16443</v>
      </c>
      <c r="H86" s="240"/>
      <c r="I86" s="7" t="s">
        <v>14</v>
      </c>
      <c r="J86" s="7"/>
      <c r="K86" s="7"/>
    </row>
    <row r="87" spans="1:17" ht="18" customHeight="1" x14ac:dyDescent="0.25">
      <c r="A87" s="14">
        <f t="shared" si="2"/>
        <v>79</v>
      </c>
      <c r="B87" s="8"/>
      <c r="C87" s="46"/>
      <c r="D87" s="214" t="s">
        <v>19</v>
      </c>
      <c r="E87" s="32"/>
      <c r="F87" s="17"/>
      <c r="G87" s="18">
        <f t="shared" si="3"/>
        <v>16443</v>
      </c>
      <c r="H87" s="240"/>
      <c r="I87" s="7" t="s">
        <v>14</v>
      </c>
      <c r="J87" s="7"/>
      <c r="K87" s="7"/>
    </row>
    <row r="88" spans="1:17" ht="18" customHeight="1" x14ac:dyDescent="0.25">
      <c r="A88" s="14">
        <f t="shared" si="2"/>
        <v>80</v>
      </c>
      <c r="B88" s="8"/>
      <c r="C88" s="46"/>
      <c r="D88" s="214" t="s">
        <v>19</v>
      </c>
      <c r="E88" s="32"/>
      <c r="F88" s="17"/>
      <c r="G88" s="18">
        <f t="shared" si="3"/>
        <v>16443</v>
      </c>
      <c r="H88" s="240"/>
      <c r="I88" s="7" t="s">
        <v>14</v>
      </c>
      <c r="J88" s="7"/>
      <c r="K88" s="7"/>
    </row>
    <row r="89" spans="1:17" ht="18" customHeight="1" x14ac:dyDescent="0.25">
      <c r="A89" s="14">
        <f t="shared" si="2"/>
        <v>81</v>
      </c>
      <c r="B89" s="8"/>
      <c r="C89" s="46"/>
      <c r="D89" s="214" t="s">
        <v>19</v>
      </c>
      <c r="E89" s="32"/>
      <c r="F89" s="17"/>
      <c r="G89" s="18">
        <f t="shared" si="3"/>
        <v>16443</v>
      </c>
      <c r="H89" s="240"/>
      <c r="I89" s="7" t="s">
        <v>14</v>
      </c>
      <c r="J89" s="7"/>
      <c r="K89" s="7"/>
    </row>
    <row r="90" spans="1:17" ht="18" customHeight="1" x14ac:dyDescent="0.25">
      <c r="A90" s="14">
        <f t="shared" si="2"/>
        <v>82</v>
      </c>
      <c r="B90" s="8"/>
      <c r="C90" s="46"/>
      <c r="D90" s="214" t="s">
        <v>19</v>
      </c>
      <c r="E90" s="32"/>
      <c r="F90" s="17"/>
      <c r="G90" s="18">
        <f t="shared" si="3"/>
        <v>16443</v>
      </c>
      <c r="H90" s="240"/>
      <c r="I90" s="7" t="s">
        <v>14</v>
      </c>
      <c r="J90" s="7"/>
      <c r="K90" s="7"/>
    </row>
    <row r="91" spans="1:17" ht="18" customHeight="1" x14ac:dyDescent="0.25">
      <c r="A91" s="14">
        <f t="shared" si="2"/>
        <v>83</v>
      </c>
      <c r="B91" s="8"/>
      <c r="C91" s="46"/>
      <c r="D91" s="214" t="s">
        <v>19</v>
      </c>
      <c r="E91" s="32"/>
      <c r="F91" s="17"/>
      <c r="G91" s="18">
        <f t="shared" si="3"/>
        <v>16443</v>
      </c>
      <c r="H91" s="240"/>
      <c r="I91" s="7" t="s">
        <v>14</v>
      </c>
      <c r="J91" s="7"/>
      <c r="K91" s="7"/>
    </row>
    <row r="92" spans="1:17" ht="18" customHeight="1" x14ac:dyDescent="0.25">
      <c r="A92" s="14">
        <f t="shared" si="2"/>
        <v>84</v>
      </c>
      <c r="B92" s="8"/>
      <c r="C92" s="46"/>
      <c r="D92" s="214" t="s">
        <v>19</v>
      </c>
      <c r="E92" s="32"/>
      <c r="F92" s="17"/>
      <c r="G92" s="18">
        <f t="shared" si="3"/>
        <v>16443</v>
      </c>
      <c r="H92" s="240"/>
      <c r="I92" s="7" t="s">
        <v>14</v>
      </c>
      <c r="J92" s="7"/>
      <c r="K92" s="7"/>
      <c r="L92" s="199"/>
      <c r="Q92" s="199"/>
    </row>
    <row r="93" spans="1:17" ht="18" customHeight="1" x14ac:dyDescent="0.25">
      <c r="A93" s="14">
        <f t="shared" si="2"/>
        <v>85</v>
      </c>
      <c r="B93" s="8"/>
      <c r="C93" s="46"/>
      <c r="D93" s="214" t="s">
        <v>19</v>
      </c>
      <c r="E93" s="32"/>
      <c r="F93" s="27"/>
      <c r="G93" s="18">
        <f t="shared" si="3"/>
        <v>16443</v>
      </c>
      <c r="H93" s="240"/>
      <c r="I93" s="7" t="s">
        <v>14</v>
      </c>
      <c r="J93" s="7"/>
      <c r="K93" s="7"/>
      <c r="L93" s="199"/>
      <c r="Q93" s="199"/>
    </row>
    <row r="94" spans="1:17" ht="18" customHeight="1" x14ac:dyDescent="0.25">
      <c r="A94" s="14">
        <f t="shared" si="2"/>
        <v>86</v>
      </c>
      <c r="B94" s="8"/>
      <c r="C94" s="46"/>
      <c r="D94" s="214" t="s">
        <v>19</v>
      </c>
      <c r="E94" s="32"/>
      <c r="F94" s="27"/>
      <c r="G94" s="18">
        <f t="shared" si="3"/>
        <v>16443</v>
      </c>
      <c r="H94" s="240"/>
      <c r="I94" s="7" t="s">
        <v>14</v>
      </c>
      <c r="J94" s="7"/>
      <c r="K94" s="7"/>
      <c r="L94" s="199"/>
      <c r="Q94" s="199"/>
    </row>
    <row r="95" spans="1:17" s="179" customFormat="1" ht="18" customHeight="1" x14ac:dyDescent="0.25">
      <c r="A95" s="14">
        <f t="shared" si="2"/>
        <v>87</v>
      </c>
      <c r="B95" s="242"/>
      <c r="C95" s="46"/>
      <c r="D95" s="214" t="s">
        <v>19</v>
      </c>
      <c r="E95" s="245"/>
      <c r="F95" s="52"/>
      <c r="G95" s="18">
        <f t="shared" si="3"/>
        <v>16443</v>
      </c>
      <c r="H95" s="240"/>
      <c r="I95" s="247" t="s">
        <v>14</v>
      </c>
      <c r="J95" s="247"/>
      <c r="K95" s="247"/>
      <c r="L95" s="248"/>
      <c r="Q95" s="248"/>
    </row>
    <row r="96" spans="1:17" s="179" customFormat="1" ht="18" customHeight="1" x14ac:dyDescent="0.25">
      <c r="A96" s="14">
        <f t="shared" si="2"/>
        <v>88</v>
      </c>
      <c r="B96" s="242"/>
      <c r="C96" s="46"/>
      <c r="D96" s="214" t="s">
        <v>19</v>
      </c>
      <c r="E96" s="245"/>
      <c r="F96" s="52"/>
      <c r="G96" s="18">
        <f t="shared" si="3"/>
        <v>16443</v>
      </c>
      <c r="H96" s="240"/>
      <c r="I96" s="247" t="s">
        <v>14</v>
      </c>
      <c r="J96" s="247"/>
      <c r="K96" s="247"/>
      <c r="L96" s="248"/>
      <c r="Q96" s="248"/>
    </row>
    <row r="97" spans="1:17" s="179" customFormat="1" ht="18" customHeight="1" x14ac:dyDescent="0.25">
      <c r="A97" s="14">
        <f t="shared" si="2"/>
        <v>89</v>
      </c>
      <c r="B97" s="242"/>
      <c r="C97" s="46"/>
      <c r="D97" s="214" t="s">
        <v>19</v>
      </c>
      <c r="E97" s="245"/>
      <c r="F97" s="52"/>
      <c r="G97" s="18">
        <f t="shared" si="3"/>
        <v>16443</v>
      </c>
      <c r="H97" s="240"/>
      <c r="I97" s="247" t="s">
        <v>14</v>
      </c>
      <c r="J97" s="247"/>
      <c r="K97" s="247"/>
      <c r="L97" s="248"/>
      <c r="Q97" s="248"/>
    </row>
    <row r="98" spans="1:17" s="179" customFormat="1" ht="18" customHeight="1" x14ac:dyDescent="0.25">
      <c r="A98" s="14">
        <f t="shared" si="2"/>
        <v>90</v>
      </c>
      <c r="B98" s="242"/>
      <c r="C98" s="46"/>
      <c r="D98" s="214" t="s">
        <v>19</v>
      </c>
      <c r="E98" s="245"/>
      <c r="F98" s="52"/>
      <c r="G98" s="18">
        <f t="shared" si="3"/>
        <v>16443</v>
      </c>
      <c r="H98" s="240"/>
      <c r="I98" s="247" t="s">
        <v>14</v>
      </c>
      <c r="J98" s="247"/>
      <c r="K98" s="247"/>
      <c r="L98" s="248"/>
      <c r="Q98" s="248"/>
    </row>
    <row r="99" spans="1:17" s="179" customFormat="1" ht="18" customHeight="1" x14ac:dyDescent="0.25">
      <c r="A99" s="14">
        <f t="shared" si="2"/>
        <v>91</v>
      </c>
      <c r="B99" s="242"/>
      <c r="C99" s="46"/>
      <c r="D99" s="214" t="s">
        <v>19</v>
      </c>
      <c r="E99" s="245"/>
      <c r="F99" s="52"/>
      <c r="G99" s="18">
        <f t="shared" si="3"/>
        <v>16443</v>
      </c>
      <c r="H99" s="240"/>
      <c r="I99" s="247" t="s">
        <v>14</v>
      </c>
      <c r="J99" s="247"/>
      <c r="K99" s="247"/>
      <c r="L99" s="248"/>
      <c r="Q99" s="248"/>
    </row>
    <row r="100" spans="1:17" s="179" customFormat="1" ht="18" customHeight="1" x14ac:dyDescent="0.25">
      <c r="A100" s="14">
        <f t="shared" si="2"/>
        <v>92</v>
      </c>
      <c r="B100" s="242"/>
      <c r="C100" s="46"/>
      <c r="D100" s="214" t="s">
        <v>19</v>
      </c>
      <c r="E100" s="245"/>
      <c r="F100" s="52"/>
      <c r="G100" s="18">
        <f t="shared" si="3"/>
        <v>16443</v>
      </c>
      <c r="H100" s="240"/>
      <c r="I100" s="247" t="s">
        <v>14</v>
      </c>
      <c r="J100" s="247"/>
      <c r="K100" s="247"/>
      <c r="L100" s="248"/>
      <c r="Q100" s="248"/>
    </row>
    <row r="101" spans="1:17" s="179" customFormat="1" ht="18" customHeight="1" x14ac:dyDescent="0.25">
      <c r="A101" s="14">
        <f t="shared" si="2"/>
        <v>93</v>
      </c>
      <c r="B101" s="242"/>
      <c r="C101" s="46"/>
      <c r="D101" s="214" t="s">
        <v>19</v>
      </c>
      <c r="E101" s="245"/>
      <c r="F101" s="52"/>
      <c r="G101" s="18">
        <f t="shared" si="3"/>
        <v>16443</v>
      </c>
      <c r="H101" s="240"/>
      <c r="I101" s="247" t="s">
        <v>14</v>
      </c>
      <c r="J101" s="247"/>
      <c r="K101" s="247"/>
      <c r="L101" s="248"/>
      <c r="Q101" s="248"/>
    </row>
    <row r="102" spans="1:17" s="179" customFormat="1" ht="18" customHeight="1" x14ac:dyDescent="0.25">
      <c r="A102" s="14">
        <f t="shared" si="2"/>
        <v>94</v>
      </c>
      <c r="B102" s="242"/>
      <c r="C102" s="46"/>
      <c r="D102" s="214" t="s">
        <v>19</v>
      </c>
      <c r="E102" s="245"/>
      <c r="F102" s="52"/>
      <c r="G102" s="18">
        <f t="shared" si="3"/>
        <v>16443</v>
      </c>
      <c r="H102" s="240"/>
      <c r="I102" s="247" t="s">
        <v>14</v>
      </c>
      <c r="J102" s="247"/>
      <c r="K102" s="247"/>
      <c r="L102" s="248"/>
      <c r="Q102" s="248"/>
    </row>
    <row r="103" spans="1:17" s="179" customFormat="1" ht="18" customHeight="1" x14ac:dyDescent="0.25">
      <c r="A103" s="14">
        <f t="shared" si="2"/>
        <v>95</v>
      </c>
      <c r="B103" s="242"/>
      <c r="C103" s="46"/>
      <c r="D103" s="214" t="s">
        <v>19</v>
      </c>
      <c r="E103" s="245"/>
      <c r="F103" s="52"/>
      <c r="G103" s="18">
        <f t="shared" si="3"/>
        <v>16443</v>
      </c>
      <c r="H103" s="240"/>
      <c r="I103" s="247"/>
      <c r="J103" s="247"/>
      <c r="K103" s="247"/>
      <c r="L103" s="248"/>
      <c r="Q103" s="248"/>
    </row>
    <row r="104" spans="1:17" s="179" customFormat="1" ht="18" customHeight="1" x14ac:dyDescent="0.25">
      <c r="A104" s="14">
        <f t="shared" si="2"/>
        <v>96</v>
      </c>
      <c r="B104" s="242"/>
      <c r="C104" s="46"/>
      <c r="D104" s="214" t="s">
        <v>19</v>
      </c>
      <c r="E104" s="245"/>
      <c r="F104" s="52"/>
      <c r="G104" s="18">
        <f t="shared" si="3"/>
        <v>16443</v>
      </c>
      <c r="H104" s="240"/>
      <c r="I104" s="247"/>
      <c r="J104" s="247"/>
      <c r="K104" s="247"/>
      <c r="L104" s="248"/>
      <c r="Q104" s="248"/>
    </row>
    <row r="105" spans="1:17" s="179" customFormat="1" ht="18" customHeight="1" x14ac:dyDescent="0.25">
      <c r="A105" s="14">
        <f t="shared" si="2"/>
        <v>97</v>
      </c>
      <c r="B105" s="242"/>
      <c r="C105" s="243"/>
      <c r="D105" s="214" t="s">
        <v>19</v>
      </c>
      <c r="E105" s="245"/>
      <c r="F105" s="52"/>
      <c r="G105" s="18">
        <f t="shared" si="3"/>
        <v>16443</v>
      </c>
      <c r="H105" s="240"/>
      <c r="I105" s="247"/>
      <c r="J105" s="247"/>
      <c r="K105" s="247"/>
      <c r="L105" s="248"/>
      <c r="Q105" s="248"/>
    </row>
    <row r="106" spans="1:17" s="179" customFormat="1" ht="18" customHeight="1" x14ac:dyDescent="0.25">
      <c r="A106" s="14">
        <f t="shared" si="2"/>
        <v>98</v>
      </c>
      <c r="B106" s="242"/>
      <c r="C106" s="243"/>
      <c r="D106" s="214" t="s">
        <v>19</v>
      </c>
      <c r="E106" s="245"/>
      <c r="F106" s="52"/>
      <c r="G106" s="18">
        <f t="shared" si="3"/>
        <v>16443</v>
      </c>
      <c r="H106" s="240"/>
      <c r="I106" s="247"/>
      <c r="J106" s="247"/>
      <c r="K106" s="247"/>
      <c r="L106" s="248"/>
      <c r="Q106" s="248"/>
    </row>
    <row r="107" spans="1:17" ht="18" customHeight="1" x14ac:dyDescent="0.25">
      <c r="A107" s="14">
        <f t="shared" si="2"/>
        <v>99</v>
      </c>
      <c r="B107" s="8"/>
      <c r="C107" s="46"/>
      <c r="D107" s="214" t="s">
        <v>19</v>
      </c>
      <c r="E107" s="32"/>
      <c r="F107" s="27"/>
      <c r="G107" s="18">
        <f t="shared" si="3"/>
        <v>16443</v>
      </c>
      <c r="H107" s="28"/>
      <c r="I107" s="7"/>
      <c r="J107" s="7"/>
      <c r="K107" s="7"/>
      <c r="L107" s="199"/>
      <c r="Q107" s="199"/>
    </row>
    <row r="108" spans="1:17" ht="18" customHeight="1" x14ac:dyDescent="0.25">
      <c r="A108" s="14">
        <f t="shared" si="2"/>
        <v>100</v>
      </c>
      <c r="B108" s="8"/>
      <c r="C108" s="46"/>
      <c r="D108" s="214" t="s">
        <v>19</v>
      </c>
      <c r="E108" s="32"/>
      <c r="F108" s="27"/>
      <c r="G108" s="18">
        <f t="shared" si="3"/>
        <v>16443</v>
      </c>
      <c r="H108" s="28"/>
      <c r="I108" s="7"/>
      <c r="J108" s="7"/>
      <c r="K108" s="7"/>
      <c r="L108" s="199"/>
      <c r="Q108" s="199"/>
    </row>
    <row r="109" spans="1:17" ht="18" customHeight="1" x14ac:dyDescent="0.25">
      <c r="A109" s="14">
        <f t="shared" si="2"/>
        <v>101</v>
      </c>
      <c r="B109" s="37"/>
      <c r="C109" s="46"/>
      <c r="D109" s="214" t="s">
        <v>19</v>
      </c>
      <c r="E109" s="32"/>
      <c r="F109" s="27"/>
      <c r="G109" s="18">
        <f t="shared" si="3"/>
        <v>16443</v>
      </c>
      <c r="H109" s="28"/>
      <c r="I109" s="7"/>
      <c r="J109" s="7"/>
      <c r="K109" s="7"/>
      <c r="L109" s="199"/>
      <c r="Q109" s="199"/>
    </row>
    <row r="110" spans="1:17" ht="18" customHeight="1" x14ac:dyDescent="0.25">
      <c r="A110" s="7"/>
      <c r="B110" s="7"/>
      <c r="C110" s="34" t="s">
        <v>13</v>
      </c>
      <c r="D110" s="14"/>
      <c r="E110" s="35">
        <f>SUM(E8:E109)</f>
        <v>32859.4</v>
      </c>
      <c r="F110" s="35">
        <f>SUM(F8:F109)</f>
        <v>16416.400000000001</v>
      </c>
      <c r="G110" s="35">
        <f>+E110-F110+G8</f>
        <v>16443</v>
      </c>
      <c r="H110" s="35"/>
      <c r="I110" s="36"/>
      <c r="J110" s="7">
        <f>SUM(J9:J109)</f>
        <v>34</v>
      </c>
      <c r="K110" s="7"/>
    </row>
    <row r="111" spans="1:17" ht="18" customHeight="1" x14ac:dyDescent="0.25"/>
    <row r="114" spans="5:9" x14ac:dyDescent="0.25">
      <c r="E114" s="201"/>
      <c r="F114" s="201"/>
      <c r="G114" s="201"/>
      <c r="H114" s="201"/>
    </row>
    <row r="115" spans="5:9" x14ac:dyDescent="0.25">
      <c r="F115" s="26"/>
    </row>
    <row r="116" spans="5:9" x14ac:dyDescent="0.25">
      <c r="E116" s="26"/>
      <c r="F116" s="26"/>
      <c r="G116" s="26"/>
      <c r="H116" s="26"/>
      <c r="I116" s="26"/>
    </row>
    <row r="117" spans="5:9" x14ac:dyDescent="0.25">
      <c r="I117" s="202"/>
    </row>
    <row r="118" spans="5:9" x14ac:dyDescent="0.25">
      <c r="E118" s="199"/>
    </row>
    <row r="119" spans="5:9" x14ac:dyDescent="0.25">
      <c r="E119" s="26"/>
      <c r="F119" s="26"/>
    </row>
    <row r="120" spans="5:9" x14ac:dyDescent="0.25">
      <c r="E120" s="203"/>
      <c r="F120" s="204"/>
      <c r="G120" s="203"/>
      <c r="H120" s="203"/>
    </row>
    <row r="121" spans="5:9" x14ac:dyDescent="0.25">
      <c r="F121" s="26"/>
    </row>
  </sheetData>
  <mergeCells count="1">
    <mergeCell ref="A4:I5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828F-E5D9-4E08-820D-43196A17F1CC}">
  <sheetPr codeName="Sheet100"/>
  <dimension ref="A1:S119"/>
  <sheetViews>
    <sheetView workbookViewId="0">
      <selection activeCell="F10" sqref="F10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7.140625" customWidth="1"/>
    <col min="10" max="10" width="8.1406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4" spans="1:16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6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6" x14ac:dyDescent="0.25">
      <c r="A6" t="s">
        <v>166</v>
      </c>
    </row>
    <row r="7" spans="1:16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/>
      <c r="J7" s="6" t="s">
        <v>23</v>
      </c>
      <c r="K7" s="4" t="s">
        <v>10</v>
      </c>
    </row>
    <row r="8" spans="1:16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52</v>
      </c>
      <c r="H8" s="7"/>
      <c r="I8" s="7"/>
      <c r="J8" s="7"/>
      <c r="K8" s="7"/>
    </row>
    <row r="9" spans="1:16" ht="17.25" customHeight="1" x14ac:dyDescent="0.25">
      <c r="A9" s="14">
        <v>1</v>
      </c>
      <c r="B9" s="8">
        <v>45680</v>
      </c>
      <c r="C9" s="46"/>
      <c r="D9" s="214" t="s">
        <v>165</v>
      </c>
      <c r="E9" s="30"/>
      <c r="F9" s="27">
        <v>52</v>
      </c>
      <c r="G9" s="18">
        <f>+G8+E9-F9</f>
        <v>0</v>
      </c>
      <c r="H9" s="28" t="s">
        <v>91</v>
      </c>
      <c r="I9" s="28"/>
      <c r="J9" s="382">
        <f>760*0.28</f>
        <v>212.8</v>
      </c>
      <c r="K9" s="7" t="s">
        <v>176</v>
      </c>
      <c r="L9" t="s">
        <v>164</v>
      </c>
    </row>
    <row r="10" spans="1:16" ht="17.25" customHeight="1" x14ac:dyDescent="0.25">
      <c r="A10" s="14">
        <f t="shared" ref="A10:A73" si="0">+A9+1</f>
        <v>2</v>
      </c>
      <c r="B10" s="8"/>
      <c r="C10" s="46"/>
      <c r="D10" s="214"/>
      <c r="E10" s="30"/>
      <c r="F10" s="27"/>
      <c r="G10" s="18">
        <f t="shared" ref="G10:G73" si="1">+G9+E10-F10</f>
        <v>0</v>
      </c>
      <c r="H10" s="28" t="s">
        <v>91</v>
      </c>
      <c r="I10" s="28"/>
      <c r="J10" s="28"/>
      <c r="K10" s="7" t="s">
        <v>90</v>
      </c>
    </row>
    <row r="11" spans="1:16" ht="18" customHeight="1" x14ac:dyDescent="0.25">
      <c r="A11" s="14">
        <f t="shared" si="0"/>
        <v>3</v>
      </c>
      <c r="B11" s="8"/>
      <c r="C11" s="46"/>
      <c r="D11" s="214"/>
      <c r="E11" s="16"/>
      <c r="F11" s="27"/>
      <c r="G11" s="18">
        <f t="shared" si="1"/>
        <v>0</v>
      </c>
      <c r="H11" s="28" t="s">
        <v>91</v>
      </c>
      <c r="I11" s="28"/>
      <c r="J11" s="28"/>
      <c r="K11" s="7" t="s">
        <v>90</v>
      </c>
      <c r="L11" s="26"/>
      <c r="P11">
        <f>24*20</f>
        <v>480</v>
      </c>
    </row>
    <row r="12" spans="1:16" ht="18" customHeight="1" x14ac:dyDescent="0.25">
      <c r="A12" s="14">
        <f t="shared" si="0"/>
        <v>4</v>
      </c>
      <c r="B12" s="8"/>
      <c r="C12" s="46"/>
      <c r="D12" s="214"/>
      <c r="E12" s="16"/>
      <c r="F12" s="17"/>
      <c r="G12" s="18">
        <f t="shared" si="1"/>
        <v>0</v>
      </c>
      <c r="H12" s="28" t="s">
        <v>91</v>
      </c>
      <c r="I12" s="28"/>
      <c r="J12" s="28"/>
      <c r="K12" s="7" t="s">
        <v>90</v>
      </c>
      <c r="L12" s="26"/>
      <c r="P12">
        <f>760-480</f>
        <v>280</v>
      </c>
    </row>
    <row r="13" spans="1:16" ht="18" customHeight="1" x14ac:dyDescent="0.25">
      <c r="A13" s="14">
        <f t="shared" si="0"/>
        <v>5</v>
      </c>
      <c r="B13" s="205"/>
      <c r="C13" s="46"/>
      <c r="D13" s="214"/>
      <c r="E13" s="16"/>
      <c r="F13" s="17"/>
      <c r="G13" s="18">
        <f t="shared" si="1"/>
        <v>0</v>
      </c>
      <c r="H13" s="28" t="s">
        <v>91</v>
      </c>
      <c r="I13" s="28"/>
      <c r="J13" s="28"/>
      <c r="K13" s="7" t="s">
        <v>90</v>
      </c>
      <c r="L13" s="26"/>
    </row>
    <row r="14" spans="1:16" ht="18" customHeight="1" x14ac:dyDescent="0.25">
      <c r="A14" s="14">
        <f t="shared" si="0"/>
        <v>6</v>
      </c>
      <c r="B14" s="8"/>
      <c r="C14" s="46"/>
      <c r="D14" s="214"/>
      <c r="E14" s="16"/>
      <c r="F14" s="27"/>
      <c r="G14" s="18">
        <f t="shared" si="1"/>
        <v>0</v>
      </c>
      <c r="H14" s="28" t="s">
        <v>91</v>
      </c>
      <c r="I14" s="28"/>
      <c r="J14" s="28"/>
      <c r="K14" s="7" t="s">
        <v>90</v>
      </c>
    </row>
    <row r="15" spans="1:16" ht="18" customHeight="1" x14ac:dyDescent="0.25">
      <c r="A15" s="14">
        <f t="shared" si="0"/>
        <v>7</v>
      </c>
      <c r="B15" s="8"/>
      <c r="C15" s="46"/>
      <c r="D15" s="214"/>
      <c r="E15" s="16"/>
      <c r="F15" s="27"/>
      <c r="G15" s="18">
        <f t="shared" si="1"/>
        <v>0</v>
      </c>
      <c r="H15" s="28" t="s">
        <v>91</v>
      </c>
      <c r="I15" s="28"/>
      <c r="J15" s="28"/>
      <c r="K15" s="7" t="s">
        <v>90</v>
      </c>
      <c r="L15" s="26"/>
    </row>
    <row r="16" spans="1:16" ht="18" customHeight="1" x14ac:dyDescent="0.25">
      <c r="A16" s="14">
        <f t="shared" si="0"/>
        <v>8</v>
      </c>
      <c r="B16" s="8"/>
      <c r="C16" s="46"/>
      <c r="D16" s="214"/>
      <c r="E16" s="16"/>
      <c r="F16" s="27"/>
      <c r="G16" s="18">
        <f t="shared" si="1"/>
        <v>0</v>
      </c>
      <c r="H16" s="28" t="s">
        <v>91</v>
      </c>
      <c r="I16" s="28"/>
      <c r="J16" s="28"/>
      <c r="K16" s="7" t="s">
        <v>90</v>
      </c>
    </row>
    <row r="17" spans="1:16" ht="18" customHeight="1" x14ac:dyDescent="0.25">
      <c r="A17" s="14">
        <f t="shared" si="0"/>
        <v>9</v>
      </c>
      <c r="B17" s="8"/>
      <c r="C17" s="46"/>
      <c r="D17" s="214"/>
      <c r="E17" s="30"/>
      <c r="F17" s="27"/>
      <c r="G17" s="18">
        <f t="shared" si="1"/>
        <v>0</v>
      </c>
      <c r="H17" s="28" t="s">
        <v>91</v>
      </c>
      <c r="I17" s="28"/>
      <c r="J17" s="28"/>
      <c r="K17" s="7" t="s">
        <v>90</v>
      </c>
    </row>
    <row r="18" spans="1:16" s="230" customFormat="1" ht="18" customHeight="1" x14ac:dyDescent="0.25">
      <c r="A18" s="223">
        <f>+A17+1</f>
        <v>10</v>
      </c>
      <c r="B18" s="224"/>
      <c r="C18" s="225"/>
      <c r="D18" s="226"/>
      <c r="E18" s="227"/>
      <c r="F18" s="228"/>
      <c r="G18" s="229">
        <f t="shared" si="1"/>
        <v>0</v>
      </c>
      <c r="H18" s="28" t="s">
        <v>91</v>
      </c>
      <c r="I18" s="28"/>
      <c r="J18" s="28"/>
      <c r="K18" s="7" t="s">
        <v>90</v>
      </c>
      <c r="M18" s="230">
        <f>27*20</f>
        <v>540</v>
      </c>
    </row>
    <row r="19" spans="1:16" s="230" customFormat="1" ht="18" customHeight="1" x14ac:dyDescent="0.25">
      <c r="A19" s="223">
        <f t="shared" si="0"/>
        <v>11</v>
      </c>
      <c r="B19" s="224"/>
      <c r="C19" s="225"/>
      <c r="D19" s="226"/>
      <c r="E19" s="231"/>
      <c r="F19" s="228"/>
      <c r="G19" s="229">
        <f t="shared" si="1"/>
        <v>0</v>
      </c>
      <c r="H19" s="28" t="s">
        <v>91</v>
      </c>
      <c r="I19" s="28"/>
      <c r="J19" s="28"/>
      <c r="K19" s="7" t="s">
        <v>90</v>
      </c>
    </row>
    <row r="20" spans="1:16" ht="18" customHeight="1" x14ac:dyDescent="0.25">
      <c r="A20" s="14">
        <f t="shared" si="0"/>
        <v>12</v>
      </c>
      <c r="B20" s="8"/>
      <c r="C20" s="46"/>
      <c r="D20" s="214"/>
      <c r="E20" s="32"/>
      <c r="F20" s="17"/>
      <c r="G20" s="18">
        <f t="shared" si="1"/>
        <v>0</v>
      </c>
      <c r="H20" s="28" t="s">
        <v>91</v>
      </c>
      <c r="I20" s="28"/>
      <c r="J20" s="28"/>
      <c r="K20" s="7" t="s">
        <v>90</v>
      </c>
      <c r="P20" s="26"/>
    </row>
    <row r="21" spans="1:16" ht="18" customHeight="1" x14ac:dyDescent="0.25">
      <c r="A21" s="14">
        <f t="shared" si="0"/>
        <v>13</v>
      </c>
      <c r="B21" s="8"/>
      <c r="C21" s="46"/>
      <c r="D21" s="214"/>
      <c r="E21" s="32"/>
      <c r="F21" s="27"/>
      <c r="G21" s="18">
        <f t="shared" si="1"/>
        <v>0</v>
      </c>
      <c r="H21" s="28" t="s">
        <v>91</v>
      </c>
      <c r="I21" s="28"/>
      <c r="J21" s="28"/>
      <c r="K21" s="7" t="s">
        <v>90</v>
      </c>
    </row>
    <row r="22" spans="1:16" ht="18" customHeight="1" x14ac:dyDescent="0.25">
      <c r="A22" s="14">
        <f t="shared" si="0"/>
        <v>14</v>
      </c>
      <c r="B22" s="232"/>
      <c r="C22" s="233"/>
      <c r="D22" s="234"/>
      <c r="E22" s="235"/>
      <c r="F22" s="172"/>
      <c r="G22" s="18">
        <f t="shared" si="1"/>
        <v>0</v>
      </c>
      <c r="H22" s="28" t="s">
        <v>129</v>
      </c>
      <c r="I22" s="28"/>
      <c r="J22" s="28"/>
      <c r="K22" s="7" t="s">
        <v>90</v>
      </c>
      <c r="P22">
        <f>6/30</f>
        <v>0.2</v>
      </c>
    </row>
    <row r="23" spans="1:16" ht="18" customHeight="1" x14ac:dyDescent="0.25">
      <c r="A23" s="14">
        <f t="shared" si="0"/>
        <v>15</v>
      </c>
      <c r="B23" s="8"/>
      <c r="C23" s="46"/>
      <c r="D23" s="214"/>
      <c r="E23" s="32"/>
      <c r="F23" s="17"/>
      <c r="G23" s="18">
        <f t="shared" si="1"/>
        <v>0</v>
      </c>
      <c r="H23" s="28" t="s">
        <v>129</v>
      </c>
      <c r="I23" s="28"/>
      <c r="J23" s="28"/>
      <c r="K23" s="7" t="s">
        <v>142</v>
      </c>
    </row>
    <row r="24" spans="1:16" ht="18" customHeight="1" x14ac:dyDescent="0.25">
      <c r="A24" s="14">
        <f t="shared" si="0"/>
        <v>16</v>
      </c>
      <c r="B24" s="8"/>
      <c r="C24" s="46"/>
      <c r="D24" s="214"/>
      <c r="E24" s="32"/>
      <c r="F24" s="17"/>
      <c r="G24" s="18">
        <f t="shared" si="1"/>
        <v>0</v>
      </c>
      <c r="H24" s="28" t="s">
        <v>91</v>
      </c>
      <c r="I24" s="28"/>
      <c r="J24" s="28"/>
      <c r="K24" s="7" t="s">
        <v>90</v>
      </c>
    </row>
    <row r="25" spans="1:16" ht="18" customHeight="1" x14ac:dyDescent="0.25">
      <c r="A25" s="14">
        <f t="shared" si="0"/>
        <v>17</v>
      </c>
      <c r="B25" s="8"/>
      <c r="C25" s="46"/>
      <c r="D25" s="214"/>
      <c r="E25" s="32"/>
      <c r="F25" s="17"/>
      <c r="G25" s="18">
        <f t="shared" si="1"/>
        <v>0</v>
      </c>
      <c r="H25" s="28" t="s">
        <v>91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18</v>
      </c>
      <c r="B26" s="8"/>
      <c r="C26" s="46"/>
      <c r="D26" s="214"/>
      <c r="E26" s="32"/>
      <c r="F26" s="17"/>
      <c r="G26" s="18">
        <f t="shared" si="1"/>
        <v>0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>+A26+1</f>
        <v>19</v>
      </c>
      <c r="B27" s="8"/>
      <c r="C27" s="46"/>
      <c r="D27" s="214"/>
      <c r="E27" s="32"/>
      <c r="F27" s="17"/>
      <c r="G27" s="18">
        <f t="shared" si="1"/>
        <v>0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0"/>
        <v>20</v>
      </c>
      <c r="B28" s="8"/>
      <c r="C28" s="46"/>
      <c r="D28" s="214"/>
      <c r="E28" s="129"/>
      <c r="F28" s="17"/>
      <c r="G28" s="18">
        <f t="shared" si="1"/>
        <v>0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/>
      <c r="E29" s="32"/>
      <c r="F29" s="172"/>
      <c r="G29" s="18">
        <f t="shared" si="1"/>
        <v>0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0"/>
        <v>22</v>
      </c>
      <c r="B30" s="8"/>
      <c r="C30" s="46"/>
      <c r="D30" s="214"/>
      <c r="E30" s="32"/>
      <c r="F30" s="17"/>
      <c r="G30" s="18">
        <f t="shared" si="1"/>
        <v>0</v>
      </c>
      <c r="H30" s="28" t="s">
        <v>91</v>
      </c>
      <c r="I30" s="28"/>
      <c r="J30" s="28"/>
      <c r="K30" s="7" t="s">
        <v>90</v>
      </c>
    </row>
    <row r="31" spans="1:16" ht="18" customHeight="1" x14ac:dyDescent="0.25">
      <c r="A31" s="14">
        <f t="shared" si="0"/>
        <v>23</v>
      </c>
      <c r="B31" s="8"/>
      <c r="C31" s="46"/>
      <c r="D31" s="214"/>
      <c r="E31" s="32"/>
      <c r="F31" s="17"/>
      <c r="G31" s="18">
        <f t="shared" si="1"/>
        <v>0</v>
      </c>
      <c r="H31" s="28" t="s">
        <v>91</v>
      </c>
      <c r="I31" s="28"/>
      <c r="J31" s="28"/>
      <c r="K31" s="7" t="s">
        <v>90</v>
      </c>
    </row>
    <row r="32" spans="1:16" ht="17.25" customHeight="1" x14ac:dyDescent="0.25">
      <c r="A32" s="14">
        <f t="shared" si="0"/>
        <v>24</v>
      </c>
      <c r="B32" s="8"/>
      <c r="C32" s="46"/>
      <c r="D32" s="214"/>
      <c r="E32" s="13"/>
      <c r="F32" s="17"/>
      <c r="G32" s="18">
        <f t="shared" si="1"/>
        <v>0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44"/>
      <c r="C33" s="46"/>
      <c r="D33" s="214"/>
      <c r="E33" s="13"/>
      <c r="F33" s="17"/>
      <c r="G33" s="18">
        <f t="shared" si="1"/>
        <v>0</v>
      </c>
      <c r="H33" s="178"/>
      <c r="I33" s="178"/>
      <c r="J33" s="178"/>
      <c r="K33" s="7"/>
    </row>
    <row r="34" spans="1:18" ht="18" customHeight="1" x14ac:dyDescent="0.25">
      <c r="A34" s="14">
        <f t="shared" si="0"/>
        <v>26</v>
      </c>
      <c r="B34" s="8"/>
      <c r="C34" s="46"/>
      <c r="D34" s="214"/>
      <c r="E34" s="32"/>
      <c r="F34" s="40"/>
      <c r="G34" s="18">
        <f t="shared" si="1"/>
        <v>0</v>
      </c>
      <c r="H34" s="178"/>
      <c r="I34" s="178"/>
      <c r="J34" s="178"/>
      <c r="K34" s="7"/>
    </row>
    <row r="35" spans="1:18" ht="18" customHeight="1" x14ac:dyDescent="0.25">
      <c r="A35" s="14">
        <f t="shared" si="0"/>
        <v>27</v>
      </c>
      <c r="B35" s="45"/>
      <c r="C35" s="46"/>
      <c r="D35" s="214"/>
      <c r="E35" s="32"/>
      <c r="F35" s="40"/>
      <c r="G35" s="18">
        <f t="shared" si="1"/>
        <v>0</v>
      </c>
      <c r="H35" s="178"/>
      <c r="I35" s="178"/>
      <c r="J35" s="178"/>
      <c r="K35" s="7"/>
    </row>
    <row r="36" spans="1:18" ht="18" customHeight="1" x14ac:dyDescent="0.25">
      <c r="A36" s="14">
        <f t="shared" si="0"/>
        <v>28</v>
      </c>
      <c r="B36" s="8"/>
      <c r="C36" s="46"/>
      <c r="D36" s="214"/>
      <c r="E36" s="32"/>
      <c r="F36" s="40"/>
      <c r="G36" s="18">
        <f t="shared" si="1"/>
        <v>0</v>
      </c>
      <c r="H36" s="178"/>
      <c r="I36" s="178"/>
      <c r="J36" s="178"/>
      <c r="K36" s="7"/>
    </row>
    <row r="37" spans="1:18" ht="18" customHeight="1" x14ac:dyDescent="0.25">
      <c r="A37" s="14">
        <f t="shared" si="0"/>
        <v>29</v>
      </c>
      <c r="B37" s="8"/>
      <c r="C37" s="46"/>
      <c r="D37" s="214"/>
      <c r="E37" s="32"/>
      <c r="F37" s="17"/>
      <c r="G37" s="18">
        <f t="shared" si="1"/>
        <v>0</v>
      </c>
      <c r="H37" s="178"/>
      <c r="I37" s="178"/>
      <c r="J37" s="178"/>
      <c r="K37" s="7"/>
      <c r="M37">
        <f>911-338</f>
        <v>573</v>
      </c>
    </row>
    <row r="38" spans="1:18" ht="18" customHeight="1" x14ac:dyDescent="0.25">
      <c r="A38" s="14">
        <f t="shared" si="0"/>
        <v>30</v>
      </c>
      <c r="B38" s="8"/>
      <c r="C38" s="46"/>
      <c r="D38" s="214"/>
      <c r="E38" s="32"/>
      <c r="F38" s="17"/>
      <c r="G38" s="18">
        <f t="shared" si="1"/>
        <v>0</v>
      </c>
      <c r="H38" s="178"/>
      <c r="I38" s="178"/>
      <c r="J38" s="178"/>
      <c r="K38" s="7"/>
      <c r="M38">
        <f>+M37-314</f>
        <v>259</v>
      </c>
    </row>
    <row r="39" spans="1:18" ht="18" customHeight="1" x14ac:dyDescent="0.25">
      <c r="A39" s="14">
        <f t="shared" si="0"/>
        <v>31</v>
      </c>
      <c r="B39" s="8"/>
      <c r="C39" s="46"/>
      <c r="D39" s="214"/>
      <c r="E39" s="32"/>
      <c r="F39" s="17"/>
      <c r="G39" s="18">
        <f t="shared" si="1"/>
        <v>0</v>
      </c>
      <c r="H39" s="178"/>
      <c r="I39" s="178"/>
      <c r="J39" s="178"/>
      <c r="K39" s="7"/>
    </row>
    <row r="40" spans="1:18" ht="18" customHeight="1" x14ac:dyDescent="0.25">
      <c r="A40" s="14">
        <f t="shared" si="0"/>
        <v>32</v>
      </c>
      <c r="B40" s="8"/>
      <c r="C40" s="46"/>
      <c r="D40" s="214"/>
      <c r="E40" s="32"/>
      <c r="F40" s="17"/>
      <c r="G40" s="18">
        <f t="shared" si="1"/>
        <v>0</v>
      </c>
      <c r="H40" s="178"/>
      <c r="I40" s="178"/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/>
      <c r="E41" s="32"/>
      <c r="F41" s="172"/>
      <c r="G41" s="18">
        <f t="shared" si="1"/>
        <v>0</v>
      </c>
      <c r="H41" s="178"/>
      <c r="I41" s="178"/>
      <c r="J41" s="178"/>
      <c r="K41" s="7"/>
      <c r="R41" s="162"/>
    </row>
    <row r="42" spans="1:18" ht="18" customHeight="1" x14ac:dyDescent="0.25">
      <c r="A42" s="14">
        <f t="shared" si="0"/>
        <v>34</v>
      </c>
      <c r="B42" s="8"/>
      <c r="C42" s="46"/>
      <c r="D42" s="214"/>
      <c r="E42" s="32"/>
      <c r="F42" s="17"/>
      <c r="G42" s="18">
        <f t="shared" si="1"/>
        <v>0</v>
      </c>
      <c r="H42" s="178"/>
      <c r="I42" s="178"/>
      <c r="J42" s="178"/>
      <c r="K42" s="7"/>
    </row>
    <row r="43" spans="1:18" ht="18" customHeight="1" x14ac:dyDescent="0.25">
      <c r="A43" s="14">
        <f t="shared" si="0"/>
        <v>35</v>
      </c>
      <c r="B43" s="8"/>
      <c r="C43" s="46"/>
      <c r="D43" s="214"/>
      <c r="E43" s="32"/>
      <c r="F43" s="17"/>
      <c r="G43" s="18">
        <f t="shared" si="1"/>
        <v>0</v>
      </c>
      <c r="H43" s="178"/>
      <c r="I43" s="178"/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/>
      <c r="E44" s="32"/>
      <c r="F44" s="17"/>
      <c r="G44" s="18">
        <f t="shared" si="1"/>
        <v>0</v>
      </c>
      <c r="H44" s="178"/>
      <c r="I44" s="178"/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/>
      <c r="E45" s="32"/>
      <c r="F45" s="17"/>
      <c r="G45" s="18">
        <f t="shared" si="1"/>
        <v>0</v>
      </c>
      <c r="H45" s="178"/>
      <c r="I45" s="178"/>
      <c r="J45" s="178"/>
      <c r="K45" s="29"/>
    </row>
    <row r="46" spans="1:18" ht="18" customHeight="1" x14ac:dyDescent="0.25">
      <c r="A46" s="14">
        <f t="shared" si="0"/>
        <v>38</v>
      </c>
      <c r="B46" s="8"/>
      <c r="C46" s="46"/>
      <c r="D46" s="214"/>
      <c r="E46" s="32"/>
      <c r="F46" s="17"/>
      <c r="G46" s="18">
        <f t="shared" si="1"/>
        <v>0</v>
      </c>
      <c r="H46" s="178"/>
      <c r="I46" s="178"/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/>
      <c r="E47" s="32"/>
      <c r="F47" s="17"/>
      <c r="G47" s="18">
        <f t="shared" si="1"/>
        <v>0</v>
      </c>
      <c r="H47" s="178"/>
      <c r="I47" s="178"/>
      <c r="J47" s="178"/>
      <c r="K47" s="29"/>
    </row>
    <row r="48" spans="1:18" ht="18" customHeight="1" x14ac:dyDescent="0.25">
      <c r="A48" s="14">
        <f t="shared" si="0"/>
        <v>40</v>
      </c>
      <c r="B48" s="8"/>
      <c r="C48" s="46"/>
      <c r="D48" s="214"/>
      <c r="E48" s="32"/>
      <c r="F48" s="17"/>
      <c r="G48" s="18">
        <f t="shared" si="1"/>
        <v>0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/>
      <c r="E49" s="32"/>
      <c r="F49" s="17"/>
      <c r="G49" s="18">
        <f t="shared" si="1"/>
        <v>0</v>
      </c>
      <c r="H49" s="178"/>
      <c r="I49" s="178"/>
      <c r="J49" s="178"/>
      <c r="K49" s="7"/>
    </row>
    <row r="50" spans="1:18" s="162" customFormat="1" ht="18" customHeight="1" x14ac:dyDescent="0.25">
      <c r="A50" s="158">
        <f t="shared" si="0"/>
        <v>42</v>
      </c>
      <c r="B50" s="174"/>
      <c r="C50" s="236"/>
      <c r="D50" s="237"/>
      <c r="E50" s="175"/>
      <c r="F50" s="172"/>
      <c r="G50" s="238">
        <f t="shared" si="1"/>
        <v>0</v>
      </c>
      <c r="H50" s="178"/>
      <c r="I50" s="178"/>
      <c r="J50" s="178"/>
      <c r="K50" s="7"/>
      <c r="R50"/>
    </row>
    <row r="51" spans="1:18" ht="18" customHeight="1" x14ac:dyDescent="0.25">
      <c r="A51" s="14">
        <f t="shared" si="0"/>
        <v>43</v>
      </c>
      <c r="B51" s="8"/>
      <c r="C51" s="46"/>
      <c r="D51" s="214"/>
      <c r="E51" s="32"/>
      <c r="F51" s="17"/>
      <c r="G51" s="18">
        <f t="shared" si="1"/>
        <v>0</v>
      </c>
      <c r="H51" s="239"/>
      <c r="I51" s="239"/>
      <c r="J51" s="239"/>
      <c r="K51" s="7"/>
    </row>
    <row r="52" spans="1:18" ht="18" customHeight="1" x14ac:dyDescent="0.25">
      <c r="A52" s="14">
        <f t="shared" si="0"/>
        <v>44</v>
      </c>
      <c r="B52" s="8"/>
      <c r="C52" s="46"/>
      <c r="D52" s="214"/>
      <c r="E52" s="32"/>
      <c r="F52" s="17"/>
      <c r="G52" s="18">
        <f t="shared" si="1"/>
        <v>0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/>
      <c r="E53" s="32"/>
      <c r="F53" s="17"/>
      <c r="G53" s="18">
        <f t="shared" si="1"/>
        <v>0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/>
      <c r="E54" s="32"/>
      <c r="F54" s="17"/>
      <c r="G54" s="18">
        <f t="shared" si="1"/>
        <v>0</v>
      </c>
      <c r="H54" s="28"/>
      <c r="I54" s="28"/>
      <c r="J54" s="28"/>
      <c r="K54" s="7"/>
    </row>
    <row r="55" spans="1:18" ht="18" customHeight="1" x14ac:dyDescent="0.25">
      <c r="A55" s="14">
        <f t="shared" si="0"/>
        <v>47</v>
      </c>
      <c r="B55" s="8"/>
      <c r="C55" s="46"/>
      <c r="D55" s="214"/>
      <c r="E55" s="32"/>
      <c r="F55" s="17"/>
      <c r="G55" s="18">
        <f t="shared" si="1"/>
        <v>0</v>
      </c>
      <c r="H55" s="240"/>
      <c r="I55" s="240"/>
      <c r="J55" s="240"/>
      <c r="K55" s="7"/>
    </row>
    <row r="56" spans="1:18" ht="18" customHeight="1" x14ac:dyDescent="0.25">
      <c r="A56" s="14">
        <f t="shared" si="0"/>
        <v>48</v>
      </c>
      <c r="B56" s="8"/>
      <c r="C56" s="46"/>
      <c r="D56" s="214"/>
      <c r="E56" s="32"/>
      <c r="F56" s="17"/>
      <c r="G56" s="18">
        <f t="shared" si="1"/>
        <v>0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/>
      <c r="E57" s="32"/>
      <c r="F57" s="17"/>
      <c r="G57" s="18">
        <f t="shared" si="1"/>
        <v>0</v>
      </c>
      <c r="H57" s="240"/>
      <c r="I57" s="240"/>
      <c r="J57" s="240"/>
      <c r="K57" s="7" t="s">
        <v>14</v>
      </c>
    </row>
    <row r="58" spans="1:18" ht="18" customHeight="1" x14ac:dyDescent="0.25">
      <c r="A58" s="14">
        <f t="shared" si="0"/>
        <v>50</v>
      </c>
      <c r="B58" s="8"/>
      <c r="C58" s="46"/>
      <c r="D58" s="214"/>
      <c r="E58" s="32"/>
      <c r="F58" s="17"/>
      <c r="G58" s="18">
        <f t="shared" si="1"/>
        <v>0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/>
      <c r="E59" s="32"/>
      <c r="F59" s="17"/>
      <c r="G59" s="18">
        <f t="shared" si="1"/>
        <v>0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/>
      <c r="E60" s="32"/>
      <c r="F60" s="17"/>
      <c r="G60" s="18">
        <f t="shared" si="1"/>
        <v>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/>
      <c r="E61" s="32"/>
      <c r="F61" s="17"/>
      <c r="G61" s="18">
        <f t="shared" si="1"/>
        <v>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/>
      <c r="E62" s="32"/>
      <c r="F62" s="17"/>
      <c r="G62" s="18">
        <f t="shared" si="1"/>
        <v>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/>
      <c r="E63" s="32"/>
      <c r="F63" s="17"/>
      <c r="G63" s="18">
        <f t="shared" si="1"/>
        <v>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/>
      <c r="E64" s="32"/>
      <c r="F64" s="17"/>
      <c r="G64" s="18">
        <f t="shared" si="1"/>
        <v>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/>
      <c r="E65" s="32"/>
      <c r="F65" s="17"/>
      <c r="G65" s="18">
        <f t="shared" si="1"/>
        <v>0</v>
      </c>
      <c r="H65" s="240"/>
      <c r="I65" s="240"/>
      <c r="J65" s="240"/>
      <c r="K65" s="7" t="s">
        <v>14</v>
      </c>
      <c r="L65" s="26"/>
    </row>
    <row r="66" spans="1:12" ht="18" customHeight="1" x14ac:dyDescent="0.25">
      <c r="A66" s="14">
        <f t="shared" si="0"/>
        <v>58</v>
      </c>
      <c r="B66" s="8"/>
      <c r="C66" s="46"/>
      <c r="D66" s="214"/>
      <c r="E66" s="32"/>
      <c r="F66" s="17"/>
      <c r="G66" s="18">
        <f t="shared" si="1"/>
        <v>0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59</v>
      </c>
      <c r="B67" s="8"/>
      <c r="C67" s="46"/>
      <c r="D67" s="214"/>
      <c r="E67" s="32"/>
      <c r="F67" s="17"/>
      <c r="G67" s="18">
        <f>+G66+E67-F67</f>
        <v>0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/>
      <c r="E68" s="32"/>
      <c r="F68" s="17"/>
      <c r="G68" s="18">
        <f>+G67+E68-F68</f>
        <v>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/>
      <c r="E69" s="32"/>
      <c r="F69" s="17"/>
      <c r="G69" s="18">
        <f>+G68+E69-F69</f>
        <v>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/>
      <c r="E70" s="32"/>
      <c r="F70" s="17"/>
      <c r="G70" s="18">
        <f t="shared" si="1"/>
        <v>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/>
      <c r="E71" s="32"/>
      <c r="F71" s="17"/>
      <c r="G71" s="18">
        <f t="shared" si="1"/>
        <v>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>+A71+1</f>
        <v>64</v>
      </c>
      <c r="B72" s="8"/>
      <c r="C72" s="46"/>
      <c r="D72" s="214"/>
      <c r="E72" s="32"/>
      <c r="F72" s="17"/>
      <c r="G72" s="18">
        <f t="shared" si="1"/>
        <v>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/>
      <c r="E73" s="32"/>
      <c r="F73" s="17"/>
      <c r="G73" s="18">
        <f t="shared" si="1"/>
        <v>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7" si="2">+A73+1</f>
        <v>66</v>
      </c>
      <c r="B74" s="8"/>
      <c r="C74" s="46"/>
      <c r="D74" s="214"/>
      <c r="E74" s="32"/>
      <c r="F74" s="17"/>
      <c r="G74" s="18">
        <f t="shared" ref="G74:G91" si="3">+G73+E74-F74</f>
        <v>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67</v>
      </c>
      <c r="B75" s="8"/>
      <c r="C75" s="46"/>
      <c r="D75" s="214"/>
      <c r="E75" s="32"/>
      <c r="F75" s="17"/>
      <c r="G75" s="18">
        <f t="shared" si="3"/>
        <v>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/>
      <c r="E76" s="32"/>
      <c r="F76" s="17"/>
      <c r="G76" s="18">
        <f t="shared" si="3"/>
        <v>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/>
      <c r="E77" s="32"/>
      <c r="F77" s="17"/>
      <c r="G77" s="18">
        <f t="shared" si="3"/>
        <v>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/>
      <c r="E78" s="32"/>
      <c r="F78" s="17"/>
      <c r="G78" s="18">
        <f t="shared" si="3"/>
        <v>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/>
      <c r="E79" s="32"/>
      <c r="F79" s="17"/>
      <c r="G79" s="18">
        <f t="shared" si="3"/>
        <v>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/>
      <c r="E80" s="32"/>
      <c r="F80" s="17"/>
      <c r="G80" s="18">
        <f t="shared" si="3"/>
        <v>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/>
      <c r="E81" s="32"/>
      <c r="F81" s="17"/>
      <c r="G81" s="18">
        <f t="shared" si="3"/>
        <v>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/>
      <c r="E82" s="32"/>
      <c r="F82" s="17"/>
      <c r="G82" s="18">
        <f t="shared" si="3"/>
        <v>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/>
      <c r="E83" s="32"/>
      <c r="F83" s="27"/>
      <c r="G83" s="18">
        <f t="shared" si="3"/>
        <v>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/>
      <c r="E84" s="32"/>
      <c r="F84" s="17"/>
      <c r="G84" s="18">
        <f t="shared" si="3"/>
        <v>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/>
      <c r="E85" s="32"/>
      <c r="F85" s="17"/>
      <c r="G85" s="18">
        <f t="shared" si="3"/>
        <v>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/>
      <c r="E86" s="32"/>
      <c r="F86" s="17"/>
      <c r="G86" s="18">
        <f t="shared" si="3"/>
        <v>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/>
      <c r="E87" s="32"/>
      <c r="F87" s="17"/>
      <c r="G87" s="18">
        <f t="shared" si="3"/>
        <v>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/>
      <c r="E88" s="32"/>
      <c r="F88" s="17"/>
      <c r="G88" s="18">
        <f t="shared" si="3"/>
        <v>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/>
      <c r="E89" s="32"/>
      <c r="F89" s="17"/>
      <c r="G89" s="18">
        <f t="shared" si="3"/>
        <v>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/>
      <c r="E90" s="32"/>
      <c r="F90" s="17"/>
      <c r="G90" s="18">
        <f t="shared" si="3"/>
        <v>0</v>
      </c>
      <c r="H90" s="240"/>
      <c r="I90" s="240"/>
      <c r="J90" s="240"/>
      <c r="K90" s="7" t="s">
        <v>14</v>
      </c>
      <c r="N90" s="199"/>
      <c r="S90" s="199"/>
    </row>
    <row r="91" spans="1:19" ht="18" customHeight="1" x14ac:dyDescent="0.25">
      <c r="A91" s="14">
        <f t="shared" si="2"/>
        <v>83</v>
      </c>
      <c r="B91" s="8"/>
      <c r="C91" s="46"/>
      <c r="D91" s="214"/>
      <c r="E91" s="32"/>
      <c r="F91" s="27"/>
      <c r="G91" s="18">
        <f t="shared" si="3"/>
        <v>0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/>
      <c r="E92" s="32"/>
      <c r="F92" s="27"/>
      <c r="G92" s="18">
        <f>+G91+E92-F92</f>
        <v>0</v>
      </c>
      <c r="H92" s="240"/>
      <c r="I92" s="240"/>
      <c r="J92" s="240"/>
      <c r="K92" s="7" t="s">
        <v>14</v>
      </c>
      <c r="N92" s="199"/>
      <c r="S92" s="199"/>
    </row>
    <row r="93" spans="1:19" s="179" customFormat="1" ht="18" customHeight="1" x14ac:dyDescent="0.25">
      <c r="A93" s="241">
        <f t="shared" si="2"/>
        <v>85</v>
      </c>
      <c r="B93" s="242"/>
      <c r="C93" s="243"/>
      <c r="D93" s="244"/>
      <c r="E93" s="245"/>
      <c r="F93" s="52"/>
      <c r="G93" s="246">
        <f>+G92+E93-F93</f>
        <v>0</v>
      </c>
      <c r="H93" s="240"/>
      <c r="I93" s="240"/>
      <c r="J93" s="240"/>
      <c r="K93" s="247" t="s">
        <v>14</v>
      </c>
      <c r="L93" s="179" t="s">
        <v>43</v>
      </c>
      <c r="N93" s="248"/>
      <c r="S93" s="248"/>
    </row>
    <row r="94" spans="1:19" s="179" customFormat="1" ht="18" customHeight="1" x14ac:dyDescent="0.25">
      <c r="A94" s="241"/>
      <c r="B94" s="242"/>
      <c r="C94" s="243"/>
      <c r="D94" s="244"/>
      <c r="E94" s="245"/>
      <c r="F94" s="52"/>
      <c r="G94" s="246">
        <f t="shared" ref="G94:G106" si="4">+G93+E94-F94</f>
        <v>0</v>
      </c>
      <c r="H94" s="240"/>
      <c r="I94" s="240"/>
      <c r="J94" s="240"/>
      <c r="K94" s="247" t="s">
        <v>14</v>
      </c>
      <c r="N94" s="248"/>
      <c r="S94" s="248"/>
    </row>
    <row r="95" spans="1:19" s="179" customFormat="1" ht="18" customHeight="1" x14ac:dyDescent="0.25">
      <c r="A95" s="241"/>
      <c r="B95" s="242"/>
      <c r="C95" s="243"/>
      <c r="D95" s="244"/>
      <c r="E95" s="245"/>
      <c r="F95" s="52"/>
      <c r="G95" s="246">
        <f t="shared" si="4"/>
        <v>0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241"/>
      <c r="B96" s="242"/>
      <c r="C96" s="243"/>
      <c r="D96" s="244"/>
      <c r="E96" s="245"/>
      <c r="F96" s="52"/>
      <c r="G96" s="246">
        <f t="shared" si="4"/>
        <v>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241"/>
      <c r="B97" s="242"/>
      <c r="C97" s="243"/>
      <c r="D97" s="244"/>
      <c r="E97" s="245"/>
      <c r="F97" s="52"/>
      <c r="G97" s="246">
        <f t="shared" si="4"/>
        <v>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241"/>
      <c r="B98" s="242"/>
      <c r="C98" s="243"/>
      <c r="D98" s="244"/>
      <c r="E98" s="245"/>
      <c r="F98" s="52"/>
      <c r="G98" s="246">
        <f t="shared" si="4"/>
        <v>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241"/>
      <c r="B99" s="242"/>
      <c r="C99" s="243"/>
      <c r="D99" s="244"/>
      <c r="E99" s="245"/>
      <c r="F99" s="52"/>
      <c r="G99" s="246">
        <f t="shared" si="4"/>
        <v>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241"/>
      <c r="B100" s="242"/>
      <c r="C100" s="243"/>
      <c r="D100" s="244"/>
      <c r="E100" s="245"/>
      <c r="F100" s="52"/>
      <c r="G100" s="246">
        <f t="shared" si="4"/>
        <v>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0</v>
      </c>
      <c r="H101" s="240"/>
      <c r="I101" s="240"/>
      <c r="J101" s="240"/>
      <c r="K101" s="247"/>
      <c r="N101" s="248"/>
      <c r="S101" s="248"/>
    </row>
    <row r="102" spans="1:19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0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0</v>
      </c>
      <c r="H104" s="240"/>
      <c r="I104" s="240"/>
      <c r="J104" s="240"/>
      <c r="K104" s="247"/>
      <c r="N104" s="248"/>
      <c r="S104" s="248"/>
    </row>
    <row r="105" spans="1:19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0</v>
      </c>
      <c r="H105" s="28"/>
      <c r="I105" s="28"/>
      <c r="J105" s="28"/>
      <c r="K105" s="7"/>
      <c r="N105" s="199"/>
      <c r="S105" s="199"/>
    </row>
    <row r="106" spans="1:19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0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52</v>
      </c>
      <c r="G108" s="35">
        <f>+E108-F108+G8</f>
        <v>0</v>
      </c>
      <c r="H108" s="35"/>
      <c r="I108" s="35"/>
      <c r="J108" s="35">
        <f>SUM(J9:J107)</f>
        <v>212.8</v>
      </c>
      <c r="K108" s="35"/>
    </row>
    <row r="109" spans="1:19" ht="18" customHeight="1" x14ac:dyDescent="0.25"/>
    <row r="112" spans="1:19" x14ac:dyDescent="0.25">
      <c r="E112" s="201"/>
      <c r="F112" s="201"/>
      <c r="G112" s="201"/>
      <c r="H112" s="201"/>
      <c r="I112" s="201"/>
      <c r="J112" s="201"/>
    </row>
    <row r="113" spans="5:11" x14ac:dyDescent="0.25">
      <c r="F113" s="26"/>
    </row>
    <row r="114" spans="5:11" x14ac:dyDescent="0.25">
      <c r="E114" s="26"/>
      <c r="F114" s="26"/>
      <c r="G114" s="26"/>
      <c r="H114" s="26"/>
      <c r="I114" s="26"/>
      <c r="J114" s="26"/>
      <c r="K114" s="26"/>
    </row>
    <row r="115" spans="5:11" x14ac:dyDescent="0.25">
      <c r="K115" s="202"/>
    </row>
    <row r="116" spans="5:11" x14ac:dyDescent="0.25">
      <c r="E116" s="199"/>
    </row>
    <row r="117" spans="5:11" x14ac:dyDescent="0.25">
      <c r="E117" s="26"/>
      <c r="F117" s="26"/>
    </row>
    <row r="118" spans="5:11" x14ac:dyDescent="0.25">
      <c r="E118" s="203"/>
      <c r="F118" s="204"/>
      <c r="G118" s="203"/>
      <c r="H118" s="203"/>
      <c r="I118" s="203"/>
      <c r="J118" s="203"/>
    </row>
    <row r="119" spans="5:11" x14ac:dyDescent="0.25">
      <c r="F119" s="26"/>
    </row>
  </sheetData>
  <mergeCells count="1">
    <mergeCell ref="A4:K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6A7F-5B49-4645-9EEE-84921A29F0D8}">
  <sheetPr codeName="Sheet101"/>
  <dimension ref="A1:R119"/>
  <sheetViews>
    <sheetView workbookViewId="0">
      <selection activeCell="F17" sqref="F17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8.140625" customWidth="1"/>
    <col min="10" max="10" width="14.85546875" customWidth="1"/>
    <col min="13" max="13" width="11.28515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</row>
    <row r="6" spans="1:13" x14ac:dyDescent="0.25">
      <c r="A6" t="s">
        <v>216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23</v>
      </c>
      <c r="J7" s="4" t="s">
        <v>10</v>
      </c>
    </row>
    <row r="8" spans="1:13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</row>
    <row r="9" spans="1:13" ht="17.25" customHeight="1" x14ac:dyDescent="0.25">
      <c r="A9" s="14">
        <v>1</v>
      </c>
      <c r="B9" s="1">
        <v>45459</v>
      </c>
      <c r="C9" s="46" t="s">
        <v>215</v>
      </c>
      <c r="D9" s="214" t="s">
        <v>165</v>
      </c>
      <c r="E9" s="30">
        <v>68</v>
      </c>
      <c r="F9" s="27"/>
      <c r="G9" s="18">
        <f>+G8+E9-F9</f>
        <v>68</v>
      </c>
      <c r="H9" s="28"/>
      <c r="I9" s="28">
        <f>3*9.8</f>
        <v>29.400000000000002</v>
      </c>
      <c r="J9" s="7"/>
    </row>
    <row r="10" spans="1:13" ht="17.25" customHeight="1" x14ac:dyDescent="0.25">
      <c r="A10" s="14">
        <f t="shared" ref="A10:A73" si="0">+A9+1</f>
        <v>2</v>
      </c>
      <c r="B10" s="8" t="s">
        <v>223</v>
      </c>
      <c r="C10" s="46" t="s">
        <v>215</v>
      </c>
      <c r="D10" s="214"/>
      <c r="E10" s="30"/>
      <c r="F10" s="27">
        <v>20</v>
      </c>
      <c r="G10" s="18">
        <f t="shared" ref="G10:G73" si="1">+G9+E10-F10</f>
        <v>48</v>
      </c>
      <c r="H10" s="28"/>
      <c r="I10" s="28"/>
      <c r="J10" s="7" t="s">
        <v>90</v>
      </c>
    </row>
    <row r="11" spans="1:13" ht="18" customHeight="1" x14ac:dyDescent="0.25">
      <c r="A11" s="14">
        <f t="shared" si="0"/>
        <v>3</v>
      </c>
      <c r="B11" s="8"/>
      <c r="C11" s="46"/>
      <c r="D11" s="214"/>
      <c r="E11" s="16"/>
      <c r="F11" s="27"/>
      <c r="G11" s="18">
        <f t="shared" si="1"/>
        <v>48</v>
      </c>
      <c r="H11" s="28"/>
      <c r="I11" s="28"/>
      <c r="J11" s="7" t="s">
        <v>90</v>
      </c>
      <c r="K11" s="26"/>
    </row>
    <row r="12" spans="1:13" ht="18" customHeight="1" x14ac:dyDescent="0.25">
      <c r="A12" s="14">
        <f t="shared" si="0"/>
        <v>4</v>
      </c>
      <c r="B12" s="8"/>
      <c r="C12" s="46"/>
      <c r="D12" s="214"/>
      <c r="E12" s="16"/>
      <c r="F12" s="17"/>
      <c r="G12" s="18">
        <f t="shared" si="1"/>
        <v>48</v>
      </c>
      <c r="H12" s="28"/>
      <c r="I12" s="28"/>
      <c r="J12" s="7" t="s">
        <v>90</v>
      </c>
      <c r="K12" s="26"/>
    </row>
    <row r="13" spans="1:13" ht="18" customHeight="1" x14ac:dyDescent="0.25">
      <c r="A13" s="14">
        <f t="shared" si="0"/>
        <v>5</v>
      </c>
      <c r="B13" s="205"/>
      <c r="C13" s="46"/>
      <c r="D13" s="214"/>
      <c r="E13" s="16"/>
      <c r="F13" s="17"/>
      <c r="G13" s="18">
        <f t="shared" si="1"/>
        <v>48</v>
      </c>
      <c r="H13" s="28"/>
      <c r="I13" s="28"/>
      <c r="J13" s="7" t="s">
        <v>90</v>
      </c>
      <c r="K13" s="26"/>
    </row>
    <row r="14" spans="1:13" ht="18" customHeight="1" x14ac:dyDescent="0.25">
      <c r="A14" s="14">
        <f t="shared" si="0"/>
        <v>6</v>
      </c>
      <c r="B14" s="8"/>
      <c r="C14" s="46"/>
      <c r="D14" s="214"/>
      <c r="E14" s="16"/>
      <c r="F14" s="27"/>
      <c r="G14" s="18">
        <f t="shared" si="1"/>
        <v>48</v>
      </c>
      <c r="H14" s="28"/>
      <c r="I14" s="28"/>
      <c r="J14" s="7" t="s">
        <v>90</v>
      </c>
    </row>
    <row r="15" spans="1:13" ht="18" customHeight="1" x14ac:dyDescent="0.25">
      <c r="A15" s="14">
        <f t="shared" si="0"/>
        <v>7</v>
      </c>
      <c r="B15" s="8"/>
      <c r="C15" s="46"/>
      <c r="D15" s="214"/>
      <c r="E15" s="16"/>
      <c r="F15" s="27"/>
      <c r="G15" s="18">
        <f t="shared" si="1"/>
        <v>48</v>
      </c>
      <c r="H15" s="28"/>
      <c r="I15" s="28"/>
      <c r="J15" s="7" t="s">
        <v>90</v>
      </c>
      <c r="K15" s="26"/>
    </row>
    <row r="16" spans="1:13" ht="18" customHeight="1" x14ac:dyDescent="0.25">
      <c r="A16" s="14">
        <f t="shared" si="0"/>
        <v>8</v>
      </c>
      <c r="B16" s="8"/>
      <c r="C16" s="46"/>
      <c r="D16" s="214"/>
      <c r="E16" s="16"/>
      <c r="F16" s="27"/>
      <c r="G16" s="18">
        <f t="shared" si="1"/>
        <v>48</v>
      </c>
      <c r="H16" s="28"/>
      <c r="I16" s="28"/>
      <c r="J16" s="7" t="s">
        <v>90</v>
      </c>
      <c r="M16">
        <f>29/68</f>
        <v>0.4264705882352941</v>
      </c>
    </row>
    <row r="17" spans="1:15" ht="18" customHeight="1" x14ac:dyDescent="0.25">
      <c r="A17" s="14">
        <f t="shared" si="0"/>
        <v>9</v>
      </c>
      <c r="B17" s="8"/>
      <c r="C17" s="46"/>
      <c r="D17" s="214"/>
      <c r="E17" s="30"/>
      <c r="F17" s="27"/>
      <c r="G17" s="18">
        <f t="shared" si="1"/>
        <v>48</v>
      </c>
      <c r="H17" s="28"/>
      <c r="I17" s="28"/>
      <c r="J17" s="7" t="s">
        <v>90</v>
      </c>
      <c r="M17">
        <f>+M16*20</f>
        <v>8.5294117647058822</v>
      </c>
    </row>
    <row r="18" spans="1:15" s="230" customFormat="1" ht="18" customHeight="1" x14ac:dyDescent="0.25">
      <c r="A18" s="223">
        <f>+A17+1</f>
        <v>10</v>
      </c>
      <c r="B18" s="224"/>
      <c r="C18" s="225"/>
      <c r="D18" s="226"/>
      <c r="E18" s="227"/>
      <c r="F18" s="228"/>
      <c r="G18" s="229">
        <f t="shared" si="1"/>
        <v>48</v>
      </c>
      <c r="H18" s="28"/>
      <c r="I18" s="28"/>
      <c r="J18" s="7" t="s">
        <v>90</v>
      </c>
    </row>
    <row r="19" spans="1:15" s="230" customFormat="1" ht="18" customHeight="1" x14ac:dyDescent="0.25">
      <c r="A19" s="223">
        <f t="shared" si="0"/>
        <v>11</v>
      </c>
      <c r="B19" s="224"/>
      <c r="C19" s="225"/>
      <c r="D19" s="226"/>
      <c r="E19" s="231"/>
      <c r="F19" s="228"/>
      <c r="G19" s="229">
        <f t="shared" si="1"/>
        <v>48</v>
      </c>
      <c r="H19" s="28"/>
      <c r="I19" s="28"/>
      <c r="J19" s="7" t="s">
        <v>90</v>
      </c>
    </row>
    <row r="20" spans="1:15" ht="18" customHeight="1" x14ac:dyDescent="0.25">
      <c r="A20" s="14">
        <f t="shared" si="0"/>
        <v>12</v>
      </c>
      <c r="B20" s="8"/>
      <c r="C20" s="46"/>
      <c r="D20" s="214"/>
      <c r="E20" s="32"/>
      <c r="F20" s="17"/>
      <c r="G20" s="18">
        <f t="shared" si="1"/>
        <v>48</v>
      </c>
      <c r="H20" s="28"/>
      <c r="I20" s="28"/>
      <c r="J20" s="7" t="s">
        <v>90</v>
      </c>
      <c r="O20" s="26"/>
    </row>
    <row r="21" spans="1:15" ht="18" customHeight="1" x14ac:dyDescent="0.25">
      <c r="A21" s="14">
        <f t="shared" si="0"/>
        <v>13</v>
      </c>
      <c r="B21" s="8"/>
      <c r="C21" s="46"/>
      <c r="D21" s="214"/>
      <c r="E21" s="32"/>
      <c r="F21" s="27"/>
      <c r="G21" s="18">
        <f t="shared" si="1"/>
        <v>48</v>
      </c>
      <c r="H21" s="28"/>
      <c r="I21" s="28"/>
      <c r="J21" s="7" t="s">
        <v>90</v>
      </c>
    </row>
    <row r="22" spans="1:15" ht="18" customHeight="1" x14ac:dyDescent="0.25">
      <c r="A22" s="14">
        <f t="shared" si="0"/>
        <v>14</v>
      </c>
      <c r="B22" s="232"/>
      <c r="C22" s="8"/>
      <c r="D22" s="234"/>
      <c r="E22" s="235"/>
      <c r="F22" s="172"/>
      <c r="G22" s="18">
        <f t="shared" si="1"/>
        <v>48</v>
      </c>
      <c r="H22" s="28"/>
      <c r="I22" s="28"/>
      <c r="J22" s="7" t="s">
        <v>90</v>
      </c>
    </row>
    <row r="23" spans="1:15" ht="18" customHeight="1" x14ac:dyDescent="0.25">
      <c r="A23" s="14">
        <f t="shared" si="0"/>
        <v>15</v>
      </c>
      <c r="B23" s="8"/>
      <c r="C23" s="46"/>
      <c r="D23" s="214"/>
      <c r="E23" s="32"/>
      <c r="F23" s="17"/>
      <c r="G23" s="18">
        <f t="shared" si="1"/>
        <v>48</v>
      </c>
      <c r="H23" s="28"/>
      <c r="I23" s="28"/>
      <c r="J23" s="7" t="s">
        <v>142</v>
      </c>
    </row>
    <row r="24" spans="1:15" ht="18" customHeight="1" x14ac:dyDescent="0.25">
      <c r="A24" s="14">
        <f t="shared" si="0"/>
        <v>16</v>
      </c>
      <c r="B24" s="8"/>
      <c r="C24" s="46"/>
      <c r="D24" s="214"/>
      <c r="E24" s="32"/>
      <c r="F24" s="17"/>
      <c r="G24" s="18">
        <f t="shared" si="1"/>
        <v>48</v>
      </c>
      <c r="H24" s="28"/>
      <c r="I24" s="28"/>
      <c r="J24" s="7" t="s">
        <v>90</v>
      </c>
    </row>
    <row r="25" spans="1:15" ht="18" customHeight="1" x14ac:dyDescent="0.25">
      <c r="A25" s="14">
        <f t="shared" si="0"/>
        <v>17</v>
      </c>
      <c r="B25" s="8"/>
      <c r="C25" s="46"/>
      <c r="D25" s="214"/>
      <c r="E25" s="32"/>
      <c r="F25" s="17"/>
      <c r="G25" s="18">
        <f t="shared" si="1"/>
        <v>48</v>
      </c>
      <c r="H25" s="28"/>
      <c r="I25" s="28"/>
      <c r="J25" s="7" t="s">
        <v>90</v>
      </c>
    </row>
    <row r="26" spans="1:15" ht="18" customHeight="1" x14ac:dyDescent="0.25">
      <c r="A26" s="14">
        <f t="shared" si="0"/>
        <v>18</v>
      </c>
      <c r="B26" s="8"/>
      <c r="C26" s="46"/>
      <c r="D26" s="214"/>
      <c r="E26" s="32"/>
      <c r="F26" s="17"/>
      <c r="G26" s="18">
        <f t="shared" si="1"/>
        <v>48</v>
      </c>
      <c r="H26" s="28"/>
      <c r="I26" s="28"/>
      <c r="J26" s="7" t="s">
        <v>90</v>
      </c>
    </row>
    <row r="27" spans="1:15" ht="18" customHeight="1" x14ac:dyDescent="0.25">
      <c r="A27" s="14">
        <f>+A26+1</f>
        <v>19</v>
      </c>
      <c r="B27" s="8"/>
      <c r="C27" s="46"/>
      <c r="D27" s="214"/>
      <c r="E27" s="32"/>
      <c r="F27" s="17"/>
      <c r="G27" s="18">
        <f t="shared" si="1"/>
        <v>48</v>
      </c>
      <c r="H27" s="28"/>
      <c r="I27" s="28"/>
      <c r="J27" s="7" t="s">
        <v>90</v>
      </c>
    </row>
    <row r="28" spans="1:15" ht="18" customHeight="1" x14ac:dyDescent="0.25">
      <c r="A28" s="14">
        <f t="shared" si="0"/>
        <v>20</v>
      </c>
      <c r="B28" s="8"/>
      <c r="C28" s="46"/>
      <c r="D28" s="214"/>
      <c r="E28" s="129"/>
      <c r="F28" s="17"/>
      <c r="G28" s="18">
        <f t="shared" si="1"/>
        <v>48</v>
      </c>
      <c r="H28" s="28"/>
      <c r="I28" s="28"/>
      <c r="J28" s="7" t="s">
        <v>90</v>
      </c>
    </row>
    <row r="29" spans="1:15" ht="18" customHeight="1" x14ac:dyDescent="0.25">
      <c r="A29" s="14">
        <f t="shared" si="0"/>
        <v>21</v>
      </c>
      <c r="B29" s="8"/>
      <c r="C29" s="46"/>
      <c r="D29" s="214"/>
      <c r="E29" s="32"/>
      <c r="F29" s="172"/>
      <c r="G29" s="18">
        <f t="shared" si="1"/>
        <v>48</v>
      </c>
      <c r="H29" s="28"/>
      <c r="I29" s="28"/>
      <c r="J29" s="7" t="s">
        <v>90</v>
      </c>
    </row>
    <row r="30" spans="1:15" ht="18" customHeight="1" x14ac:dyDescent="0.25">
      <c r="A30" s="14">
        <f t="shared" si="0"/>
        <v>22</v>
      </c>
      <c r="B30" s="8"/>
      <c r="C30" s="46"/>
      <c r="D30" s="214"/>
      <c r="E30" s="32"/>
      <c r="F30" s="17"/>
      <c r="G30" s="18">
        <f t="shared" si="1"/>
        <v>48</v>
      </c>
      <c r="H30" s="28"/>
      <c r="I30" s="28"/>
      <c r="J30" s="7" t="s">
        <v>90</v>
      </c>
    </row>
    <row r="31" spans="1:15" ht="18" customHeight="1" x14ac:dyDescent="0.25">
      <c r="A31" s="14">
        <f t="shared" si="0"/>
        <v>23</v>
      </c>
      <c r="B31" s="8"/>
      <c r="C31" s="46"/>
      <c r="D31" s="214"/>
      <c r="E31" s="32"/>
      <c r="F31" s="17"/>
      <c r="G31" s="18">
        <f t="shared" si="1"/>
        <v>48</v>
      </c>
      <c r="H31" s="28"/>
      <c r="I31" s="28"/>
      <c r="J31" s="7" t="s">
        <v>90</v>
      </c>
    </row>
    <row r="32" spans="1:15" ht="17.25" customHeight="1" x14ac:dyDescent="0.25">
      <c r="A32" s="14">
        <f t="shared" si="0"/>
        <v>24</v>
      </c>
      <c r="B32" s="8"/>
      <c r="C32" s="46"/>
      <c r="D32" s="214"/>
      <c r="E32" s="13"/>
      <c r="F32" s="17"/>
      <c r="G32" s="18">
        <f t="shared" si="1"/>
        <v>48</v>
      </c>
      <c r="H32" s="28"/>
      <c r="I32" s="28"/>
      <c r="J32" s="7" t="s">
        <v>90</v>
      </c>
    </row>
    <row r="33" spans="1:17" ht="17.25" customHeight="1" x14ac:dyDescent="0.25">
      <c r="A33" s="14">
        <f t="shared" si="0"/>
        <v>25</v>
      </c>
      <c r="B33" s="44"/>
      <c r="C33" s="46"/>
      <c r="D33" s="214"/>
      <c r="E33" s="13"/>
      <c r="F33" s="17"/>
      <c r="G33" s="18">
        <f t="shared" si="1"/>
        <v>48</v>
      </c>
      <c r="H33" s="178"/>
      <c r="I33" s="178"/>
      <c r="J33" s="7"/>
    </row>
    <row r="34" spans="1:17" ht="18" customHeight="1" x14ac:dyDescent="0.25">
      <c r="A34" s="14">
        <f t="shared" si="0"/>
        <v>26</v>
      </c>
      <c r="B34" s="8"/>
      <c r="C34" s="46"/>
      <c r="D34" s="214"/>
      <c r="E34" s="32"/>
      <c r="F34" s="40"/>
      <c r="G34" s="18">
        <f t="shared" si="1"/>
        <v>48</v>
      </c>
      <c r="H34" s="178"/>
      <c r="I34" s="178"/>
      <c r="J34" s="7"/>
    </row>
    <row r="35" spans="1:17" ht="18" customHeight="1" x14ac:dyDescent="0.25">
      <c r="A35" s="14">
        <f t="shared" si="0"/>
        <v>27</v>
      </c>
      <c r="B35" s="45"/>
      <c r="C35" s="46"/>
      <c r="D35" s="214"/>
      <c r="E35" s="32"/>
      <c r="F35" s="40"/>
      <c r="G35" s="18">
        <f t="shared" si="1"/>
        <v>48</v>
      </c>
      <c r="H35" s="178"/>
      <c r="I35" s="178"/>
      <c r="J35" s="7"/>
    </row>
    <row r="36" spans="1:17" ht="18" customHeight="1" x14ac:dyDescent="0.25">
      <c r="A36" s="14">
        <f t="shared" si="0"/>
        <v>28</v>
      </c>
      <c r="B36" s="8"/>
      <c r="C36" s="46"/>
      <c r="D36" s="214"/>
      <c r="E36" s="32"/>
      <c r="F36" s="40"/>
      <c r="G36" s="18">
        <f t="shared" si="1"/>
        <v>48</v>
      </c>
      <c r="H36" s="178"/>
      <c r="I36" s="178"/>
      <c r="J36" s="7"/>
    </row>
    <row r="37" spans="1:17" ht="18" customHeight="1" x14ac:dyDescent="0.25">
      <c r="A37" s="14">
        <f t="shared" si="0"/>
        <v>29</v>
      </c>
      <c r="B37" s="8"/>
      <c r="C37" s="46"/>
      <c r="D37" s="214"/>
      <c r="E37" s="32"/>
      <c r="F37" s="17"/>
      <c r="G37" s="18">
        <f t="shared" si="1"/>
        <v>48</v>
      </c>
      <c r="H37" s="178"/>
      <c r="I37" s="178"/>
      <c r="J37" s="7"/>
      <c r="L37">
        <f>911-338</f>
        <v>573</v>
      </c>
    </row>
    <row r="38" spans="1:17" ht="18" customHeight="1" x14ac:dyDescent="0.25">
      <c r="A38" s="14">
        <f t="shared" si="0"/>
        <v>30</v>
      </c>
      <c r="B38" s="8"/>
      <c r="C38" s="46"/>
      <c r="D38" s="214"/>
      <c r="E38" s="32"/>
      <c r="F38" s="17"/>
      <c r="G38" s="18">
        <f t="shared" si="1"/>
        <v>48</v>
      </c>
      <c r="H38" s="178"/>
      <c r="I38" s="178"/>
      <c r="J38" s="7"/>
      <c r="L38">
        <f>+L37-314</f>
        <v>259</v>
      </c>
    </row>
    <row r="39" spans="1:17" ht="18" customHeight="1" x14ac:dyDescent="0.25">
      <c r="A39" s="14">
        <f t="shared" si="0"/>
        <v>31</v>
      </c>
      <c r="B39" s="8"/>
      <c r="C39" s="46"/>
      <c r="D39" s="214"/>
      <c r="E39" s="32"/>
      <c r="F39" s="17"/>
      <c r="G39" s="18">
        <f t="shared" si="1"/>
        <v>48</v>
      </c>
      <c r="H39" s="178"/>
      <c r="I39" s="178"/>
      <c r="J39" s="7"/>
    </row>
    <row r="40" spans="1:17" ht="18" customHeight="1" x14ac:dyDescent="0.25">
      <c r="A40" s="14">
        <f t="shared" si="0"/>
        <v>32</v>
      </c>
      <c r="B40" s="8"/>
      <c r="C40" s="46"/>
      <c r="D40" s="214"/>
      <c r="E40" s="32"/>
      <c r="F40" s="17"/>
      <c r="G40" s="18">
        <f t="shared" si="1"/>
        <v>48</v>
      </c>
      <c r="H40" s="178"/>
      <c r="I40" s="178"/>
      <c r="J40" s="7"/>
    </row>
    <row r="41" spans="1:17" ht="18" customHeight="1" x14ac:dyDescent="0.25">
      <c r="A41" s="14">
        <f t="shared" si="0"/>
        <v>33</v>
      </c>
      <c r="B41" s="8"/>
      <c r="C41" s="46"/>
      <c r="D41" s="214"/>
      <c r="E41" s="32"/>
      <c r="F41" s="172"/>
      <c r="G41" s="18">
        <f t="shared" si="1"/>
        <v>48</v>
      </c>
      <c r="H41" s="178"/>
      <c r="I41" s="178"/>
      <c r="J41" s="7"/>
      <c r="Q41" s="162"/>
    </row>
    <row r="42" spans="1:17" ht="18" customHeight="1" x14ac:dyDescent="0.25">
      <c r="A42" s="14">
        <f t="shared" si="0"/>
        <v>34</v>
      </c>
      <c r="B42" s="8"/>
      <c r="C42" s="46"/>
      <c r="D42" s="214"/>
      <c r="E42" s="32"/>
      <c r="F42" s="17"/>
      <c r="G42" s="18">
        <f t="shared" si="1"/>
        <v>48</v>
      </c>
      <c r="H42" s="178"/>
      <c r="I42" s="178"/>
      <c r="J42" s="7"/>
    </row>
    <row r="43" spans="1:17" ht="18" customHeight="1" x14ac:dyDescent="0.25">
      <c r="A43" s="14">
        <f t="shared" si="0"/>
        <v>35</v>
      </c>
      <c r="B43" s="8"/>
      <c r="C43" s="46"/>
      <c r="D43" s="214"/>
      <c r="E43" s="32"/>
      <c r="F43" s="17"/>
      <c r="G43" s="18">
        <f t="shared" si="1"/>
        <v>48</v>
      </c>
      <c r="H43" s="178"/>
      <c r="I43" s="178"/>
      <c r="J43" s="7"/>
    </row>
    <row r="44" spans="1:17" ht="18" customHeight="1" x14ac:dyDescent="0.25">
      <c r="A44" s="14">
        <f t="shared" si="0"/>
        <v>36</v>
      </c>
      <c r="B44" s="8"/>
      <c r="C44" s="46"/>
      <c r="D44" s="214"/>
      <c r="E44" s="32"/>
      <c r="F44" s="17"/>
      <c r="G44" s="18">
        <f t="shared" si="1"/>
        <v>48</v>
      </c>
      <c r="H44" s="178"/>
      <c r="I44" s="178"/>
      <c r="J44" s="7"/>
    </row>
    <row r="45" spans="1:17" ht="18" customHeight="1" x14ac:dyDescent="0.25">
      <c r="A45" s="14">
        <f t="shared" si="0"/>
        <v>37</v>
      </c>
      <c r="B45" s="8"/>
      <c r="C45" s="46"/>
      <c r="D45" s="214"/>
      <c r="E45" s="32"/>
      <c r="F45" s="17"/>
      <c r="G45" s="18">
        <f t="shared" si="1"/>
        <v>48</v>
      </c>
      <c r="H45" s="178"/>
      <c r="I45" s="178"/>
      <c r="J45" s="29"/>
    </row>
    <row r="46" spans="1:17" ht="18" customHeight="1" x14ac:dyDescent="0.25">
      <c r="A46" s="14">
        <f t="shared" si="0"/>
        <v>38</v>
      </c>
      <c r="B46" s="8"/>
      <c r="C46" s="46"/>
      <c r="D46" s="214"/>
      <c r="E46" s="32"/>
      <c r="F46" s="17"/>
      <c r="G46" s="18">
        <f t="shared" si="1"/>
        <v>48</v>
      </c>
      <c r="H46" s="178"/>
      <c r="I46" s="178"/>
      <c r="J46" s="29"/>
    </row>
    <row r="47" spans="1:17" ht="18" customHeight="1" x14ac:dyDescent="0.25">
      <c r="A47" s="14">
        <f t="shared" si="0"/>
        <v>39</v>
      </c>
      <c r="B47" s="8"/>
      <c r="C47" s="46"/>
      <c r="D47" s="214"/>
      <c r="E47" s="32"/>
      <c r="F47" s="17"/>
      <c r="G47" s="18">
        <f t="shared" si="1"/>
        <v>48</v>
      </c>
      <c r="H47" s="178"/>
      <c r="I47" s="178"/>
      <c r="J47" s="29"/>
    </row>
    <row r="48" spans="1:17" ht="18" customHeight="1" x14ac:dyDescent="0.25">
      <c r="A48" s="14">
        <f t="shared" si="0"/>
        <v>40</v>
      </c>
      <c r="B48" s="8"/>
      <c r="C48" s="46"/>
      <c r="D48" s="214"/>
      <c r="E48" s="32"/>
      <c r="F48" s="17"/>
      <c r="G48" s="18">
        <f t="shared" si="1"/>
        <v>48</v>
      </c>
      <c r="H48" s="178"/>
      <c r="I48" s="178"/>
      <c r="J48" s="29"/>
    </row>
    <row r="49" spans="1:17" ht="18" customHeight="1" x14ac:dyDescent="0.25">
      <c r="A49" s="14">
        <f t="shared" si="0"/>
        <v>41</v>
      </c>
      <c r="B49" s="8"/>
      <c r="C49" s="46"/>
      <c r="D49" s="214"/>
      <c r="E49" s="32"/>
      <c r="F49" s="17"/>
      <c r="G49" s="18">
        <f t="shared" si="1"/>
        <v>48</v>
      </c>
      <c r="H49" s="178"/>
      <c r="I49" s="178"/>
      <c r="J49" s="7"/>
    </row>
    <row r="50" spans="1:17" s="162" customFormat="1" ht="18" customHeight="1" x14ac:dyDescent="0.25">
      <c r="A50" s="158">
        <f t="shared" si="0"/>
        <v>42</v>
      </c>
      <c r="B50" s="174"/>
      <c r="C50" s="236"/>
      <c r="D50" s="237"/>
      <c r="E50" s="175"/>
      <c r="F50" s="172"/>
      <c r="G50" s="238">
        <f t="shared" si="1"/>
        <v>48</v>
      </c>
      <c r="H50" s="178"/>
      <c r="I50" s="178"/>
      <c r="J50" s="7"/>
      <c r="Q50"/>
    </row>
    <row r="51" spans="1:17" ht="18" customHeight="1" x14ac:dyDescent="0.25">
      <c r="A51" s="14">
        <f t="shared" si="0"/>
        <v>43</v>
      </c>
      <c r="B51" s="8"/>
      <c r="C51" s="46"/>
      <c r="D51" s="214"/>
      <c r="E51" s="32"/>
      <c r="F51" s="17"/>
      <c r="G51" s="18">
        <f t="shared" si="1"/>
        <v>48</v>
      </c>
      <c r="H51" s="239"/>
      <c r="I51" s="239"/>
      <c r="J51" s="7"/>
    </row>
    <row r="52" spans="1:17" ht="18" customHeight="1" x14ac:dyDescent="0.25">
      <c r="A52" s="14">
        <f t="shared" si="0"/>
        <v>44</v>
      </c>
      <c r="B52" s="8"/>
      <c r="C52" s="46"/>
      <c r="D52" s="214"/>
      <c r="E52" s="32"/>
      <c r="F52" s="17"/>
      <c r="G52" s="18">
        <f t="shared" si="1"/>
        <v>48</v>
      </c>
      <c r="H52" s="239"/>
      <c r="I52" s="239"/>
      <c r="J52" s="7"/>
    </row>
    <row r="53" spans="1:17" ht="18" customHeight="1" x14ac:dyDescent="0.25">
      <c r="A53" s="14">
        <f t="shared" si="0"/>
        <v>45</v>
      </c>
      <c r="B53" s="8"/>
      <c r="C53" s="46"/>
      <c r="D53" s="214"/>
      <c r="E53" s="32"/>
      <c r="F53" s="17"/>
      <c r="G53" s="18">
        <f t="shared" si="1"/>
        <v>48</v>
      </c>
      <c r="H53" s="239"/>
      <c r="I53" s="239"/>
      <c r="J53" s="7"/>
    </row>
    <row r="54" spans="1:17" ht="18" customHeight="1" x14ac:dyDescent="0.25">
      <c r="A54" s="14">
        <f t="shared" si="0"/>
        <v>46</v>
      </c>
      <c r="B54" s="8"/>
      <c r="C54" s="46"/>
      <c r="D54" s="214"/>
      <c r="E54" s="32"/>
      <c r="F54" s="17"/>
      <c r="G54" s="18">
        <f t="shared" si="1"/>
        <v>48</v>
      </c>
      <c r="H54" s="28"/>
      <c r="I54" s="28"/>
      <c r="J54" s="7"/>
    </row>
    <row r="55" spans="1:17" ht="18" customHeight="1" x14ac:dyDescent="0.25">
      <c r="A55" s="14">
        <f t="shared" si="0"/>
        <v>47</v>
      </c>
      <c r="B55" s="8"/>
      <c r="C55" s="46"/>
      <c r="D55" s="214"/>
      <c r="E55" s="32"/>
      <c r="F55" s="17"/>
      <c r="G55" s="18">
        <f t="shared" si="1"/>
        <v>48</v>
      </c>
      <c r="H55" s="240"/>
      <c r="I55" s="240"/>
      <c r="J55" s="7"/>
    </row>
    <row r="56" spans="1:17" ht="18" customHeight="1" x14ac:dyDescent="0.25">
      <c r="A56" s="14">
        <f t="shared" si="0"/>
        <v>48</v>
      </c>
      <c r="B56" s="8"/>
      <c r="C56" s="46"/>
      <c r="D56" s="214"/>
      <c r="E56" s="32"/>
      <c r="F56" s="17"/>
      <c r="G56" s="18">
        <f t="shared" si="1"/>
        <v>48</v>
      </c>
      <c r="H56" s="240"/>
      <c r="I56" s="240"/>
      <c r="J56" s="7"/>
    </row>
    <row r="57" spans="1:17" ht="18" customHeight="1" x14ac:dyDescent="0.25">
      <c r="A57" s="14">
        <f t="shared" si="0"/>
        <v>49</v>
      </c>
      <c r="B57" s="8"/>
      <c r="C57" s="46"/>
      <c r="D57" s="214"/>
      <c r="E57" s="32"/>
      <c r="F57" s="17"/>
      <c r="G57" s="18">
        <f t="shared" si="1"/>
        <v>48</v>
      </c>
      <c r="H57" s="240"/>
      <c r="I57" s="240"/>
      <c r="J57" s="7" t="s">
        <v>14</v>
      </c>
    </row>
    <row r="58" spans="1:17" ht="18" customHeight="1" x14ac:dyDescent="0.25">
      <c r="A58" s="14">
        <f t="shared" si="0"/>
        <v>50</v>
      </c>
      <c r="B58" s="8"/>
      <c r="C58" s="46"/>
      <c r="D58" s="214"/>
      <c r="E58" s="32"/>
      <c r="F58" s="17"/>
      <c r="G58" s="18">
        <f t="shared" si="1"/>
        <v>48</v>
      </c>
      <c r="H58" s="240"/>
      <c r="I58" s="240"/>
      <c r="J58" s="7" t="s">
        <v>14</v>
      </c>
    </row>
    <row r="59" spans="1:17" ht="18" customHeight="1" x14ac:dyDescent="0.25">
      <c r="A59" s="14">
        <f t="shared" si="0"/>
        <v>51</v>
      </c>
      <c r="B59" s="8"/>
      <c r="C59" s="46"/>
      <c r="D59" s="214"/>
      <c r="E59" s="32"/>
      <c r="F59" s="17"/>
      <c r="G59" s="18">
        <f t="shared" si="1"/>
        <v>48</v>
      </c>
      <c r="H59" s="240"/>
      <c r="I59" s="240"/>
      <c r="J59" s="7" t="s">
        <v>14</v>
      </c>
    </row>
    <row r="60" spans="1:17" ht="18" customHeight="1" x14ac:dyDescent="0.25">
      <c r="A60" s="14">
        <f t="shared" si="0"/>
        <v>52</v>
      </c>
      <c r="B60" s="8"/>
      <c r="C60" s="46"/>
      <c r="D60" s="214"/>
      <c r="E60" s="32"/>
      <c r="F60" s="17"/>
      <c r="G60" s="18">
        <f t="shared" si="1"/>
        <v>48</v>
      </c>
      <c r="H60" s="240"/>
      <c r="I60" s="240"/>
      <c r="J60" s="7" t="s">
        <v>14</v>
      </c>
    </row>
    <row r="61" spans="1:17" ht="18" customHeight="1" x14ac:dyDescent="0.25">
      <c r="A61" s="14">
        <f t="shared" si="0"/>
        <v>53</v>
      </c>
      <c r="B61" s="8"/>
      <c r="C61" s="46"/>
      <c r="D61" s="214"/>
      <c r="E61" s="32"/>
      <c r="F61" s="17"/>
      <c r="G61" s="18">
        <f t="shared" si="1"/>
        <v>48</v>
      </c>
      <c r="H61" s="240"/>
      <c r="I61" s="240"/>
      <c r="J61" s="7" t="s">
        <v>14</v>
      </c>
    </row>
    <row r="62" spans="1:17" ht="18" customHeight="1" x14ac:dyDescent="0.25">
      <c r="A62" s="14">
        <f t="shared" si="0"/>
        <v>54</v>
      </c>
      <c r="B62" s="8"/>
      <c r="C62" s="46"/>
      <c r="D62" s="214"/>
      <c r="E62" s="32"/>
      <c r="F62" s="17"/>
      <c r="G62" s="18">
        <f t="shared" si="1"/>
        <v>48</v>
      </c>
      <c r="H62" s="240"/>
      <c r="I62" s="240"/>
      <c r="J62" s="7" t="s">
        <v>14</v>
      </c>
    </row>
    <row r="63" spans="1:17" ht="18" customHeight="1" x14ac:dyDescent="0.25">
      <c r="A63" s="14">
        <f t="shared" si="0"/>
        <v>55</v>
      </c>
      <c r="B63" s="8"/>
      <c r="C63" s="46"/>
      <c r="D63" s="214"/>
      <c r="E63" s="32"/>
      <c r="F63" s="17"/>
      <c r="G63" s="18">
        <f t="shared" si="1"/>
        <v>48</v>
      </c>
      <c r="H63" s="240"/>
      <c r="I63" s="240"/>
      <c r="J63" s="7" t="s">
        <v>14</v>
      </c>
    </row>
    <row r="64" spans="1:17" ht="18" customHeight="1" x14ac:dyDescent="0.25">
      <c r="A64" s="14">
        <f t="shared" si="0"/>
        <v>56</v>
      </c>
      <c r="B64" s="8"/>
      <c r="C64" s="46"/>
      <c r="D64" s="214"/>
      <c r="E64" s="32"/>
      <c r="F64" s="17"/>
      <c r="G64" s="18">
        <f t="shared" si="1"/>
        <v>48</v>
      </c>
      <c r="H64" s="240"/>
      <c r="I64" s="240"/>
      <c r="J64" s="7" t="s">
        <v>14</v>
      </c>
    </row>
    <row r="65" spans="1:11" ht="18" customHeight="1" x14ac:dyDescent="0.25">
      <c r="A65" s="14">
        <f t="shared" si="0"/>
        <v>57</v>
      </c>
      <c r="B65" s="8"/>
      <c r="C65" s="46"/>
      <c r="D65" s="214"/>
      <c r="E65" s="32"/>
      <c r="F65" s="17"/>
      <c r="G65" s="18">
        <f t="shared" si="1"/>
        <v>48</v>
      </c>
      <c r="H65" s="240"/>
      <c r="I65" s="240"/>
      <c r="J65" s="7" t="s">
        <v>14</v>
      </c>
      <c r="K65" s="26"/>
    </row>
    <row r="66" spans="1:11" ht="18" customHeight="1" x14ac:dyDescent="0.25">
      <c r="A66" s="14">
        <f t="shared" si="0"/>
        <v>58</v>
      </c>
      <c r="B66" s="8"/>
      <c r="C66" s="46"/>
      <c r="D66" s="214"/>
      <c r="E66" s="32"/>
      <c r="F66" s="17"/>
      <c r="G66" s="18">
        <f t="shared" si="1"/>
        <v>48</v>
      </c>
      <c r="H66" s="240"/>
      <c r="I66" s="240"/>
      <c r="J66" s="7" t="s">
        <v>14</v>
      </c>
    </row>
    <row r="67" spans="1:11" ht="18" customHeight="1" x14ac:dyDescent="0.25">
      <c r="A67" s="14">
        <f t="shared" si="0"/>
        <v>59</v>
      </c>
      <c r="B67" s="8"/>
      <c r="C67" s="46"/>
      <c r="D67" s="214"/>
      <c r="E67" s="32"/>
      <c r="F67" s="17"/>
      <c r="G67" s="18">
        <f>+G66+E67-F67</f>
        <v>48</v>
      </c>
      <c r="H67" s="240"/>
      <c r="I67" s="240"/>
      <c r="J67" s="7" t="s">
        <v>14</v>
      </c>
    </row>
    <row r="68" spans="1:11" ht="18" customHeight="1" x14ac:dyDescent="0.25">
      <c r="A68" s="14">
        <f t="shared" si="0"/>
        <v>60</v>
      </c>
      <c r="B68" s="8"/>
      <c r="C68" s="46"/>
      <c r="D68" s="214"/>
      <c r="E68" s="32"/>
      <c r="F68" s="17"/>
      <c r="G68" s="18">
        <f>+G67+E68-F68</f>
        <v>48</v>
      </c>
      <c r="H68" s="240"/>
      <c r="I68" s="240"/>
      <c r="J68" s="7" t="s">
        <v>14</v>
      </c>
    </row>
    <row r="69" spans="1:11" ht="18" customHeight="1" x14ac:dyDescent="0.25">
      <c r="A69" s="14">
        <f t="shared" si="0"/>
        <v>61</v>
      </c>
      <c r="B69" s="8"/>
      <c r="C69" s="46"/>
      <c r="D69" s="214"/>
      <c r="E69" s="32"/>
      <c r="F69" s="17"/>
      <c r="G69" s="18">
        <f>+G68+E69-F69</f>
        <v>48</v>
      </c>
      <c r="H69" s="240"/>
      <c r="I69" s="240"/>
      <c r="J69" s="7" t="s">
        <v>14</v>
      </c>
    </row>
    <row r="70" spans="1:11" ht="18" customHeight="1" x14ac:dyDescent="0.25">
      <c r="A70" s="14">
        <f t="shared" si="0"/>
        <v>62</v>
      </c>
      <c r="B70" s="8"/>
      <c r="C70" s="46"/>
      <c r="D70" s="214"/>
      <c r="E70" s="32"/>
      <c r="F70" s="17"/>
      <c r="G70" s="18">
        <f t="shared" si="1"/>
        <v>48</v>
      </c>
      <c r="H70" s="240"/>
      <c r="I70" s="240"/>
      <c r="J70" s="7" t="s">
        <v>14</v>
      </c>
    </row>
    <row r="71" spans="1:11" ht="18" customHeight="1" x14ac:dyDescent="0.25">
      <c r="A71" s="14">
        <f t="shared" si="0"/>
        <v>63</v>
      </c>
      <c r="B71" s="8"/>
      <c r="C71" s="46"/>
      <c r="D71" s="214"/>
      <c r="E71" s="32"/>
      <c r="F71" s="17"/>
      <c r="G71" s="18">
        <f t="shared" si="1"/>
        <v>48</v>
      </c>
      <c r="H71" s="240"/>
      <c r="I71" s="240"/>
      <c r="J71" s="7" t="s">
        <v>14</v>
      </c>
    </row>
    <row r="72" spans="1:11" ht="18" customHeight="1" x14ac:dyDescent="0.25">
      <c r="A72" s="14">
        <f>+A71+1</f>
        <v>64</v>
      </c>
      <c r="B72" s="8"/>
      <c r="C72" s="46"/>
      <c r="D72" s="214"/>
      <c r="E72" s="32"/>
      <c r="F72" s="17"/>
      <c r="G72" s="18">
        <f t="shared" si="1"/>
        <v>48</v>
      </c>
      <c r="H72" s="240"/>
      <c r="I72" s="240"/>
      <c r="J72" s="7" t="s">
        <v>14</v>
      </c>
    </row>
    <row r="73" spans="1:11" ht="18" customHeight="1" x14ac:dyDescent="0.25">
      <c r="A73" s="14">
        <f t="shared" si="0"/>
        <v>65</v>
      </c>
      <c r="B73" s="8"/>
      <c r="C73" s="46"/>
      <c r="D73" s="214"/>
      <c r="E73" s="32"/>
      <c r="F73" s="17"/>
      <c r="G73" s="18">
        <f t="shared" si="1"/>
        <v>48</v>
      </c>
      <c r="H73" s="240"/>
      <c r="I73" s="240"/>
      <c r="J73" s="7" t="s">
        <v>14</v>
      </c>
    </row>
    <row r="74" spans="1:11" ht="18" customHeight="1" x14ac:dyDescent="0.25">
      <c r="A74" s="14">
        <f t="shared" ref="A74:A107" si="2">+A73+1</f>
        <v>66</v>
      </c>
      <c r="B74" s="8"/>
      <c r="C74" s="46"/>
      <c r="D74" s="214"/>
      <c r="E74" s="32"/>
      <c r="F74" s="17"/>
      <c r="G74" s="18">
        <f t="shared" ref="G74:G91" si="3">+G73+E74-F74</f>
        <v>48</v>
      </c>
      <c r="H74" s="240"/>
      <c r="I74" s="240"/>
      <c r="J74" s="7" t="s">
        <v>14</v>
      </c>
    </row>
    <row r="75" spans="1:11" ht="18" customHeight="1" x14ac:dyDescent="0.25">
      <c r="A75" s="14">
        <f t="shared" si="2"/>
        <v>67</v>
      </c>
      <c r="B75" s="8"/>
      <c r="C75" s="46"/>
      <c r="D75" s="214"/>
      <c r="E75" s="32"/>
      <c r="F75" s="17"/>
      <c r="G75" s="18">
        <f t="shared" si="3"/>
        <v>48</v>
      </c>
      <c r="H75" s="240"/>
      <c r="I75" s="240"/>
      <c r="J75" s="7" t="s">
        <v>14</v>
      </c>
    </row>
    <row r="76" spans="1:11" ht="18" customHeight="1" x14ac:dyDescent="0.25">
      <c r="A76" s="14">
        <f t="shared" si="2"/>
        <v>68</v>
      </c>
      <c r="B76" s="8"/>
      <c r="C76" s="46"/>
      <c r="D76" s="214"/>
      <c r="E76" s="32"/>
      <c r="F76" s="17"/>
      <c r="G76" s="18">
        <f t="shared" si="3"/>
        <v>48</v>
      </c>
      <c r="H76" s="240"/>
      <c r="I76" s="240"/>
      <c r="J76" s="7" t="s">
        <v>14</v>
      </c>
    </row>
    <row r="77" spans="1:11" ht="18" customHeight="1" x14ac:dyDescent="0.25">
      <c r="A77" s="14">
        <f t="shared" si="2"/>
        <v>69</v>
      </c>
      <c r="B77" s="8"/>
      <c r="C77" s="46"/>
      <c r="D77" s="214"/>
      <c r="E77" s="32"/>
      <c r="F77" s="17"/>
      <c r="G77" s="18">
        <f t="shared" si="3"/>
        <v>48</v>
      </c>
      <c r="H77" s="240"/>
      <c r="I77" s="240"/>
      <c r="J77" s="7" t="s">
        <v>14</v>
      </c>
    </row>
    <row r="78" spans="1:11" ht="18" customHeight="1" x14ac:dyDescent="0.25">
      <c r="A78" s="14">
        <f t="shared" si="2"/>
        <v>70</v>
      </c>
      <c r="B78" s="8"/>
      <c r="C78" s="46"/>
      <c r="D78" s="214"/>
      <c r="E78" s="32"/>
      <c r="F78" s="17"/>
      <c r="G78" s="18">
        <f t="shared" si="3"/>
        <v>48</v>
      </c>
      <c r="H78" s="240"/>
      <c r="I78" s="240"/>
      <c r="J78" s="7" t="s">
        <v>14</v>
      </c>
    </row>
    <row r="79" spans="1:11" ht="18" customHeight="1" x14ac:dyDescent="0.25">
      <c r="A79" s="14">
        <f t="shared" si="2"/>
        <v>71</v>
      </c>
      <c r="B79" s="8"/>
      <c r="C79" s="46"/>
      <c r="D79" s="214"/>
      <c r="E79" s="32"/>
      <c r="F79" s="17"/>
      <c r="G79" s="18">
        <f t="shared" si="3"/>
        <v>48</v>
      </c>
      <c r="H79" s="240"/>
      <c r="I79" s="240"/>
      <c r="J79" s="7" t="s">
        <v>14</v>
      </c>
    </row>
    <row r="80" spans="1:11" ht="18" customHeight="1" x14ac:dyDescent="0.25">
      <c r="A80" s="14">
        <f t="shared" si="2"/>
        <v>72</v>
      </c>
      <c r="B80" s="8"/>
      <c r="C80" s="46"/>
      <c r="D80" s="214"/>
      <c r="E80" s="32"/>
      <c r="F80" s="17"/>
      <c r="G80" s="18">
        <f t="shared" si="3"/>
        <v>48</v>
      </c>
      <c r="H80" s="240"/>
      <c r="I80" s="240"/>
      <c r="J80" s="7" t="s">
        <v>14</v>
      </c>
    </row>
    <row r="81" spans="1:18" ht="18" customHeight="1" x14ac:dyDescent="0.25">
      <c r="A81" s="14">
        <f t="shared" si="2"/>
        <v>73</v>
      </c>
      <c r="B81" s="8"/>
      <c r="C81" s="46"/>
      <c r="D81" s="214"/>
      <c r="E81" s="32"/>
      <c r="F81" s="17"/>
      <c r="G81" s="18">
        <f t="shared" si="3"/>
        <v>48</v>
      </c>
      <c r="H81" s="240"/>
      <c r="I81" s="240"/>
      <c r="J81" s="7" t="s">
        <v>14</v>
      </c>
    </row>
    <row r="82" spans="1:18" ht="18" customHeight="1" x14ac:dyDescent="0.25">
      <c r="A82" s="14">
        <f t="shared" si="2"/>
        <v>74</v>
      </c>
      <c r="B82" s="8"/>
      <c r="C82" s="46"/>
      <c r="D82" s="214"/>
      <c r="E82" s="32"/>
      <c r="F82" s="17"/>
      <c r="G82" s="18">
        <f t="shared" si="3"/>
        <v>48</v>
      </c>
      <c r="H82" s="240"/>
      <c r="I82" s="240"/>
      <c r="J82" s="7" t="s">
        <v>14</v>
      </c>
    </row>
    <row r="83" spans="1:18" ht="18" customHeight="1" x14ac:dyDescent="0.25">
      <c r="A83" s="14">
        <f t="shared" si="2"/>
        <v>75</v>
      </c>
      <c r="B83" s="8"/>
      <c r="C83" s="46"/>
      <c r="D83" s="214"/>
      <c r="E83" s="32"/>
      <c r="F83" s="27"/>
      <c r="G83" s="18">
        <f t="shared" si="3"/>
        <v>48</v>
      </c>
      <c r="H83" s="240"/>
      <c r="I83" s="240"/>
      <c r="J83" s="7" t="s">
        <v>14</v>
      </c>
    </row>
    <row r="84" spans="1:18" ht="18" customHeight="1" x14ac:dyDescent="0.25">
      <c r="A84" s="14">
        <f t="shared" si="2"/>
        <v>76</v>
      </c>
      <c r="B84" s="8"/>
      <c r="C84" s="46"/>
      <c r="D84" s="214"/>
      <c r="E84" s="32"/>
      <c r="F84" s="17"/>
      <c r="G84" s="18">
        <f t="shared" si="3"/>
        <v>48</v>
      </c>
      <c r="H84" s="240"/>
      <c r="I84" s="240"/>
      <c r="J84" s="7" t="s">
        <v>14</v>
      </c>
    </row>
    <row r="85" spans="1:18" ht="18" customHeight="1" x14ac:dyDescent="0.25">
      <c r="A85" s="14">
        <f t="shared" si="2"/>
        <v>77</v>
      </c>
      <c r="B85" s="8"/>
      <c r="C85" s="46"/>
      <c r="D85" s="214"/>
      <c r="E85" s="32"/>
      <c r="F85" s="17"/>
      <c r="G85" s="18">
        <f t="shared" si="3"/>
        <v>48</v>
      </c>
      <c r="H85" s="240"/>
      <c r="I85" s="240"/>
      <c r="J85" s="7" t="s">
        <v>14</v>
      </c>
    </row>
    <row r="86" spans="1:18" ht="18" customHeight="1" x14ac:dyDescent="0.25">
      <c r="A86" s="14">
        <f t="shared" si="2"/>
        <v>78</v>
      </c>
      <c r="B86" s="8"/>
      <c r="C86" s="46"/>
      <c r="D86" s="214"/>
      <c r="E86" s="32"/>
      <c r="F86" s="17"/>
      <c r="G86" s="18">
        <f t="shared" si="3"/>
        <v>48</v>
      </c>
      <c r="H86" s="240"/>
      <c r="I86" s="240"/>
      <c r="J86" s="7" t="s">
        <v>14</v>
      </c>
    </row>
    <row r="87" spans="1:18" ht="18" customHeight="1" x14ac:dyDescent="0.25">
      <c r="A87" s="14">
        <f t="shared" si="2"/>
        <v>79</v>
      </c>
      <c r="B87" s="8"/>
      <c r="C87" s="46"/>
      <c r="D87" s="214"/>
      <c r="E87" s="32"/>
      <c r="F87" s="17"/>
      <c r="G87" s="18">
        <f t="shared" si="3"/>
        <v>48</v>
      </c>
      <c r="H87" s="240"/>
      <c r="I87" s="240"/>
      <c r="J87" s="7" t="s">
        <v>14</v>
      </c>
    </row>
    <row r="88" spans="1:18" ht="18" customHeight="1" x14ac:dyDescent="0.25">
      <c r="A88" s="14">
        <f t="shared" si="2"/>
        <v>80</v>
      </c>
      <c r="B88" s="8"/>
      <c r="C88" s="46"/>
      <c r="D88" s="214"/>
      <c r="E88" s="32"/>
      <c r="F88" s="17"/>
      <c r="G88" s="18">
        <f t="shared" si="3"/>
        <v>48</v>
      </c>
      <c r="H88" s="240"/>
      <c r="I88" s="240"/>
      <c r="J88" s="7" t="s">
        <v>14</v>
      </c>
    </row>
    <row r="89" spans="1:18" ht="18" customHeight="1" x14ac:dyDescent="0.25">
      <c r="A89" s="14">
        <f t="shared" si="2"/>
        <v>81</v>
      </c>
      <c r="B89" s="8"/>
      <c r="C89" s="46"/>
      <c r="D89" s="214"/>
      <c r="E89" s="32"/>
      <c r="F89" s="17"/>
      <c r="G89" s="18">
        <f t="shared" si="3"/>
        <v>48</v>
      </c>
      <c r="H89" s="240"/>
      <c r="I89" s="240"/>
      <c r="J89" s="7" t="s">
        <v>14</v>
      </c>
    </row>
    <row r="90" spans="1:18" ht="18" customHeight="1" x14ac:dyDescent="0.25">
      <c r="A90" s="14">
        <f t="shared" si="2"/>
        <v>82</v>
      </c>
      <c r="B90" s="8"/>
      <c r="C90" s="46"/>
      <c r="D90" s="214"/>
      <c r="E90" s="32"/>
      <c r="F90" s="17"/>
      <c r="G90" s="18">
        <f t="shared" si="3"/>
        <v>48</v>
      </c>
      <c r="H90" s="240"/>
      <c r="I90" s="240"/>
      <c r="J90" s="7" t="s">
        <v>14</v>
      </c>
      <c r="M90" s="199"/>
      <c r="R90" s="199"/>
    </row>
    <row r="91" spans="1:18" ht="18" customHeight="1" x14ac:dyDescent="0.25">
      <c r="A91" s="14">
        <f t="shared" si="2"/>
        <v>83</v>
      </c>
      <c r="B91" s="8"/>
      <c r="C91" s="46"/>
      <c r="D91" s="214"/>
      <c r="E91" s="32"/>
      <c r="F91" s="27"/>
      <c r="G91" s="18">
        <f t="shared" si="3"/>
        <v>48</v>
      </c>
      <c r="H91" s="240"/>
      <c r="I91" s="240"/>
      <c r="J91" s="7" t="s">
        <v>14</v>
      </c>
      <c r="M91" s="199"/>
      <c r="R91" s="199"/>
    </row>
    <row r="92" spans="1:18" ht="18" customHeight="1" x14ac:dyDescent="0.25">
      <c r="A92" s="14">
        <f t="shared" si="2"/>
        <v>84</v>
      </c>
      <c r="B92" s="8"/>
      <c r="C92" s="46"/>
      <c r="D92" s="214"/>
      <c r="E92" s="32"/>
      <c r="F92" s="27"/>
      <c r="G92" s="18">
        <f>+G91+E92-F92</f>
        <v>48</v>
      </c>
      <c r="H92" s="240"/>
      <c r="I92" s="240"/>
      <c r="J92" s="7" t="s">
        <v>14</v>
      </c>
      <c r="M92" s="199"/>
      <c r="R92" s="199"/>
    </row>
    <row r="93" spans="1:18" s="179" customFormat="1" ht="18" customHeight="1" x14ac:dyDescent="0.25">
      <c r="A93" s="241">
        <f t="shared" si="2"/>
        <v>85</v>
      </c>
      <c r="B93" s="242"/>
      <c r="C93" s="243"/>
      <c r="D93" s="244"/>
      <c r="E93" s="245"/>
      <c r="F93" s="52"/>
      <c r="G93" s="246">
        <f>+G92+E93-F93</f>
        <v>48</v>
      </c>
      <c r="H93" s="240"/>
      <c r="I93" s="240"/>
      <c r="J93" s="247" t="s">
        <v>14</v>
      </c>
      <c r="K93" s="179" t="s">
        <v>43</v>
      </c>
      <c r="M93" s="248"/>
      <c r="R93" s="248"/>
    </row>
    <row r="94" spans="1:18" s="179" customFormat="1" ht="18" customHeight="1" x14ac:dyDescent="0.25">
      <c r="A94" s="241"/>
      <c r="B94" s="242"/>
      <c r="C94" s="243"/>
      <c r="D94" s="244"/>
      <c r="E94" s="245"/>
      <c r="F94" s="52"/>
      <c r="G94" s="246">
        <f t="shared" ref="G94:G106" si="4">+G93+E94-F94</f>
        <v>48</v>
      </c>
      <c r="H94" s="240"/>
      <c r="I94" s="240"/>
      <c r="J94" s="247" t="s">
        <v>14</v>
      </c>
      <c r="M94" s="248"/>
      <c r="R94" s="248"/>
    </row>
    <row r="95" spans="1:18" s="179" customFormat="1" ht="18" customHeight="1" x14ac:dyDescent="0.25">
      <c r="A95" s="241"/>
      <c r="B95" s="242"/>
      <c r="C95" s="243"/>
      <c r="D95" s="244"/>
      <c r="E95" s="245"/>
      <c r="F95" s="52"/>
      <c r="G95" s="246">
        <f t="shared" si="4"/>
        <v>48</v>
      </c>
      <c r="H95" s="240"/>
      <c r="I95" s="240"/>
      <c r="J95" s="247" t="s">
        <v>14</v>
      </c>
      <c r="M95" s="248"/>
      <c r="R95" s="248"/>
    </row>
    <row r="96" spans="1:18" s="179" customFormat="1" ht="18" customHeight="1" x14ac:dyDescent="0.25">
      <c r="A96" s="241"/>
      <c r="B96" s="242"/>
      <c r="C96" s="243"/>
      <c r="D96" s="244"/>
      <c r="E96" s="245"/>
      <c r="F96" s="52"/>
      <c r="G96" s="246">
        <f t="shared" si="4"/>
        <v>48</v>
      </c>
      <c r="H96" s="240"/>
      <c r="I96" s="240"/>
      <c r="J96" s="247" t="s">
        <v>14</v>
      </c>
      <c r="M96" s="248"/>
      <c r="R96" s="248"/>
    </row>
    <row r="97" spans="1:18" s="179" customFormat="1" ht="18" customHeight="1" x14ac:dyDescent="0.25">
      <c r="A97" s="241"/>
      <c r="B97" s="242"/>
      <c r="C97" s="243"/>
      <c r="D97" s="244"/>
      <c r="E97" s="245"/>
      <c r="F97" s="52"/>
      <c r="G97" s="246">
        <f t="shared" si="4"/>
        <v>48</v>
      </c>
      <c r="H97" s="240"/>
      <c r="I97" s="240"/>
      <c r="J97" s="247" t="s">
        <v>14</v>
      </c>
      <c r="M97" s="248"/>
      <c r="R97" s="248"/>
    </row>
    <row r="98" spans="1:18" s="179" customFormat="1" ht="18" customHeight="1" x14ac:dyDescent="0.25">
      <c r="A98" s="241"/>
      <c r="B98" s="242"/>
      <c r="C98" s="243"/>
      <c r="D98" s="244"/>
      <c r="E98" s="245"/>
      <c r="F98" s="52"/>
      <c r="G98" s="246">
        <f t="shared" si="4"/>
        <v>48</v>
      </c>
      <c r="H98" s="240"/>
      <c r="I98" s="240"/>
      <c r="J98" s="247" t="s">
        <v>14</v>
      </c>
      <c r="M98" s="248"/>
      <c r="R98" s="248"/>
    </row>
    <row r="99" spans="1:18" s="179" customFormat="1" ht="18" customHeight="1" x14ac:dyDescent="0.25">
      <c r="A99" s="241"/>
      <c r="B99" s="242"/>
      <c r="C99" s="243"/>
      <c r="D99" s="244"/>
      <c r="E99" s="245"/>
      <c r="F99" s="52"/>
      <c r="G99" s="246">
        <f t="shared" si="4"/>
        <v>48</v>
      </c>
      <c r="H99" s="240"/>
      <c r="I99" s="240"/>
      <c r="J99" s="247" t="s">
        <v>14</v>
      </c>
      <c r="M99" s="248"/>
      <c r="R99" s="248"/>
    </row>
    <row r="100" spans="1:18" s="179" customFormat="1" ht="18" customHeight="1" x14ac:dyDescent="0.25">
      <c r="A100" s="241"/>
      <c r="B100" s="242"/>
      <c r="C100" s="243"/>
      <c r="D100" s="244"/>
      <c r="E100" s="245"/>
      <c r="F100" s="52"/>
      <c r="G100" s="246">
        <f t="shared" si="4"/>
        <v>48</v>
      </c>
      <c r="H100" s="240"/>
      <c r="I100" s="240"/>
      <c r="J100" s="247" t="s">
        <v>14</v>
      </c>
      <c r="M100" s="248"/>
      <c r="R100" s="248"/>
    </row>
    <row r="101" spans="1:18" s="179" customFormat="1" ht="18" customHeight="1" x14ac:dyDescent="0.25">
      <c r="A101" s="241"/>
      <c r="B101" s="242"/>
      <c r="C101" s="243"/>
      <c r="D101" s="244"/>
      <c r="E101" s="245"/>
      <c r="F101" s="52"/>
      <c r="G101" s="246">
        <f t="shared" si="4"/>
        <v>48</v>
      </c>
      <c r="H101" s="240"/>
      <c r="I101" s="240"/>
      <c r="J101" s="247"/>
      <c r="M101" s="248"/>
      <c r="R101" s="248"/>
    </row>
    <row r="102" spans="1:18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48</v>
      </c>
      <c r="H102" s="240"/>
      <c r="I102" s="240"/>
      <c r="J102" s="247"/>
      <c r="M102" s="248"/>
      <c r="R102" s="248"/>
    </row>
    <row r="103" spans="1:18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48</v>
      </c>
      <c r="H103" s="240"/>
      <c r="I103" s="240"/>
      <c r="J103" s="247"/>
      <c r="M103" s="248"/>
      <c r="R103" s="248"/>
    </row>
    <row r="104" spans="1:18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48</v>
      </c>
      <c r="H104" s="240"/>
      <c r="I104" s="240"/>
      <c r="J104" s="247"/>
      <c r="M104" s="248"/>
      <c r="R104" s="248"/>
    </row>
    <row r="105" spans="1:18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48</v>
      </c>
      <c r="H105" s="28"/>
      <c r="I105" s="28"/>
      <c r="J105" s="7"/>
      <c r="M105" s="199"/>
      <c r="R105" s="199"/>
    </row>
    <row r="106" spans="1:18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48</v>
      </c>
      <c r="H106" s="28"/>
      <c r="I106" s="28"/>
      <c r="J106" s="7"/>
      <c r="M106" s="199"/>
      <c r="R106" s="199"/>
    </row>
    <row r="107" spans="1:18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48</v>
      </c>
      <c r="H107" s="28"/>
      <c r="I107" s="28"/>
      <c r="J107" s="7"/>
      <c r="M107" s="199"/>
      <c r="R107" s="199"/>
    </row>
    <row r="108" spans="1:18" ht="18" customHeight="1" x14ac:dyDescent="0.25">
      <c r="A108" s="7"/>
      <c r="B108" s="7"/>
      <c r="C108" s="34" t="s">
        <v>13</v>
      </c>
      <c r="D108" s="14"/>
      <c r="E108" s="35">
        <f>SUM(E8:E107)</f>
        <v>68</v>
      </c>
      <c r="F108" s="35">
        <f>SUM(F8:F107)</f>
        <v>20</v>
      </c>
      <c r="G108" s="35">
        <f>+E108-F108+G8</f>
        <v>48</v>
      </c>
      <c r="H108" s="35"/>
      <c r="I108" s="35">
        <f>SUM(I9:I107)</f>
        <v>29.400000000000002</v>
      </c>
      <c r="J108" s="35"/>
    </row>
    <row r="109" spans="1:18" ht="18" customHeight="1" x14ac:dyDescent="0.25"/>
    <row r="112" spans="1:18" x14ac:dyDescent="0.25">
      <c r="E112" s="201"/>
      <c r="F112" s="201"/>
      <c r="G112" s="201"/>
      <c r="H112" s="201"/>
      <c r="I112" s="201"/>
    </row>
    <row r="113" spans="5:10" x14ac:dyDescent="0.25">
      <c r="F113" s="26"/>
    </row>
    <row r="114" spans="5:10" x14ac:dyDescent="0.25">
      <c r="E114" s="26"/>
      <c r="F114" s="26"/>
      <c r="G114" s="26"/>
      <c r="H114" s="26"/>
      <c r="I114" s="26"/>
      <c r="J114" s="26"/>
    </row>
    <row r="115" spans="5:10" x14ac:dyDescent="0.25">
      <c r="J115" s="202"/>
    </row>
    <row r="116" spans="5:10" x14ac:dyDescent="0.25">
      <c r="E116" s="199"/>
    </row>
    <row r="117" spans="5:10" x14ac:dyDescent="0.25">
      <c r="E117" s="26"/>
      <c r="F117" s="26"/>
    </row>
    <row r="118" spans="5:10" x14ac:dyDescent="0.25">
      <c r="E118" s="203"/>
      <c r="F118" s="204"/>
      <c r="G118" s="203"/>
      <c r="H118" s="203"/>
      <c r="I118" s="203"/>
    </row>
    <row r="119" spans="5:10" x14ac:dyDescent="0.25">
      <c r="F119" s="26"/>
    </row>
  </sheetData>
  <mergeCells count="1">
    <mergeCell ref="A4:J5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2376-E772-4C6E-B1E4-263E52C252AA}">
  <sheetPr codeName="Sheet102"/>
  <dimension ref="A1:R123"/>
  <sheetViews>
    <sheetView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47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11.42578125" style="149" customWidth="1"/>
    <col min="10" max="10" width="14.85546875" customWidth="1"/>
    <col min="13" max="13" width="11.28515625" bestFit="1" customWidth="1"/>
    <col min="14" max="14" width="10.140625" bestFit="1" customWidth="1"/>
    <col min="18" max="18" width="11.7109375" bestFit="1" customWidth="1"/>
    <col min="258" max="258" width="6" customWidth="1"/>
    <col min="259" max="259" width="11.5703125" customWidth="1"/>
    <col min="260" max="260" width="42.7109375" customWidth="1"/>
    <col min="261" max="261" width="6.5703125" customWidth="1"/>
    <col min="262" max="262" width="12.28515625" customWidth="1"/>
    <col min="263" max="263" width="12" customWidth="1"/>
    <col min="264" max="264" width="11.7109375" customWidth="1"/>
    <col min="265" max="265" width="14.28515625" customWidth="1"/>
    <col min="266" max="266" width="14.85546875" customWidth="1"/>
    <col min="269" max="269" width="11.28515625" bestFit="1" customWidth="1"/>
    <col min="274" max="274" width="11.7109375" bestFit="1" customWidth="1"/>
    <col min="514" max="514" width="6" customWidth="1"/>
    <col min="515" max="515" width="11.5703125" customWidth="1"/>
    <col min="516" max="516" width="42.7109375" customWidth="1"/>
    <col min="517" max="517" width="6.5703125" customWidth="1"/>
    <col min="518" max="518" width="12.28515625" customWidth="1"/>
    <col min="519" max="519" width="12" customWidth="1"/>
    <col min="520" max="520" width="11.7109375" customWidth="1"/>
    <col min="521" max="521" width="14.28515625" customWidth="1"/>
    <col min="522" max="522" width="14.85546875" customWidth="1"/>
    <col min="525" max="525" width="11.28515625" bestFit="1" customWidth="1"/>
    <col min="530" max="530" width="11.7109375" bestFit="1" customWidth="1"/>
    <col min="770" max="770" width="6" customWidth="1"/>
    <col min="771" max="771" width="11.5703125" customWidth="1"/>
    <col min="772" max="772" width="42.7109375" customWidth="1"/>
    <col min="773" max="773" width="6.5703125" customWidth="1"/>
    <col min="774" max="774" width="12.28515625" customWidth="1"/>
    <col min="775" max="775" width="12" customWidth="1"/>
    <col min="776" max="776" width="11.7109375" customWidth="1"/>
    <col min="777" max="777" width="14.28515625" customWidth="1"/>
    <col min="778" max="778" width="14.85546875" customWidth="1"/>
    <col min="781" max="781" width="11.28515625" bestFit="1" customWidth="1"/>
    <col min="786" max="786" width="11.7109375" bestFit="1" customWidth="1"/>
    <col min="1026" max="1026" width="6" customWidth="1"/>
    <col min="1027" max="1027" width="11.5703125" customWidth="1"/>
    <col min="1028" max="1028" width="42.7109375" customWidth="1"/>
    <col min="1029" max="1029" width="6.5703125" customWidth="1"/>
    <col min="1030" max="1030" width="12.28515625" customWidth="1"/>
    <col min="1031" max="1031" width="12" customWidth="1"/>
    <col min="1032" max="1032" width="11.7109375" customWidth="1"/>
    <col min="1033" max="1033" width="14.28515625" customWidth="1"/>
    <col min="1034" max="1034" width="14.85546875" customWidth="1"/>
    <col min="1037" max="1037" width="11.28515625" bestFit="1" customWidth="1"/>
    <col min="1042" max="1042" width="11.7109375" bestFit="1" customWidth="1"/>
    <col min="1282" max="1282" width="6" customWidth="1"/>
    <col min="1283" max="1283" width="11.5703125" customWidth="1"/>
    <col min="1284" max="1284" width="42.7109375" customWidth="1"/>
    <col min="1285" max="1285" width="6.5703125" customWidth="1"/>
    <col min="1286" max="1286" width="12.28515625" customWidth="1"/>
    <col min="1287" max="1287" width="12" customWidth="1"/>
    <col min="1288" max="1288" width="11.7109375" customWidth="1"/>
    <col min="1289" max="1289" width="14.28515625" customWidth="1"/>
    <col min="1290" max="1290" width="14.85546875" customWidth="1"/>
    <col min="1293" max="1293" width="11.28515625" bestFit="1" customWidth="1"/>
    <col min="1298" max="1298" width="11.7109375" bestFit="1" customWidth="1"/>
    <col min="1538" max="1538" width="6" customWidth="1"/>
    <col min="1539" max="1539" width="11.5703125" customWidth="1"/>
    <col min="1540" max="1540" width="42.7109375" customWidth="1"/>
    <col min="1541" max="1541" width="6.5703125" customWidth="1"/>
    <col min="1542" max="1542" width="12.28515625" customWidth="1"/>
    <col min="1543" max="1543" width="12" customWidth="1"/>
    <col min="1544" max="1544" width="11.7109375" customWidth="1"/>
    <col min="1545" max="1545" width="14.28515625" customWidth="1"/>
    <col min="1546" max="1546" width="14.85546875" customWidth="1"/>
    <col min="1549" max="1549" width="11.28515625" bestFit="1" customWidth="1"/>
    <col min="1554" max="1554" width="11.7109375" bestFit="1" customWidth="1"/>
    <col min="1794" max="1794" width="6" customWidth="1"/>
    <col min="1795" max="1795" width="11.5703125" customWidth="1"/>
    <col min="1796" max="1796" width="42.7109375" customWidth="1"/>
    <col min="1797" max="1797" width="6.5703125" customWidth="1"/>
    <col min="1798" max="1798" width="12.28515625" customWidth="1"/>
    <col min="1799" max="1799" width="12" customWidth="1"/>
    <col min="1800" max="1800" width="11.7109375" customWidth="1"/>
    <col min="1801" max="1801" width="14.28515625" customWidth="1"/>
    <col min="1802" max="1802" width="14.85546875" customWidth="1"/>
    <col min="1805" max="1805" width="11.28515625" bestFit="1" customWidth="1"/>
    <col min="1810" max="1810" width="11.7109375" bestFit="1" customWidth="1"/>
    <col min="2050" max="2050" width="6" customWidth="1"/>
    <col min="2051" max="2051" width="11.5703125" customWidth="1"/>
    <col min="2052" max="2052" width="42.7109375" customWidth="1"/>
    <col min="2053" max="2053" width="6.5703125" customWidth="1"/>
    <col min="2054" max="2054" width="12.28515625" customWidth="1"/>
    <col min="2055" max="2055" width="12" customWidth="1"/>
    <col min="2056" max="2056" width="11.7109375" customWidth="1"/>
    <col min="2057" max="2057" width="14.28515625" customWidth="1"/>
    <col min="2058" max="2058" width="14.85546875" customWidth="1"/>
    <col min="2061" max="2061" width="11.28515625" bestFit="1" customWidth="1"/>
    <col min="2066" max="2066" width="11.7109375" bestFit="1" customWidth="1"/>
    <col min="2306" max="2306" width="6" customWidth="1"/>
    <col min="2307" max="2307" width="11.5703125" customWidth="1"/>
    <col min="2308" max="2308" width="42.7109375" customWidth="1"/>
    <col min="2309" max="2309" width="6.5703125" customWidth="1"/>
    <col min="2310" max="2310" width="12.28515625" customWidth="1"/>
    <col min="2311" max="2311" width="12" customWidth="1"/>
    <col min="2312" max="2312" width="11.7109375" customWidth="1"/>
    <col min="2313" max="2313" width="14.28515625" customWidth="1"/>
    <col min="2314" max="2314" width="14.85546875" customWidth="1"/>
    <col min="2317" max="2317" width="11.28515625" bestFit="1" customWidth="1"/>
    <col min="2322" max="2322" width="11.7109375" bestFit="1" customWidth="1"/>
    <col min="2562" max="2562" width="6" customWidth="1"/>
    <col min="2563" max="2563" width="11.5703125" customWidth="1"/>
    <col min="2564" max="2564" width="42.7109375" customWidth="1"/>
    <col min="2565" max="2565" width="6.5703125" customWidth="1"/>
    <col min="2566" max="2566" width="12.28515625" customWidth="1"/>
    <col min="2567" max="2567" width="12" customWidth="1"/>
    <col min="2568" max="2568" width="11.7109375" customWidth="1"/>
    <col min="2569" max="2569" width="14.28515625" customWidth="1"/>
    <col min="2570" max="2570" width="14.85546875" customWidth="1"/>
    <col min="2573" max="2573" width="11.28515625" bestFit="1" customWidth="1"/>
    <col min="2578" max="2578" width="11.7109375" bestFit="1" customWidth="1"/>
    <col min="2818" max="2818" width="6" customWidth="1"/>
    <col min="2819" max="2819" width="11.5703125" customWidth="1"/>
    <col min="2820" max="2820" width="42.7109375" customWidth="1"/>
    <col min="2821" max="2821" width="6.5703125" customWidth="1"/>
    <col min="2822" max="2822" width="12.28515625" customWidth="1"/>
    <col min="2823" max="2823" width="12" customWidth="1"/>
    <col min="2824" max="2824" width="11.7109375" customWidth="1"/>
    <col min="2825" max="2825" width="14.28515625" customWidth="1"/>
    <col min="2826" max="2826" width="14.85546875" customWidth="1"/>
    <col min="2829" max="2829" width="11.28515625" bestFit="1" customWidth="1"/>
    <col min="2834" max="2834" width="11.7109375" bestFit="1" customWidth="1"/>
    <col min="3074" max="3074" width="6" customWidth="1"/>
    <col min="3075" max="3075" width="11.5703125" customWidth="1"/>
    <col min="3076" max="3076" width="42.7109375" customWidth="1"/>
    <col min="3077" max="3077" width="6.5703125" customWidth="1"/>
    <col min="3078" max="3078" width="12.28515625" customWidth="1"/>
    <col min="3079" max="3079" width="12" customWidth="1"/>
    <col min="3080" max="3080" width="11.7109375" customWidth="1"/>
    <col min="3081" max="3081" width="14.28515625" customWidth="1"/>
    <col min="3082" max="3082" width="14.85546875" customWidth="1"/>
    <col min="3085" max="3085" width="11.28515625" bestFit="1" customWidth="1"/>
    <col min="3090" max="3090" width="11.7109375" bestFit="1" customWidth="1"/>
    <col min="3330" max="3330" width="6" customWidth="1"/>
    <col min="3331" max="3331" width="11.5703125" customWidth="1"/>
    <col min="3332" max="3332" width="42.7109375" customWidth="1"/>
    <col min="3333" max="3333" width="6.5703125" customWidth="1"/>
    <col min="3334" max="3334" width="12.28515625" customWidth="1"/>
    <col min="3335" max="3335" width="12" customWidth="1"/>
    <col min="3336" max="3336" width="11.7109375" customWidth="1"/>
    <col min="3337" max="3337" width="14.28515625" customWidth="1"/>
    <col min="3338" max="3338" width="14.85546875" customWidth="1"/>
    <col min="3341" max="3341" width="11.28515625" bestFit="1" customWidth="1"/>
    <col min="3346" max="3346" width="11.7109375" bestFit="1" customWidth="1"/>
    <col min="3586" max="3586" width="6" customWidth="1"/>
    <col min="3587" max="3587" width="11.5703125" customWidth="1"/>
    <col min="3588" max="3588" width="42.7109375" customWidth="1"/>
    <col min="3589" max="3589" width="6.5703125" customWidth="1"/>
    <col min="3590" max="3590" width="12.28515625" customWidth="1"/>
    <col min="3591" max="3591" width="12" customWidth="1"/>
    <col min="3592" max="3592" width="11.7109375" customWidth="1"/>
    <col min="3593" max="3593" width="14.28515625" customWidth="1"/>
    <col min="3594" max="3594" width="14.85546875" customWidth="1"/>
    <col min="3597" max="3597" width="11.28515625" bestFit="1" customWidth="1"/>
    <col min="3602" max="3602" width="11.7109375" bestFit="1" customWidth="1"/>
    <col min="3842" max="3842" width="6" customWidth="1"/>
    <col min="3843" max="3843" width="11.5703125" customWidth="1"/>
    <col min="3844" max="3844" width="42.7109375" customWidth="1"/>
    <col min="3845" max="3845" width="6.5703125" customWidth="1"/>
    <col min="3846" max="3846" width="12.28515625" customWidth="1"/>
    <col min="3847" max="3847" width="12" customWidth="1"/>
    <col min="3848" max="3848" width="11.7109375" customWidth="1"/>
    <col min="3849" max="3849" width="14.28515625" customWidth="1"/>
    <col min="3850" max="3850" width="14.85546875" customWidth="1"/>
    <col min="3853" max="3853" width="11.28515625" bestFit="1" customWidth="1"/>
    <col min="3858" max="3858" width="11.7109375" bestFit="1" customWidth="1"/>
    <col min="4098" max="4098" width="6" customWidth="1"/>
    <col min="4099" max="4099" width="11.5703125" customWidth="1"/>
    <col min="4100" max="4100" width="42.7109375" customWidth="1"/>
    <col min="4101" max="4101" width="6.5703125" customWidth="1"/>
    <col min="4102" max="4102" width="12.28515625" customWidth="1"/>
    <col min="4103" max="4103" width="12" customWidth="1"/>
    <col min="4104" max="4104" width="11.7109375" customWidth="1"/>
    <col min="4105" max="4105" width="14.28515625" customWidth="1"/>
    <col min="4106" max="4106" width="14.85546875" customWidth="1"/>
    <col min="4109" max="4109" width="11.28515625" bestFit="1" customWidth="1"/>
    <col min="4114" max="4114" width="11.7109375" bestFit="1" customWidth="1"/>
    <col min="4354" max="4354" width="6" customWidth="1"/>
    <col min="4355" max="4355" width="11.5703125" customWidth="1"/>
    <col min="4356" max="4356" width="42.7109375" customWidth="1"/>
    <col min="4357" max="4357" width="6.5703125" customWidth="1"/>
    <col min="4358" max="4358" width="12.28515625" customWidth="1"/>
    <col min="4359" max="4359" width="12" customWidth="1"/>
    <col min="4360" max="4360" width="11.7109375" customWidth="1"/>
    <col min="4361" max="4361" width="14.28515625" customWidth="1"/>
    <col min="4362" max="4362" width="14.85546875" customWidth="1"/>
    <col min="4365" max="4365" width="11.28515625" bestFit="1" customWidth="1"/>
    <col min="4370" max="4370" width="11.7109375" bestFit="1" customWidth="1"/>
    <col min="4610" max="4610" width="6" customWidth="1"/>
    <col min="4611" max="4611" width="11.5703125" customWidth="1"/>
    <col min="4612" max="4612" width="42.7109375" customWidth="1"/>
    <col min="4613" max="4613" width="6.5703125" customWidth="1"/>
    <col min="4614" max="4614" width="12.28515625" customWidth="1"/>
    <col min="4615" max="4615" width="12" customWidth="1"/>
    <col min="4616" max="4616" width="11.7109375" customWidth="1"/>
    <col min="4617" max="4617" width="14.28515625" customWidth="1"/>
    <col min="4618" max="4618" width="14.85546875" customWidth="1"/>
    <col min="4621" max="4621" width="11.28515625" bestFit="1" customWidth="1"/>
    <col min="4626" max="4626" width="11.7109375" bestFit="1" customWidth="1"/>
    <col min="4866" max="4866" width="6" customWidth="1"/>
    <col min="4867" max="4867" width="11.5703125" customWidth="1"/>
    <col min="4868" max="4868" width="42.7109375" customWidth="1"/>
    <col min="4869" max="4869" width="6.5703125" customWidth="1"/>
    <col min="4870" max="4870" width="12.28515625" customWidth="1"/>
    <col min="4871" max="4871" width="12" customWidth="1"/>
    <col min="4872" max="4872" width="11.7109375" customWidth="1"/>
    <col min="4873" max="4873" width="14.28515625" customWidth="1"/>
    <col min="4874" max="4874" width="14.85546875" customWidth="1"/>
    <col min="4877" max="4877" width="11.28515625" bestFit="1" customWidth="1"/>
    <col min="4882" max="4882" width="11.7109375" bestFit="1" customWidth="1"/>
    <col min="5122" max="5122" width="6" customWidth="1"/>
    <col min="5123" max="5123" width="11.5703125" customWidth="1"/>
    <col min="5124" max="5124" width="42.7109375" customWidth="1"/>
    <col min="5125" max="5125" width="6.5703125" customWidth="1"/>
    <col min="5126" max="5126" width="12.28515625" customWidth="1"/>
    <col min="5127" max="5127" width="12" customWidth="1"/>
    <col min="5128" max="5128" width="11.7109375" customWidth="1"/>
    <col min="5129" max="5129" width="14.28515625" customWidth="1"/>
    <col min="5130" max="5130" width="14.85546875" customWidth="1"/>
    <col min="5133" max="5133" width="11.28515625" bestFit="1" customWidth="1"/>
    <col min="5138" max="5138" width="11.7109375" bestFit="1" customWidth="1"/>
    <col min="5378" max="5378" width="6" customWidth="1"/>
    <col min="5379" max="5379" width="11.5703125" customWidth="1"/>
    <col min="5380" max="5380" width="42.7109375" customWidth="1"/>
    <col min="5381" max="5381" width="6.5703125" customWidth="1"/>
    <col min="5382" max="5382" width="12.28515625" customWidth="1"/>
    <col min="5383" max="5383" width="12" customWidth="1"/>
    <col min="5384" max="5384" width="11.7109375" customWidth="1"/>
    <col min="5385" max="5385" width="14.28515625" customWidth="1"/>
    <col min="5386" max="5386" width="14.85546875" customWidth="1"/>
    <col min="5389" max="5389" width="11.28515625" bestFit="1" customWidth="1"/>
    <col min="5394" max="5394" width="11.7109375" bestFit="1" customWidth="1"/>
    <col min="5634" max="5634" width="6" customWidth="1"/>
    <col min="5635" max="5635" width="11.5703125" customWidth="1"/>
    <col min="5636" max="5636" width="42.7109375" customWidth="1"/>
    <col min="5637" max="5637" width="6.5703125" customWidth="1"/>
    <col min="5638" max="5638" width="12.28515625" customWidth="1"/>
    <col min="5639" max="5639" width="12" customWidth="1"/>
    <col min="5640" max="5640" width="11.7109375" customWidth="1"/>
    <col min="5641" max="5641" width="14.28515625" customWidth="1"/>
    <col min="5642" max="5642" width="14.85546875" customWidth="1"/>
    <col min="5645" max="5645" width="11.28515625" bestFit="1" customWidth="1"/>
    <col min="5650" max="5650" width="11.7109375" bestFit="1" customWidth="1"/>
    <col min="5890" max="5890" width="6" customWidth="1"/>
    <col min="5891" max="5891" width="11.5703125" customWidth="1"/>
    <col min="5892" max="5892" width="42.7109375" customWidth="1"/>
    <col min="5893" max="5893" width="6.5703125" customWidth="1"/>
    <col min="5894" max="5894" width="12.28515625" customWidth="1"/>
    <col min="5895" max="5895" width="12" customWidth="1"/>
    <col min="5896" max="5896" width="11.7109375" customWidth="1"/>
    <col min="5897" max="5897" width="14.28515625" customWidth="1"/>
    <col min="5898" max="5898" width="14.85546875" customWidth="1"/>
    <col min="5901" max="5901" width="11.28515625" bestFit="1" customWidth="1"/>
    <col min="5906" max="5906" width="11.7109375" bestFit="1" customWidth="1"/>
    <col min="6146" max="6146" width="6" customWidth="1"/>
    <col min="6147" max="6147" width="11.5703125" customWidth="1"/>
    <col min="6148" max="6148" width="42.7109375" customWidth="1"/>
    <col min="6149" max="6149" width="6.5703125" customWidth="1"/>
    <col min="6150" max="6150" width="12.28515625" customWidth="1"/>
    <col min="6151" max="6151" width="12" customWidth="1"/>
    <col min="6152" max="6152" width="11.7109375" customWidth="1"/>
    <col min="6153" max="6153" width="14.28515625" customWidth="1"/>
    <col min="6154" max="6154" width="14.85546875" customWidth="1"/>
    <col min="6157" max="6157" width="11.28515625" bestFit="1" customWidth="1"/>
    <col min="6162" max="6162" width="11.7109375" bestFit="1" customWidth="1"/>
    <col min="6402" max="6402" width="6" customWidth="1"/>
    <col min="6403" max="6403" width="11.5703125" customWidth="1"/>
    <col min="6404" max="6404" width="42.7109375" customWidth="1"/>
    <col min="6405" max="6405" width="6.5703125" customWidth="1"/>
    <col min="6406" max="6406" width="12.28515625" customWidth="1"/>
    <col min="6407" max="6407" width="12" customWidth="1"/>
    <col min="6408" max="6408" width="11.7109375" customWidth="1"/>
    <col min="6409" max="6409" width="14.28515625" customWidth="1"/>
    <col min="6410" max="6410" width="14.85546875" customWidth="1"/>
    <col min="6413" max="6413" width="11.28515625" bestFit="1" customWidth="1"/>
    <col min="6418" max="6418" width="11.7109375" bestFit="1" customWidth="1"/>
    <col min="6658" max="6658" width="6" customWidth="1"/>
    <col min="6659" max="6659" width="11.5703125" customWidth="1"/>
    <col min="6660" max="6660" width="42.7109375" customWidth="1"/>
    <col min="6661" max="6661" width="6.5703125" customWidth="1"/>
    <col min="6662" max="6662" width="12.28515625" customWidth="1"/>
    <col min="6663" max="6663" width="12" customWidth="1"/>
    <col min="6664" max="6664" width="11.7109375" customWidth="1"/>
    <col min="6665" max="6665" width="14.28515625" customWidth="1"/>
    <col min="6666" max="6666" width="14.85546875" customWidth="1"/>
    <col min="6669" max="6669" width="11.28515625" bestFit="1" customWidth="1"/>
    <col min="6674" max="6674" width="11.7109375" bestFit="1" customWidth="1"/>
    <col min="6914" max="6914" width="6" customWidth="1"/>
    <col min="6915" max="6915" width="11.5703125" customWidth="1"/>
    <col min="6916" max="6916" width="42.7109375" customWidth="1"/>
    <col min="6917" max="6917" width="6.5703125" customWidth="1"/>
    <col min="6918" max="6918" width="12.28515625" customWidth="1"/>
    <col min="6919" max="6919" width="12" customWidth="1"/>
    <col min="6920" max="6920" width="11.7109375" customWidth="1"/>
    <col min="6921" max="6921" width="14.28515625" customWidth="1"/>
    <col min="6922" max="6922" width="14.85546875" customWidth="1"/>
    <col min="6925" max="6925" width="11.28515625" bestFit="1" customWidth="1"/>
    <col min="6930" max="6930" width="11.7109375" bestFit="1" customWidth="1"/>
    <col min="7170" max="7170" width="6" customWidth="1"/>
    <col min="7171" max="7171" width="11.5703125" customWidth="1"/>
    <col min="7172" max="7172" width="42.7109375" customWidth="1"/>
    <col min="7173" max="7173" width="6.5703125" customWidth="1"/>
    <col min="7174" max="7174" width="12.28515625" customWidth="1"/>
    <col min="7175" max="7175" width="12" customWidth="1"/>
    <col min="7176" max="7176" width="11.7109375" customWidth="1"/>
    <col min="7177" max="7177" width="14.28515625" customWidth="1"/>
    <col min="7178" max="7178" width="14.85546875" customWidth="1"/>
    <col min="7181" max="7181" width="11.28515625" bestFit="1" customWidth="1"/>
    <col min="7186" max="7186" width="11.7109375" bestFit="1" customWidth="1"/>
    <col min="7426" max="7426" width="6" customWidth="1"/>
    <col min="7427" max="7427" width="11.5703125" customWidth="1"/>
    <col min="7428" max="7428" width="42.7109375" customWidth="1"/>
    <col min="7429" max="7429" width="6.5703125" customWidth="1"/>
    <col min="7430" max="7430" width="12.28515625" customWidth="1"/>
    <col min="7431" max="7431" width="12" customWidth="1"/>
    <col min="7432" max="7432" width="11.7109375" customWidth="1"/>
    <col min="7433" max="7433" width="14.28515625" customWidth="1"/>
    <col min="7434" max="7434" width="14.85546875" customWidth="1"/>
    <col min="7437" max="7437" width="11.28515625" bestFit="1" customWidth="1"/>
    <col min="7442" max="7442" width="11.7109375" bestFit="1" customWidth="1"/>
    <col min="7682" max="7682" width="6" customWidth="1"/>
    <col min="7683" max="7683" width="11.5703125" customWidth="1"/>
    <col min="7684" max="7684" width="42.7109375" customWidth="1"/>
    <col min="7685" max="7685" width="6.5703125" customWidth="1"/>
    <col min="7686" max="7686" width="12.28515625" customWidth="1"/>
    <col min="7687" max="7687" width="12" customWidth="1"/>
    <col min="7688" max="7688" width="11.7109375" customWidth="1"/>
    <col min="7689" max="7689" width="14.28515625" customWidth="1"/>
    <col min="7690" max="7690" width="14.85546875" customWidth="1"/>
    <col min="7693" max="7693" width="11.28515625" bestFit="1" customWidth="1"/>
    <col min="7698" max="7698" width="11.7109375" bestFit="1" customWidth="1"/>
    <col min="7938" max="7938" width="6" customWidth="1"/>
    <col min="7939" max="7939" width="11.5703125" customWidth="1"/>
    <col min="7940" max="7940" width="42.7109375" customWidth="1"/>
    <col min="7941" max="7941" width="6.5703125" customWidth="1"/>
    <col min="7942" max="7942" width="12.28515625" customWidth="1"/>
    <col min="7943" max="7943" width="12" customWidth="1"/>
    <col min="7944" max="7944" width="11.7109375" customWidth="1"/>
    <col min="7945" max="7945" width="14.28515625" customWidth="1"/>
    <col min="7946" max="7946" width="14.85546875" customWidth="1"/>
    <col min="7949" max="7949" width="11.28515625" bestFit="1" customWidth="1"/>
    <col min="7954" max="7954" width="11.7109375" bestFit="1" customWidth="1"/>
    <col min="8194" max="8194" width="6" customWidth="1"/>
    <col min="8195" max="8195" width="11.5703125" customWidth="1"/>
    <col min="8196" max="8196" width="42.7109375" customWidth="1"/>
    <col min="8197" max="8197" width="6.5703125" customWidth="1"/>
    <col min="8198" max="8198" width="12.28515625" customWidth="1"/>
    <col min="8199" max="8199" width="12" customWidth="1"/>
    <col min="8200" max="8200" width="11.7109375" customWidth="1"/>
    <col min="8201" max="8201" width="14.28515625" customWidth="1"/>
    <col min="8202" max="8202" width="14.85546875" customWidth="1"/>
    <col min="8205" max="8205" width="11.28515625" bestFit="1" customWidth="1"/>
    <col min="8210" max="8210" width="11.7109375" bestFit="1" customWidth="1"/>
    <col min="8450" max="8450" width="6" customWidth="1"/>
    <col min="8451" max="8451" width="11.5703125" customWidth="1"/>
    <col min="8452" max="8452" width="42.7109375" customWidth="1"/>
    <col min="8453" max="8453" width="6.5703125" customWidth="1"/>
    <col min="8454" max="8454" width="12.28515625" customWidth="1"/>
    <col min="8455" max="8455" width="12" customWidth="1"/>
    <col min="8456" max="8456" width="11.7109375" customWidth="1"/>
    <col min="8457" max="8457" width="14.28515625" customWidth="1"/>
    <col min="8458" max="8458" width="14.85546875" customWidth="1"/>
    <col min="8461" max="8461" width="11.28515625" bestFit="1" customWidth="1"/>
    <col min="8466" max="8466" width="11.7109375" bestFit="1" customWidth="1"/>
    <col min="8706" max="8706" width="6" customWidth="1"/>
    <col min="8707" max="8707" width="11.5703125" customWidth="1"/>
    <col min="8708" max="8708" width="42.7109375" customWidth="1"/>
    <col min="8709" max="8709" width="6.5703125" customWidth="1"/>
    <col min="8710" max="8710" width="12.28515625" customWidth="1"/>
    <col min="8711" max="8711" width="12" customWidth="1"/>
    <col min="8712" max="8712" width="11.7109375" customWidth="1"/>
    <col min="8713" max="8713" width="14.28515625" customWidth="1"/>
    <col min="8714" max="8714" width="14.85546875" customWidth="1"/>
    <col min="8717" max="8717" width="11.28515625" bestFit="1" customWidth="1"/>
    <col min="8722" max="8722" width="11.7109375" bestFit="1" customWidth="1"/>
    <col min="8962" max="8962" width="6" customWidth="1"/>
    <col min="8963" max="8963" width="11.5703125" customWidth="1"/>
    <col min="8964" max="8964" width="42.7109375" customWidth="1"/>
    <col min="8965" max="8965" width="6.5703125" customWidth="1"/>
    <col min="8966" max="8966" width="12.28515625" customWidth="1"/>
    <col min="8967" max="8967" width="12" customWidth="1"/>
    <col min="8968" max="8968" width="11.7109375" customWidth="1"/>
    <col min="8969" max="8969" width="14.28515625" customWidth="1"/>
    <col min="8970" max="8970" width="14.85546875" customWidth="1"/>
    <col min="8973" max="8973" width="11.28515625" bestFit="1" customWidth="1"/>
    <col min="8978" max="8978" width="11.7109375" bestFit="1" customWidth="1"/>
    <col min="9218" max="9218" width="6" customWidth="1"/>
    <col min="9219" max="9219" width="11.5703125" customWidth="1"/>
    <col min="9220" max="9220" width="42.7109375" customWidth="1"/>
    <col min="9221" max="9221" width="6.5703125" customWidth="1"/>
    <col min="9222" max="9222" width="12.28515625" customWidth="1"/>
    <col min="9223" max="9223" width="12" customWidth="1"/>
    <col min="9224" max="9224" width="11.7109375" customWidth="1"/>
    <col min="9225" max="9225" width="14.28515625" customWidth="1"/>
    <col min="9226" max="9226" width="14.85546875" customWidth="1"/>
    <col min="9229" max="9229" width="11.28515625" bestFit="1" customWidth="1"/>
    <col min="9234" max="9234" width="11.7109375" bestFit="1" customWidth="1"/>
    <col min="9474" max="9474" width="6" customWidth="1"/>
    <col min="9475" max="9475" width="11.5703125" customWidth="1"/>
    <col min="9476" max="9476" width="42.7109375" customWidth="1"/>
    <col min="9477" max="9477" width="6.5703125" customWidth="1"/>
    <col min="9478" max="9478" width="12.28515625" customWidth="1"/>
    <col min="9479" max="9479" width="12" customWidth="1"/>
    <col min="9480" max="9480" width="11.7109375" customWidth="1"/>
    <col min="9481" max="9481" width="14.28515625" customWidth="1"/>
    <col min="9482" max="9482" width="14.85546875" customWidth="1"/>
    <col min="9485" max="9485" width="11.28515625" bestFit="1" customWidth="1"/>
    <col min="9490" max="9490" width="11.7109375" bestFit="1" customWidth="1"/>
    <col min="9730" max="9730" width="6" customWidth="1"/>
    <col min="9731" max="9731" width="11.5703125" customWidth="1"/>
    <col min="9732" max="9732" width="42.7109375" customWidth="1"/>
    <col min="9733" max="9733" width="6.5703125" customWidth="1"/>
    <col min="9734" max="9734" width="12.28515625" customWidth="1"/>
    <col min="9735" max="9735" width="12" customWidth="1"/>
    <col min="9736" max="9736" width="11.7109375" customWidth="1"/>
    <col min="9737" max="9737" width="14.28515625" customWidth="1"/>
    <col min="9738" max="9738" width="14.85546875" customWidth="1"/>
    <col min="9741" max="9741" width="11.28515625" bestFit="1" customWidth="1"/>
    <col min="9746" max="9746" width="11.7109375" bestFit="1" customWidth="1"/>
    <col min="9986" max="9986" width="6" customWidth="1"/>
    <col min="9987" max="9987" width="11.5703125" customWidth="1"/>
    <col min="9988" max="9988" width="42.7109375" customWidth="1"/>
    <col min="9989" max="9989" width="6.5703125" customWidth="1"/>
    <col min="9990" max="9990" width="12.28515625" customWidth="1"/>
    <col min="9991" max="9991" width="12" customWidth="1"/>
    <col min="9992" max="9992" width="11.7109375" customWidth="1"/>
    <col min="9993" max="9993" width="14.28515625" customWidth="1"/>
    <col min="9994" max="9994" width="14.85546875" customWidth="1"/>
    <col min="9997" max="9997" width="11.28515625" bestFit="1" customWidth="1"/>
    <col min="10002" max="10002" width="11.7109375" bestFit="1" customWidth="1"/>
    <col min="10242" max="10242" width="6" customWidth="1"/>
    <col min="10243" max="10243" width="11.5703125" customWidth="1"/>
    <col min="10244" max="10244" width="42.7109375" customWidth="1"/>
    <col min="10245" max="10245" width="6.5703125" customWidth="1"/>
    <col min="10246" max="10246" width="12.28515625" customWidth="1"/>
    <col min="10247" max="10247" width="12" customWidth="1"/>
    <col min="10248" max="10248" width="11.7109375" customWidth="1"/>
    <col min="10249" max="10249" width="14.28515625" customWidth="1"/>
    <col min="10250" max="10250" width="14.85546875" customWidth="1"/>
    <col min="10253" max="10253" width="11.28515625" bestFit="1" customWidth="1"/>
    <col min="10258" max="10258" width="11.7109375" bestFit="1" customWidth="1"/>
    <col min="10498" max="10498" width="6" customWidth="1"/>
    <col min="10499" max="10499" width="11.5703125" customWidth="1"/>
    <col min="10500" max="10500" width="42.7109375" customWidth="1"/>
    <col min="10501" max="10501" width="6.5703125" customWidth="1"/>
    <col min="10502" max="10502" width="12.28515625" customWidth="1"/>
    <col min="10503" max="10503" width="12" customWidth="1"/>
    <col min="10504" max="10504" width="11.7109375" customWidth="1"/>
    <col min="10505" max="10505" width="14.28515625" customWidth="1"/>
    <col min="10506" max="10506" width="14.85546875" customWidth="1"/>
    <col min="10509" max="10509" width="11.28515625" bestFit="1" customWidth="1"/>
    <col min="10514" max="10514" width="11.7109375" bestFit="1" customWidth="1"/>
    <col min="10754" max="10754" width="6" customWidth="1"/>
    <col min="10755" max="10755" width="11.5703125" customWidth="1"/>
    <col min="10756" max="10756" width="42.7109375" customWidth="1"/>
    <col min="10757" max="10757" width="6.5703125" customWidth="1"/>
    <col min="10758" max="10758" width="12.28515625" customWidth="1"/>
    <col min="10759" max="10759" width="12" customWidth="1"/>
    <col min="10760" max="10760" width="11.7109375" customWidth="1"/>
    <col min="10761" max="10761" width="14.28515625" customWidth="1"/>
    <col min="10762" max="10762" width="14.85546875" customWidth="1"/>
    <col min="10765" max="10765" width="11.28515625" bestFit="1" customWidth="1"/>
    <col min="10770" max="10770" width="11.7109375" bestFit="1" customWidth="1"/>
    <col min="11010" max="11010" width="6" customWidth="1"/>
    <col min="11011" max="11011" width="11.5703125" customWidth="1"/>
    <col min="11012" max="11012" width="42.7109375" customWidth="1"/>
    <col min="11013" max="11013" width="6.5703125" customWidth="1"/>
    <col min="11014" max="11014" width="12.28515625" customWidth="1"/>
    <col min="11015" max="11015" width="12" customWidth="1"/>
    <col min="11016" max="11016" width="11.7109375" customWidth="1"/>
    <col min="11017" max="11017" width="14.28515625" customWidth="1"/>
    <col min="11018" max="11018" width="14.85546875" customWidth="1"/>
    <col min="11021" max="11021" width="11.28515625" bestFit="1" customWidth="1"/>
    <col min="11026" max="11026" width="11.7109375" bestFit="1" customWidth="1"/>
    <col min="11266" max="11266" width="6" customWidth="1"/>
    <col min="11267" max="11267" width="11.5703125" customWidth="1"/>
    <col min="11268" max="11268" width="42.7109375" customWidth="1"/>
    <col min="11269" max="11269" width="6.5703125" customWidth="1"/>
    <col min="11270" max="11270" width="12.28515625" customWidth="1"/>
    <col min="11271" max="11271" width="12" customWidth="1"/>
    <col min="11272" max="11272" width="11.7109375" customWidth="1"/>
    <col min="11273" max="11273" width="14.28515625" customWidth="1"/>
    <col min="11274" max="11274" width="14.85546875" customWidth="1"/>
    <col min="11277" max="11277" width="11.28515625" bestFit="1" customWidth="1"/>
    <col min="11282" max="11282" width="11.7109375" bestFit="1" customWidth="1"/>
    <col min="11522" max="11522" width="6" customWidth="1"/>
    <col min="11523" max="11523" width="11.5703125" customWidth="1"/>
    <col min="11524" max="11524" width="42.7109375" customWidth="1"/>
    <col min="11525" max="11525" width="6.5703125" customWidth="1"/>
    <col min="11526" max="11526" width="12.28515625" customWidth="1"/>
    <col min="11527" max="11527" width="12" customWidth="1"/>
    <col min="11528" max="11528" width="11.7109375" customWidth="1"/>
    <col min="11529" max="11529" width="14.28515625" customWidth="1"/>
    <col min="11530" max="11530" width="14.85546875" customWidth="1"/>
    <col min="11533" max="11533" width="11.28515625" bestFit="1" customWidth="1"/>
    <col min="11538" max="11538" width="11.7109375" bestFit="1" customWidth="1"/>
    <col min="11778" max="11778" width="6" customWidth="1"/>
    <col min="11779" max="11779" width="11.5703125" customWidth="1"/>
    <col min="11780" max="11780" width="42.7109375" customWidth="1"/>
    <col min="11781" max="11781" width="6.5703125" customWidth="1"/>
    <col min="11782" max="11782" width="12.28515625" customWidth="1"/>
    <col min="11783" max="11783" width="12" customWidth="1"/>
    <col min="11784" max="11784" width="11.7109375" customWidth="1"/>
    <col min="11785" max="11785" width="14.28515625" customWidth="1"/>
    <col min="11786" max="11786" width="14.85546875" customWidth="1"/>
    <col min="11789" max="11789" width="11.28515625" bestFit="1" customWidth="1"/>
    <col min="11794" max="11794" width="11.7109375" bestFit="1" customWidth="1"/>
    <col min="12034" max="12034" width="6" customWidth="1"/>
    <col min="12035" max="12035" width="11.5703125" customWidth="1"/>
    <col min="12036" max="12036" width="42.7109375" customWidth="1"/>
    <col min="12037" max="12037" width="6.5703125" customWidth="1"/>
    <col min="12038" max="12038" width="12.28515625" customWidth="1"/>
    <col min="12039" max="12039" width="12" customWidth="1"/>
    <col min="12040" max="12040" width="11.7109375" customWidth="1"/>
    <col min="12041" max="12041" width="14.28515625" customWidth="1"/>
    <col min="12042" max="12042" width="14.85546875" customWidth="1"/>
    <col min="12045" max="12045" width="11.28515625" bestFit="1" customWidth="1"/>
    <col min="12050" max="12050" width="11.7109375" bestFit="1" customWidth="1"/>
    <col min="12290" max="12290" width="6" customWidth="1"/>
    <col min="12291" max="12291" width="11.5703125" customWidth="1"/>
    <col min="12292" max="12292" width="42.7109375" customWidth="1"/>
    <col min="12293" max="12293" width="6.5703125" customWidth="1"/>
    <col min="12294" max="12294" width="12.28515625" customWidth="1"/>
    <col min="12295" max="12295" width="12" customWidth="1"/>
    <col min="12296" max="12296" width="11.7109375" customWidth="1"/>
    <col min="12297" max="12297" width="14.28515625" customWidth="1"/>
    <col min="12298" max="12298" width="14.85546875" customWidth="1"/>
    <col min="12301" max="12301" width="11.28515625" bestFit="1" customWidth="1"/>
    <col min="12306" max="12306" width="11.7109375" bestFit="1" customWidth="1"/>
    <col min="12546" max="12546" width="6" customWidth="1"/>
    <col min="12547" max="12547" width="11.5703125" customWidth="1"/>
    <col min="12548" max="12548" width="42.7109375" customWidth="1"/>
    <col min="12549" max="12549" width="6.5703125" customWidth="1"/>
    <col min="12550" max="12550" width="12.28515625" customWidth="1"/>
    <col min="12551" max="12551" width="12" customWidth="1"/>
    <col min="12552" max="12552" width="11.7109375" customWidth="1"/>
    <col min="12553" max="12553" width="14.28515625" customWidth="1"/>
    <col min="12554" max="12554" width="14.85546875" customWidth="1"/>
    <col min="12557" max="12557" width="11.28515625" bestFit="1" customWidth="1"/>
    <col min="12562" max="12562" width="11.7109375" bestFit="1" customWidth="1"/>
    <col min="12802" max="12802" width="6" customWidth="1"/>
    <col min="12803" max="12803" width="11.5703125" customWidth="1"/>
    <col min="12804" max="12804" width="42.7109375" customWidth="1"/>
    <col min="12805" max="12805" width="6.5703125" customWidth="1"/>
    <col min="12806" max="12806" width="12.28515625" customWidth="1"/>
    <col min="12807" max="12807" width="12" customWidth="1"/>
    <col min="12808" max="12808" width="11.7109375" customWidth="1"/>
    <col min="12809" max="12809" width="14.28515625" customWidth="1"/>
    <col min="12810" max="12810" width="14.85546875" customWidth="1"/>
    <col min="12813" max="12813" width="11.28515625" bestFit="1" customWidth="1"/>
    <col min="12818" max="12818" width="11.7109375" bestFit="1" customWidth="1"/>
    <col min="13058" max="13058" width="6" customWidth="1"/>
    <col min="13059" max="13059" width="11.5703125" customWidth="1"/>
    <col min="13060" max="13060" width="42.7109375" customWidth="1"/>
    <col min="13061" max="13061" width="6.5703125" customWidth="1"/>
    <col min="13062" max="13062" width="12.28515625" customWidth="1"/>
    <col min="13063" max="13063" width="12" customWidth="1"/>
    <col min="13064" max="13064" width="11.7109375" customWidth="1"/>
    <col min="13065" max="13065" width="14.28515625" customWidth="1"/>
    <col min="13066" max="13066" width="14.85546875" customWidth="1"/>
    <col min="13069" max="13069" width="11.28515625" bestFit="1" customWidth="1"/>
    <col min="13074" max="13074" width="11.7109375" bestFit="1" customWidth="1"/>
    <col min="13314" max="13314" width="6" customWidth="1"/>
    <col min="13315" max="13315" width="11.5703125" customWidth="1"/>
    <col min="13316" max="13316" width="42.7109375" customWidth="1"/>
    <col min="13317" max="13317" width="6.5703125" customWidth="1"/>
    <col min="13318" max="13318" width="12.28515625" customWidth="1"/>
    <col min="13319" max="13319" width="12" customWidth="1"/>
    <col min="13320" max="13320" width="11.7109375" customWidth="1"/>
    <col min="13321" max="13321" width="14.28515625" customWidth="1"/>
    <col min="13322" max="13322" width="14.85546875" customWidth="1"/>
    <col min="13325" max="13325" width="11.28515625" bestFit="1" customWidth="1"/>
    <col min="13330" max="13330" width="11.7109375" bestFit="1" customWidth="1"/>
    <col min="13570" max="13570" width="6" customWidth="1"/>
    <col min="13571" max="13571" width="11.5703125" customWidth="1"/>
    <col min="13572" max="13572" width="42.7109375" customWidth="1"/>
    <col min="13573" max="13573" width="6.5703125" customWidth="1"/>
    <col min="13574" max="13574" width="12.28515625" customWidth="1"/>
    <col min="13575" max="13575" width="12" customWidth="1"/>
    <col min="13576" max="13576" width="11.7109375" customWidth="1"/>
    <col min="13577" max="13577" width="14.28515625" customWidth="1"/>
    <col min="13578" max="13578" width="14.85546875" customWidth="1"/>
    <col min="13581" max="13581" width="11.28515625" bestFit="1" customWidth="1"/>
    <col min="13586" max="13586" width="11.7109375" bestFit="1" customWidth="1"/>
    <col min="13826" max="13826" width="6" customWidth="1"/>
    <col min="13827" max="13827" width="11.5703125" customWidth="1"/>
    <col min="13828" max="13828" width="42.7109375" customWidth="1"/>
    <col min="13829" max="13829" width="6.5703125" customWidth="1"/>
    <col min="13830" max="13830" width="12.28515625" customWidth="1"/>
    <col min="13831" max="13831" width="12" customWidth="1"/>
    <col min="13832" max="13832" width="11.7109375" customWidth="1"/>
    <col min="13833" max="13833" width="14.28515625" customWidth="1"/>
    <col min="13834" max="13834" width="14.85546875" customWidth="1"/>
    <col min="13837" max="13837" width="11.28515625" bestFit="1" customWidth="1"/>
    <col min="13842" max="13842" width="11.7109375" bestFit="1" customWidth="1"/>
    <col min="14082" max="14082" width="6" customWidth="1"/>
    <col min="14083" max="14083" width="11.5703125" customWidth="1"/>
    <col min="14084" max="14084" width="42.7109375" customWidth="1"/>
    <col min="14085" max="14085" width="6.5703125" customWidth="1"/>
    <col min="14086" max="14086" width="12.28515625" customWidth="1"/>
    <col min="14087" max="14087" width="12" customWidth="1"/>
    <col min="14088" max="14088" width="11.7109375" customWidth="1"/>
    <col min="14089" max="14089" width="14.28515625" customWidth="1"/>
    <col min="14090" max="14090" width="14.85546875" customWidth="1"/>
    <col min="14093" max="14093" width="11.28515625" bestFit="1" customWidth="1"/>
    <col min="14098" max="14098" width="11.7109375" bestFit="1" customWidth="1"/>
    <col min="14338" max="14338" width="6" customWidth="1"/>
    <col min="14339" max="14339" width="11.5703125" customWidth="1"/>
    <col min="14340" max="14340" width="42.7109375" customWidth="1"/>
    <col min="14341" max="14341" width="6.5703125" customWidth="1"/>
    <col min="14342" max="14342" width="12.28515625" customWidth="1"/>
    <col min="14343" max="14343" width="12" customWidth="1"/>
    <col min="14344" max="14344" width="11.7109375" customWidth="1"/>
    <col min="14345" max="14345" width="14.28515625" customWidth="1"/>
    <col min="14346" max="14346" width="14.85546875" customWidth="1"/>
    <col min="14349" max="14349" width="11.28515625" bestFit="1" customWidth="1"/>
    <col min="14354" max="14354" width="11.7109375" bestFit="1" customWidth="1"/>
    <col min="14594" max="14594" width="6" customWidth="1"/>
    <col min="14595" max="14595" width="11.5703125" customWidth="1"/>
    <col min="14596" max="14596" width="42.7109375" customWidth="1"/>
    <col min="14597" max="14597" width="6.5703125" customWidth="1"/>
    <col min="14598" max="14598" width="12.28515625" customWidth="1"/>
    <col min="14599" max="14599" width="12" customWidth="1"/>
    <col min="14600" max="14600" width="11.7109375" customWidth="1"/>
    <col min="14601" max="14601" width="14.28515625" customWidth="1"/>
    <col min="14602" max="14602" width="14.85546875" customWidth="1"/>
    <col min="14605" max="14605" width="11.28515625" bestFit="1" customWidth="1"/>
    <col min="14610" max="14610" width="11.7109375" bestFit="1" customWidth="1"/>
    <col min="14850" max="14850" width="6" customWidth="1"/>
    <col min="14851" max="14851" width="11.5703125" customWidth="1"/>
    <col min="14852" max="14852" width="42.7109375" customWidth="1"/>
    <col min="14853" max="14853" width="6.5703125" customWidth="1"/>
    <col min="14854" max="14854" width="12.28515625" customWidth="1"/>
    <col min="14855" max="14855" width="12" customWidth="1"/>
    <col min="14856" max="14856" width="11.7109375" customWidth="1"/>
    <col min="14857" max="14857" width="14.28515625" customWidth="1"/>
    <col min="14858" max="14858" width="14.85546875" customWidth="1"/>
    <col min="14861" max="14861" width="11.28515625" bestFit="1" customWidth="1"/>
    <col min="14866" max="14866" width="11.7109375" bestFit="1" customWidth="1"/>
    <col min="15106" max="15106" width="6" customWidth="1"/>
    <col min="15107" max="15107" width="11.5703125" customWidth="1"/>
    <col min="15108" max="15108" width="42.7109375" customWidth="1"/>
    <col min="15109" max="15109" width="6.5703125" customWidth="1"/>
    <col min="15110" max="15110" width="12.28515625" customWidth="1"/>
    <col min="15111" max="15111" width="12" customWidth="1"/>
    <col min="15112" max="15112" width="11.7109375" customWidth="1"/>
    <col min="15113" max="15113" width="14.28515625" customWidth="1"/>
    <col min="15114" max="15114" width="14.85546875" customWidth="1"/>
    <col min="15117" max="15117" width="11.28515625" bestFit="1" customWidth="1"/>
    <col min="15122" max="15122" width="11.7109375" bestFit="1" customWidth="1"/>
    <col min="15362" max="15362" width="6" customWidth="1"/>
    <col min="15363" max="15363" width="11.5703125" customWidth="1"/>
    <col min="15364" max="15364" width="42.7109375" customWidth="1"/>
    <col min="15365" max="15365" width="6.5703125" customWidth="1"/>
    <col min="15366" max="15366" width="12.28515625" customWidth="1"/>
    <col min="15367" max="15367" width="12" customWidth="1"/>
    <col min="15368" max="15368" width="11.7109375" customWidth="1"/>
    <col min="15369" max="15369" width="14.28515625" customWidth="1"/>
    <col min="15370" max="15370" width="14.85546875" customWidth="1"/>
    <col min="15373" max="15373" width="11.28515625" bestFit="1" customWidth="1"/>
    <col min="15378" max="15378" width="11.7109375" bestFit="1" customWidth="1"/>
    <col min="15618" max="15618" width="6" customWidth="1"/>
    <col min="15619" max="15619" width="11.5703125" customWidth="1"/>
    <col min="15620" max="15620" width="42.7109375" customWidth="1"/>
    <col min="15621" max="15621" width="6.5703125" customWidth="1"/>
    <col min="15622" max="15622" width="12.28515625" customWidth="1"/>
    <col min="15623" max="15623" width="12" customWidth="1"/>
    <col min="15624" max="15624" width="11.7109375" customWidth="1"/>
    <col min="15625" max="15625" width="14.28515625" customWidth="1"/>
    <col min="15626" max="15626" width="14.85546875" customWidth="1"/>
    <col min="15629" max="15629" width="11.28515625" bestFit="1" customWidth="1"/>
    <col min="15634" max="15634" width="11.7109375" bestFit="1" customWidth="1"/>
    <col min="15874" max="15874" width="6" customWidth="1"/>
    <col min="15875" max="15875" width="11.5703125" customWidth="1"/>
    <col min="15876" max="15876" width="42.7109375" customWidth="1"/>
    <col min="15877" max="15877" width="6.5703125" customWidth="1"/>
    <col min="15878" max="15878" width="12.28515625" customWidth="1"/>
    <col min="15879" max="15879" width="12" customWidth="1"/>
    <col min="15880" max="15880" width="11.7109375" customWidth="1"/>
    <col min="15881" max="15881" width="14.28515625" customWidth="1"/>
    <col min="15882" max="15882" width="14.85546875" customWidth="1"/>
    <col min="15885" max="15885" width="11.28515625" bestFit="1" customWidth="1"/>
    <col min="15890" max="15890" width="11.7109375" bestFit="1" customWidth="1"/>
    <col min="16130" max="16130" width="6" customWidth="1"/>
    <col min="16131" max="16131" width="11.5703125" customWidth="1"/>
    <col min="16132" max="16132" width="42.7109375" customWidth="1"/>
    <col min="16133" max="16133" width="6.5703125" customWidth="1"/>
    <col min="16134" max="16134" width="12.28515625" customWidth="1"/>
    <col min="16135" max="16135" width="12" customWidth="1"/>
    <col min="16136" max="16136" width="11.7109375" customWidth="1"/>
    <col min="16137" max="16137" width="14.28515625" customWidth="1"/>
    <col min="16138" max="16138" width="14.85546875" customWidth="1"/>
    <col min="16141" max="16141" width="11.28515625" bestFit="1" customWidth="1"/>
    <col min="16146" max="16146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</row>
    <row r="6" spans="1:14" x14ac:dyDescent="0.25">
      <c r="A6" t="s">
        <v>167</v>
      </c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150" t="s">
        <v>23</v>
      </c>
      <c r="J7" s="4" t="s">
        <v>10</v>
      </c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378"/>
      <c r="J8" s="7"/>
    </row>
    <row r="9" spans="1:14" ht="17.25" customHeight="1" x14ac:dyDescent="0.25">
      <c r="A9" s="14">
        <v>1</v>
      </c>
      <c r="B9" s="8">
        <v>45838</v>
      </c>
      <c r="C9" s="46" t="s">
        <v>168</v>
      </c>
      <c r="D9" s="214" t="s">
        <v>214</v>
      </c>
      <c r="E9" s="30">
        <v>1200</v>
      </c>
      <c r="F9" s="27"/>
      <c r="G9" s="18">
        <f>+G8+E9-F9</f>
        <v>1200</v>
      </c>
      <c r="H9" s="28" t="s">
        <v>91</v>
      </c>
      <c r="I9" s="382">
        <v>440</v>
      </c>
      <c r="J9" s="7" t="s">
        <v>177</v>
      </c>
      <c r="M9" t="s">
        <v>320</v>
      </c>
    </row>
    <row r="10" spans="1:14" ht="17.25" customHeight="1" x14ac:dyDescent="0.25">
      <c r="A10" s="14">
        <f t="shared" ref="A10:A73" si="0">+A9+1</f>
        <v>2</v>
      </c>
      <c r="B10" s="8">
        <v>45857</v>
      </c>
      <c r="C10" s="46" t="s">
        <v>168</v>
      </c>
      <c r="D10" s="214" t="s">
        <v>214</v>
      </c>
      <c r="E10" s="30"/>
      <c r="F10" s="27">
        <v>3</v>
      </c>
      <c r="G10" s="18">
        <f t="shared" ref="G10:G73" si="1">+G9+E10-F10</f>
        <v>1197</v>
      </c>
      <c r="H10" s="28" t="s">
        <v>91</v>
      </c>
      <c r="I10" s="382"/>
      <c r="J10" s="7" t="s">
        <v>90</v>
      </c>
    </row>
    <row r="11" spans="1:14" ht="18" customHeight="1" x14ac:dyDescent="0.25">
      <c r="A11" s="14">
        <f t="shared" si="0"/>
        <v>3</v>
      </c>
      <c r="B11" s="8">
        <v>45873</v>
      </c>
      <c r="C11" s="46" t="s">
        <v>168</v>
      </c>
      <c r="D11" s="214" t="s">
        <v>214</v>
      </c>
      <c r="E11" s="16"/>
      <c r="F11" s="27">
        <v>500</v>
      </c>
      <c r="G11" s="18">
        <f t="shared" si="1"/>
        <v>697</v>
      </c>
      <c r="H11" s="28" t="s">
        <v>91</v>
      </c>
      <c r="I11" s="382"/>
      <c r="J11" s="7" t="s">
        <v>90</v>
      </c>
      <c r="K11" s="26"/>
    </row>
    <row r="12" spans="1:14" ht="18" customHeight="1" x14ac:dyDescent="0.25">
      <c r="A12" s="14">
        <f t="shared" si="0"/>
        <v>4</v>
      </c>
      <c r="B12" s="8">
        <v>45875</v>
      </c>
      <c r="C12" s="46" t="s">
        <v>168</v>
      </c>
      <c r="D12" s="214" t="s">
        <v>214</v>
      </c>
      <c r="E12" s="16"/>
      <c r="F12" s="17">
        <v>130</v>
      </c>
      <c r="G12" s="18">
        <f t="shared" si="1"/>
        <v>567</v>
      </c>
      <c r="H12" s="28" t="s">
        <v>140</v>
      </c>
      <c r="I12" s="382"/>
      <c r="J12" s="361">
        <f>87/180</f>
        <v>0.48333333333333334</v>
      </c>
      <c r="K12" s="26"/>
    </row>
    <row r="13" spans="1:14" ht="18" customHeight="1" x14ac:dyDescent="0.25">
      <c r="A13" s="14">
        <f t="shared" si="0"/>
        <v>5</v>
      </c>
      <c r="B13" s="8">
        <v>45880</v>
      </c>
      <c r="C13" s="46" t="s">
        <v>168</v>
      </c>
      <c r="D13" s="214" t="s">
        <v>214</v>
      </c>
      <c r="E13" s="16"/>
      <c r="F13" s="27">
        <v>200</v>
      </c>
      <c r="G13" s="18">
        <f t="shared" si="1"/>
        <v>367</v>
      </c>
      <c r="H13" s="28" t="s">
        <v>140</v>
      </c>
      <c r="I13" s="382"/>
      <c r="J13" s="7" t="s">
        <v>90</v>
      </c>
    </row>
    <row r="14" spans="1:14" ht="18" customHeight="1" x14ac:dyDescent="0.25">
      <c r="A14" s="14">
        <f t="shared" si="0"/>
        <v>6</v>
      </c>
      <c r="B14" s="8">
        <v>45881</v>
      </c>
      <c r="C14" s="46" t="s">
        <v>168</v>
      </c>
      <c r="D14" s="214" t="s">
        <v>214</v>
      </c>
      <c r="E14" s="16"/>
      <c r="F14" s="27">
        <v>212</v>
      </c>
      <c r="G14" s="18">
        <f t="shared" si="1"/>
        <v>155</v>
      </c>
      <c r="H14" s="28" t="s">
        <v>140</v>
      </c>
      <c r="I14" s="382"/>
      <c r="J14" s="7" t="s">
        <v>90</v>
      </c>
      <c r="K14" s="26"/>
    </row>
    <row r="15" spans="1:14" ht="18" customHeight="1" x14ac:dyDescent="0.25">
      <c r="A15" s="14">
        <f t="shared" si="0"/>
        <v>7</v>
      </c>
      <c r="B15" s="8">
        <v>45882</v>
      </c>
      <c r="C15" s="46" t="s">
        <v>168</v>
      </c>
      <c r="D15" s="214" t="s">
        <v>214</v>
      </c>
      <c r="E15" s="16"/>
      <c r="F15" s="27">
        <v>90</v>
      </c>
      <c r="G15" s="18">
        <f t="shared" si="1"/>
        <v>65</v>
      </c>
      <c r="H15" s="28" t="s">
        <v>140</v>
      </c>
      <c r="I15" s="382"/>
      <c r="J15" s="362">
        <f>133/210</f>
        <v>0.6333333333333333</v>
      </c>
      <c r="N15">
        <f>209-178</f>
        <v>31</v>
      </c>
    </row>
    <row r="16" spans="1:14" ht="18" customHeight="1" x14ac:dyDescent="0.25">
      <c r="A16" s="14">
        <f t="shared" si="0"/>
        <v>8</v>
      </c>
      <c r="B16" s="8">
        <v>45906</v>
      </c>
      <c r="C16" s="46" t="s">
        <v>168</v>
      </c>
      <c r="D16" s="214" t="s">
        <v>214</v>
      </c>
      <c r="E16" s="30">
        <v>140</v>
      </c>
      <c r="F16" s="27"/>
      <c r="G16" s="18">
        <f t="shared" si="1"/>
        <v>205</v>
      </c>
      <c r="H16" s="28" t="s">
        <v>91</v>
      </c>
      <c r="I16" s="382"/>
      <c r="J16" s="7" t="s">
        <v>90</v>
      </c>
    </row>
    <row r="17" spans="1:17" ht="18" customHeight="1" x14ac:dyDescent="0.25">
      <c r="A17" s="14">
        <f t="shared" si="0"/>
        <v>9</v>
      </c>
      <c r="B17" s="8">
        <v>45916</v>
      </c>
      <c r="C17" s="46" t="s">
        <v>168</v>
      </c>
      <c r="D17" s="214" t="s">
        <v>214</v>
      </c>
      <c r="E17" s="30"/>
      <c r="F17" s="27">
        <v>205</v>
      </c>
      <c r="G17" s="18">
        <f t="shared" si="1"/>
        <v>0</v>
      </c>
      <c r="H17" s="28" t="s">
        <v>91</v>
      </c>
      <c r="I17" s="382"/>
      <c r="J17" s="7" t="s">
        <v>90</v>
      </c>
    </row>
    <row r="18" spans="1:17" s="230" customFormat="1" ht="18" customHeight="1" x14ac:dyDescent="0.25">
      <c r="A18" s="14">
        <f t="shared" si="0"/>
        <v>10</v>
      </c>
      <c r="B18" s="224">
        <v>45927</v>
      </c>
      <c r="C18" s="46" t="s">
        <v>168</v>
      </c>
      <c r="D18" s="214" t="s">
        <v>214</v>
      </c>
      <c r="E18" s="227">
        <v>960</v>
      </c>
      <c r="F18" s="228"/>
      <c r="G18" s="18">
        <f t="shared" si="1"/>
        <v>960</v>
      </c>
      <c r="H18" s="28" t="s">
        <v>91</v>
      </c>
      <c r="I18" s="382">
        <v>447</v>
      </c>
      <c r="J18" s="7" t="s">
        <v>90</v>
      </c>
      <c r="K18" s="436">
        <f>+I18/E18</f>
        <v>0.46562500000000001</v>
      </c>
    </row>
    <row r="19" spans="1:17" s="230" customFormat="1" ht="18" customHeight="1" x14ac:dyDescent="0.25">
      <c r="A19" s="14">
        <f t="shared" si="0"/>
        <v>11</v>
      </c>
      <c r="B19" s="224">
        <v>45937</v>
      </c>
      <c r="C19" s="46" t="s">
        <v>168</v>
      </c>
      <c r="D19" s="214" t="s">
        <v>214</v>
      </c>
      <c r="E19" s="231"/>
      <c r="F19" s="228">
        <f>230-131</f>
        <v>99</v>
      </c>
      <c r="G19" s="18">
        <f t="shared" si="1"/>
        <v>861</v>
      </c>
      <c r="H19" s="28" t="s">
        <v>91</v>
      </c>
      <c r="I19" s="382"/>
      <c r="J19" s="7" t="s">
        <v>90</v>
      </c>
    </row>
    <row r="20" spans="1:17" ht="18" customHeight="1" x14ac:dyDescent="0.25">
      <c r="A20" s="14">
        <f t="shared" si="0"/>
        <v>12</v>
      </c>
      <c r="B20" s="8"/>
      <c r="C20" s="46" t="s">
        <v>168</v>
      </c>
      <c r="D20" s="214" t="s">
        <v>214</v>
      </c>
      <c r="E20" s="32"/>
      <c r="F20" s="17"/>
      <c r="G20" s="18">
        <f t="shared" si="1"/>
        <v>861</v>
      </c>
      <c r="H20" s="28" t="s">
        <v>91</v>
      </c>
      <c r="I20" s="382"/>
      <c r="J20" s="7" t="s">
        <v>90</v>
      </c>
      <c r="O20" s="26"/>
    </row>
    <row r="21" spans="1:17" ht="18" customHeight="1" x14ac:dyDescent="0.25">
      <c r="A21" s="14">
        <f t="shared" si="0"/>
        <v>13</v>
      </c>
      <c r="B21" s="8"/>
      <c r="C21" s="46" t="s">
        <v>168</v>
      </c>
      <c r="D21" s="214" t="s">
        <v>214</v>
      </c>
      <c r="E21" s="32"/>
      <c r="F21" s="27"/>
      <c r="G21" s="18">
        <f t="shared" si="1"/>
        <v>861</v>
      </c>
      <c r="H21" s="28" t="s">
        <v>91</v>
      </c>
      <c r="I21" s="382"/>
      <c r="J21" s="7" t="s">
        <v>90</v>
      </c>
    </row>
    <row r="22" spans="1:17" ht="18" customHeight="1" x14ac:dyDescent="0.25">
      <c r="A22" s="14">
        <f t="shared" si="0"/>
        <v>14</v>
      </c>
      <c r="B22" s="232"/>
      <c r="C22" s="46" t="s">
        <v>168</v>
      </c>
      <c r="D22" s="214" t="s">
        <v>214</v>
      </c>
      <c r="E22" s="235"/>
      <c r="F22" s="172"/>
      <c r="G22" s="18">
        <f t="shared" si="1"/>
        <v>861</v>
      </c>
      <c r="H22" s="28" t="s">
        <v>129</v>
      </c>
      <c r="I22" s="383"/>
      <c r="J22" s="363" t="s">
        <v>263</v>
      </c>
      <c r="K22" s="364" t="s">
        <v>267</v>
      </c>
      <c r="L22" s="364"/>
      <c r="M22" s="364"/>
      <c r="N22" s="364"/>
    </row>
    <row r="23" spans="1:17" ht="18" customHeight="1" x14ac:dyDescent="0.25">
      <c r="A23" s="14">
        <f t="shared" si="0"/>
        <v>15</v>
      </c>
      <c r="B23" s="8"/>
      <c r="C23" s="46" t="s">
        <v>168</v>
      </c>
      <c r="D23" s="214" t="s">
        <v>214</v>
      </c>
      <c r="E23" s="32"/>
      <c r="F23" s="17"/>
      <c r="G23" s="18">
        <f t="shared" si="1"/>
        <v>861</v>
      </c>
      <c r="H23" s="28" t="s">
        <v>129</v>
      </c>
      <c r="I23" s="382"/>
      <c r="J23" s="7" t="s">
        <v>142</v>
      </c>
    </row>
    <row r="24" spans="1:17" ht="18" customHeight="1" x14ac:dyDescent="0.25">
      <c r="A24" s="14">
        <f t="shared" si="0"/>
        <v>16</v>
      </c>
      <c r="B24" s="8"/>
      <c r="C24" s="46" t="s">
        <v>168</v>
      </c>
      <c r="D24" s="214" t="s">
        <v>214</v>
      </c>
      <c r="E24" s="32"/>
      <c r="F24" s="17"/>
      <c r="G24" s="18">
        <f t="shared" si="1"/>
        <v>861</v>
      </c>
      <c r="H24" s="28" t="s">
        <v>91</v>
      </c>
      <c r="I24" s="382"/>
      <c r="J24" s="7" t="s">
        <v>90</v>
      </c>
      <c r="M24" s="360">
        <f>512/1090</f>
        <v>0.46972477064220186</v>
      </c>
    </row>
    <row r="25" spans="1:17" ht="18" customHeight="1" x14ac:dyDescent="0.25">
      <c r="A25" s="158">
        <f t="shared" si="0"/>
        <v>17</v>
      </c>
      <c r="B25" s="174"/>
      <c r="C25" s="236" t="s">
        <v>168</v>
      </c>
      <c r="D25" s="237" t="s">
        <v>214</v>
      </c>
      <c r="E25" s="175"/>
      <c r="F25" s="172"/>
      <c r="G25" s="238">
        <f t="shared" si="1"/>
        <v>861</v>
      </c>
      <c r="H25" s="239" t="s">
        <v>91</v>
      </c>
      <c r="I25" s="384"/>
      <c r="J25" s="271">
        <f>30/120</f>
        <v>0.25</v>
      </c>
      <c r="K25" t="s">
        <v>262</v>
      </c>
    </row>
    <row r="26" spans="1:17" ht="18" customHeight="1" x14ac:dyDescent="0.25">
      <c r="A26" s="14">
        <f t="shared" si="0"/>
        <v>18</v>
      </c>
      <c r="B26" s="8"/>
      <c r="C26" s="236" t="s">
        <v>168</v>
      </c>
      <c r="D26" s="214" t="s">
        <v>214</v>
      </c>
      <c r="E26" s="32"/>
      <c r="F26" s="17"/>
      <c r="G26" s="18">
        <f t="shared" si="1"/>
        <v>861</v>
      </c>
      <c r="H26" s="28" t="s">
        <v>91</v>
      </c>
      <c r="I26" s="382"/>
      <c r="J26" s="7" t="s">
        <v>90</v>
      </c>
    </row>
    <row r="27" spans="1:17" ht="18" customHeight="1" x14ac:dyDescent="0.25">
      <c r="A27" s="14">
        <f t="shared" si="0"/>
        <v>19</v>
      </c>
      <c r="B27" s="8"/>
      <c r="C27" s="236" t="s">
        <v>168</v>
      </c>
      <c r="D27" s="214" t="s">
        <v>214</v>
      </c>
      <c r="E27" s="32"/>
      <c r="F27" s="17"/>
      <c r="G27" s="18">
        <f t="shared" si="1"/>
        <v>861</v>
      </c>
      <c r="H27" s="28" t="s">
        <v>91</v>
      </c>
      <c r="I27" s="382"/>
      <c r="J27" s="7" t="s">
        <v>90</v>
      </c>
    </row>
    <row r="28" spans="1:17" ht="18" customHeight="1" x14ac:dyDescent="0.25">
      <c r="A28" s="14">
        <f t="shared" si="0"/>
        <v>20</v>
      </c>
      <c r="B28" s="8"/>
      <c r="C28" s="236" t="s">
        <v>168</v>
      </c>
      <c r="D28" s="214" t="s">
        <v>214</v>
      </c>
      <c r="E28" s="129"/>
      <c r="F28" s="17"/>
      <c r="G28" s="18">
        <f t="shared" si="1"/>
        <v>861</v>
      </c>
      <c r="H28" s="28" t="s">
        <v>91</v>
      </c>
      <c r="I28" s="382"/>
      <c r="J28" s="7" t="s">
        <v>90</v>
      </c>
    </row>
    <row r="29" spans="1:17" ht="18" customHeight="1" x14ac:dyDescent="0.25">
      <c r="A29" s="14">
        <f t="shared" si="0"/>
        <v>21</v>
      </c>
      <c r="B29" s="8"/>
      <c r="C29" s="236" t="s">
        <v>168</v>
      </c>
      <c r="D29" s="214" t="s">
        <v>214</v>
      </c>
      <c r="E29" s="32"/>
      <c r="F29" s="172"/>
      <c r="G29" s="18">
        <f t="shared" si="1"/>
        <v>861</v>
      </c>
      <c r="H29" s="28" t="s">
        <v>91</v>
      </c>
      <c r="I29" s="382"/>
      <c r="J29" s="7" t="s">
        <v>90</v>
      </c>
    </row>
    <row r="30" spans="1:17" ht="18" customHeight="1" x14ac:dyDescent="0.25">
      <c r="A30" s="14">
        <f t="shared" si="0"/>
        <v>22</v>
      </c>
      <c r="B30" s="8"/>
      <c r="C30" s="236" t="s">
        <v>168</v>
      </c>
      <c r="D30" s="214" t="s">
        <v>214</v>
      </c>
      <c r="E30" s="32"/>
      <c r="F30" s="17"/>
      <c r="G30" s="18">
        <f t="shared" si="1"/>
        <v>861</v>
      </c>
      <c r="H30" s="28" t="s">
        <v>91</v>
      </c>
      <c r="I30" s="382"/>
      <c r="J30" s="7" t="s">
        <v>90</v>
      </c>
      <c r="Q30">
        <f>1000-542</f>
        <v>458</v>
      </c>
    </row>
    <row r="31" spans="1:17" ht="18" customHeight="1" x14ac:dyDescent="0.25">
      <c r="A31" s="14">
        <f t="shared" si="0"/>
        <v>23</v>
      </c>
      <c r="B31" s="8"/>
      <c r="C31" s="236" t="s">
        <v>168</v>
      </c>
      <c r="D31" s="214" t="s">
        <v>214</v>
      </c>
      <c r="E31" s="32"/>
      <c r="F31" s="17"/>
      <c r="G31" s="18">
        <f t="shared" si="1"/>
        <v>861</v>
      </c>
      <c r="H31" s="28" t="s">
        <v>91</v>
      </c>
      <c r="I31" s="382"/>
      <c r="J31" s="7" t="s">
        <v>90</v>
      </c>
    </row>
    <row r="32" spans="1:17" ht="17.25" customHeight="1" x14ac:dyDescent="0.25">
      <c r="A32" s="14">
        <f t="shared" si="0"/>
        <v>24</v>
      </c>
      <c r="B32" s="8"/>
      <c r="C32" s="236" t="s">
        <v>168</v>
      </c>
      <c r="D32" s="214" t="s">
        <v>214</v>
      </c>
      <c r="E32" s="365"/>
      <c r="F32" s="17"/>
      <c r="G32" s="18">
        <f t="shared" si="1"/>
        <v>861</v>
      </c>
      <c r="H32" s="28" t="s">
        <v>91</v>
      </c>
      <c r="I32" s="382"/>
      <c r="J32" s="7" t="s">
        <v>270</v>
      </c>
    </row>
    <row r="33" spans="1:17" ht="17.25" customHeight="1" x14ac:dyDescent="0.25">
      <c r="A33" s="14">
        <f t="shared" si="0"/>
        <v>25</v>
      </c>
      <c r="B33" s="44"/>
      <c r="C33" s="46"/>
      <c r="D33" s="214" t="s">
        <v>214</v>
      </c>
      <c r="E33" s="13"/>
      <c r="F33" s="17"/>
      <c r="G33" s="18">
        <f t="shared" si="1"/>
        <v>861</v>
      </c>
      <c r="H33" s="178"/>
      <c r="I33" s="385"/>
      <c r="J33" s="7"/>
    </row>
    <row r="34" spans="1:17" ht="18" customHeight="1" x14ac:dyDescent="0.25">
      <c r="A34" s="14">
        <f t="shared" si="0"/>
        <v>26</v>
      </c>
      <c r="B34" s="8"/>
      <c r="C34" s="46"/>
      <c r="D34" s="214" t="s">
        <v>214</v>
      </c>
      <c r="E34" s="32"/>
      <c r="F34" s="40"/>
      <c r="G34" s="18">
        <f t="shared" si="1"/>
        <v>861</v>
      </c>
      <c r="H34" s="178"/>
      <c r="I34" s="385"/>
      <c r="J34" s="7"/>
    </row>
    <row r="35" spans="1:17" ht="18" customHeight="1" x14ac:dyDescent="0.25">
      <c r="A35" s="14">
        <f t="shared" si="0"/>
        <v>27</v>
      </c>
      <c r="B35" s="45"/>
      <c r="C35" s="46"/>
      <c r="D35" s="214" t="s">
        <v>214</v>
      </c>
      <c r="E35" s="32"/>
      <c r="F35" s="40"/>
      <c r="G35" s="18">
        <f t="shared" si="1"/>
        <v>861</v>
      </c>
      <c r="H35" s="178"/>
      <c r="I35" s="385"/>
      <c r="J35" s="7"/>
      <c r="N35">
        <f>74-25</f>
        <v>49</v>
      </c>
    </row>
    <row r="36" spans="1:17" ht="18" customHeight="1" x14ac:dyDescent="0.25">
      <c r="A36" s="14">
        <f t="shared" si="0"/>
        <v>28</v>
      </c>
      <c r="B36" s="8"/>
      <c r="C36" s="46"/>
      <c r="D36" s="214" t="s">
        <v>214</v>
      </c>
      <c r="E36" s="32"/>
      <c r="F36" s="40"/>
      <c r="G36" s="18">
        <f t="shared" si="1"/>
        <v>861</v>
      </c>
      <c r="H36" s="178"/>
      <c r="I36" s="385"/>
      <c r="J36" s="7"/>
    </row>
    <row r="37" spans="1:17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17"/>
      <c r="G37" s="18">
        <f t="shared" si="1"/>
        <v>861</v>
      </c>
      <c r="H37" s="178"/>
      <c r="I37" s="385"/>
      <c r="J37" s="7"/>
      <c r="L37">
        <f>911-338</f>
        <v>573</v>
      </c>
    </row>
    <row r="38" spans="1:17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861</v>
      </c>
      <c r="H38" s="178"/>
      <c r="I38" s="385"/>
      <c r="J38" s="7"/>
      <c r="L38">
        <f>+L37-314</f>
        <v>259</v>
      </c>
    </row>
    <row r="39" spans="1:17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861</v>
      </c>
      <c r="H39" s="178"/>
      <c r="I39" s="385"/>
      <c r="J39" s="7"/>
    </row>
    <row r="40" spans="1:17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861</v>
      </c>
      <c r="H40" s="178"/>
      <c r="I40" s="385"/>
      <c r="J40" s="7"/>
    </row>
    <row r="41" spans="1:17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2"/>
      <c r="G41" s="18">
        <f t="shared" si="1"/>
        <v>861</v>
      </c>
      <c r="H41" s="178"/>
      <c r="I41" s="385"/>
      <c r="J41" s="7"/>
      <c r="Q41" s="162"/>
    </row>
    <row r="42" spans="1:17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"/>
      <c r="G42" s="18">
        <f t="shared" si="1"/>
        <v>861</v>
      </c>
      <c r="H42" s="178"/>
      <c r="I42" s="385"/>
      <c r="J42" s="7"/>
    </row>
    <row r="43" spans="1:17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861</v>
      </c>
      <c r="H43" s="178"/>
      <c r="I43" s="385"/>
      <c r="J43" s="7"/>
      <c r="M43">
        <f>2850/29</f>
        <v>98.275862068965523</v>
      </c>
    </row>
    <row r="44" spans="1:17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861</v>
      </c>
      <c r="H44" s="178"/>
      <c r="I44" s="385"/>
      <c r="J44" s="7"/>
    </row>
    <row r="45" spans="1:17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861</v>
      </c>
      <c r="H45" s="178"/>
      <c r="I45" s="385"/>
      <c r="J45" s="29"/>
    </row>
    <row r="46" spans="1:17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861</v>
      </c>
      <c r="H46" s="178"/>
      <c r="I46" s="385"/>
      <c r="J46" s="29"/>
      <c r="M46">
        <f>37*10</f>
        <v>370</v>
      </c>
    </row>
    <row r="47" spans="1:17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861</v>
      </c>
      <c r="H47" s="178"/>
      <c r="I47" s="385"/>
      <c r="J47" s="29"/>
      <c r="M47">
        <f>+M46*10</f>
        <v>3700</v>
      </c>
    </row>
    <row r="48" spans="1:17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861</v>
      </c>
      <c r="H48" s="178"/>
      <c r="I48" s="385"/>
      <c r="J48" s="29"/>
      <c r="M48">
        <f>+M47*97</f>
        <v>358900</v>
      </c>
      <c r="N48" s="149"/>
    </row>
    <row r="49" spans="1:17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861</v>
      </c>
      <c r="H49" s="178"/>
      <c r="I49" s="385"/>
      <c r="J49" s="7"/>
      <c r="M49">
        <f>+M48/2813</f>
        <v>127.58620689655173</v>
      </c>
    </row>
    <row r="50" spans="1:17" s="162" customFormat="1" ht="18" customHeight="1" x14ac:dyDescent="0.25">
      <c r="A50" s="14">
        <f t="shared" si="0"/>
        <v>42</v>
      </c>
      <c r="B50" s="174"/>
      <c r="C50" s="236"/>
      <c r="D50" s="214" t="s">
        <v>214</v>
      </c>
      <c r="E50" s="175"/>
      <c r="F50" s="172"/>
      <c r="G50" s="18">
        <f t="shared" si="1"/>
        <v>861</v>
      </c>
      <c r="H50" s="178"/>
      <c r="I50" s="385"/>
      <c r="J50" s="7"/>
      <c r="Q50"/>
    </row>
    <row r="51" spans="1:17" ht="18" customHeight="1" x14ac:dyDescent="0.25">
      <c r="A51" s="14">
        <f t="shared" si="0"/>
        <v>43</v>
      </c>
      <c r="B51" s="8"/>
      <c r="C51" s="46"/>
      <c r="D51" s="214" t="s">
        <v>214</v>
      </c>
      <c r="E51" s="32"/>
      <c r="F51" s="17"/>
      <c r="G51" s="18">
        <f t="shared" si="1"/>
        <v>861</v>
      </c>
      <c r="H51" s="239"/>
      <c r="I51" s="384"/>
      <c r="J51" s="7"/>
    </row>
    <row r="52" spans="1:17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861</v>
      </c>
      <c r="H52" s="239"/>
      <c r="I52" s="384"/>
      <c r="J52" s="7"/>
    </row>
    <row r="53" spans="1:17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861</v>
      </c>
      <c r="H53" s="239"/>
      <c r="I53" s="384"/>
      <c r="J53" s="7"/>
    </row>
    <row r="54" spans="1:17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861</v>
      </c>
      <c r="H54" s="28"/>
      <c r="I54" s="382"/>
      <c r="J54" s="7"/>
    </row>
    <row r="55" spans="1:17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861</v>
      </c>
      <c r="H55" s="240"/>
      <c r="I55" s="386"/>
      <c r="J55" s="7"/>
    </row>
    <row r="56" spans="1:17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861</v>
      </c>
      <c r="H56" s="240"/>
      <c r="I56" s="386"/>
      <c r="J56" s="7"/>
    </row>
    <row r="57" spans="1:17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861</v>
      </c>
      <c r="H57" s="240"/>
      <c r="I57" s="386"/>
      <c r="J57" s="7" t="s">
        <v>14</v>
      </c>
    </row>
    <row r="58" spans="1:17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861</v>
      </c>
      <c r="H58" s="240"/>
      <c r="I58" s="386"/>
      <c r="J58" s="7" t="s">
        <v>14</v>
      </c>
    </row>
    <row r="59" spans="1:17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861</v>
      </c>
      <c r="H59" s="240"/>
      <c r="I59" s="386"/>
      <c r="J59" s="7" t="s">
        <v>14</v>
      </c>
    </row>
    <row r="60" spans="1:17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861</v>
      </c>
      <c r="H60" s="240"/>
      <c r="I60" s="386"/>
      <c r="J60" s="7" t="s">
        <v>14</v>
      </c>
    </row>
    <row r="61" spans="1:17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861</v>
      </c>
      <c r="H61" s="240"/>
      <c r="I61" s="386"/>
      <c r="J61" s="7" t="s">
        <v>14</v>
      </c>
    </row>
    <row r="62" spans="1:17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861</v>
      </c>
      <c r="H62" s="240"/>
      <c r="I62" s="386"/>
      <c r="J62" s="7" t="s">
        <v>14</v>
      </c>
    </row>
    <row r="63" spans="1:17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861</v>
      </c>
      <c r="H63" s="240"/>
      <c r="I63" s="386"/>
      <c r="J63" s="7" t="s">
        <v>14</v>
      </c>
    </row>
    <row r="64" spans="1:17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861</v>
      </c>
      <c r="H64" s="240"/>
      <c r="I64" s="386"/>
      <c r="J64" s="7" t="s">
        <v>14</v>
      </c>
    </row>
    <row r="65" spans="1:11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861</v>
      </c>
      <c r="H65" s="240"/>
      <c r="I65" s="386"/>
      <c r="J65" s="7" t="s">
        <v>14</v>
      </c>
      <c r="K65" s="26"/>
    </row>
    <row r="66" spans="1:11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861</v>
      </c>
      <c r="H66" s="240"/>
      <c r="I66" s="386"/>
      <c r="J66" s="7" t="s">
        <v>14</v>
      </c>
    </row>
    <row r="67" spans="1:11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 t="shared" si="1"/>
        <v>861</v>
      </c>
      <c r="H67" s="240"/>
      <c r="I67" s="386"/>
      <c r="J67" s="7" t="s">
        <v>14</v>
      </c>
    </row>
    <row r="68" spans="1:11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 t="shared" si="1"/>
        <v>861</v>
      </c>
      <c r="H68" s="240"/>
      <c r="I68" s="386"/>
      <c r="J68" s="7" t="s">
        <v>14</v>
      </c>
    </row>
    <row r="69" spans="1:11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 t="shared" si="1"/>
        <v>861</v>
      </c>
      <c r="H69" s="240"/>
      <c r="I69" s="386"/>
      <c r="J69" s="7" t="s">
        <v>14</v>
      </c>
    </row>
    <row r="70" spans="1:11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861</v>
      </c>
      <c r="H70" s="240"/>
      <c r="I70" s="386"/>
      <c r="J70" s="7" t="s">
        <v>14</v>
      </c>
    </row>
    <row r="71" spans="1:11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861</v>
      </c>
      <c r="H71" s="240"/>
      <c r="I71" s="386"/>
      <c r="J71" s="7" t="s">
        <v>14</v>
      </c>
    </row>
    <row r="72" spans="1:11" ht="18" customHeight="1" x14ac:dyDescent="0.25">
      <c r="A72" s="14">
        <f t="shared" si="0"/>
        <v>64</v>
      </c>
      <c r="B72" s="8"/>
      <c r="C72" s="46"/>
      <c r="D72" s="214" t="s">
        <v>214</v>
      </c>
      <c r="E72" s="32"/>
      <c r="F72" s="17"/>
      <c r="G72" s="18">
        <f t="shared" si="1"/>
        <v>861</v>
      </c>
      <c r="H72" s="240"/>
      <c r="I72" s="386"/>
      <c r="J72" s="7" t="s">
        <v>14</v>
      </c>
    </row>
    <row r="73" spans="1:11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861</v>
      </c>
      <c r="H73" s="240"/>
      <c r="I73" s="386"/>
      <c r="J73" s="7" t="s">
        <v>14</v>
      </c>
    </row>
    <row r="74" spans="1:11" ht="18" customHeight="1" x14ac:dyDescent="0.25">
      <c r="A74" s="14">
        <f t="shared" ref="A74:A93" si="2">+A73+1</f>
        <v>66</v>
      </c>
      <c r="B74" s="8"/>
      <c r="C74" s="46"/>
      <c r="D74" s="214" t="s">
        <v>214</v>
      </c>
      <c r="E74" s="32"/>
      <c r="F74" s="17"/>
      <c r="G74" s="18">
        <f t="shared" ref="G74:G107" si="3">+G73+E74-F74</f>
        <v>861</v>
      </c>
      <c r="H74" s="240"/>
      <c r="I74" s="386"/>
      <c r="J74" s="7" t="s">
        <v>14</v>
      </c>
    </row>
    <row r="75" spans="1:11" ht="18" customHeight="1" x14ac:dyDescent="0.25">
      <c r="A75" s="14">
        <f t="shared" si="2"/>
        <v>67</v>
      </c>
      <c r="B75" s="8"/>
      <c r="C75" s="46"/>
      <c r="D75" s="214" t="s">
        <v>214</v>
      </c>
      <c r="E75" s="32"/>
      <c r="F75" s="17"/>
      <c r="G75" s="18">
        <f t="shared" si="3"/>
        <v>861</v>
      </c>
      <c r="H75" s="240"/>
      <c r="I75" s="386"/>
      <c r="J75" s="7" t="s">
        <v>14</v>
      </c>
    </row>
    <row r="76" spans="1:11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861</v>
      </c>
      <c r="H76" s="240"/>
      <c r="I76" s="386"/>
      <c r="J76" s="7" t="s">
        <v>14</v>
      </c>
    </row>
    <row r="77" spans="1:11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861</v>
      </c>
      <c r="H77" s="240"/>
      <c r="I77" s="386"/>
      <c r="J77" s="7" t="s">
        <v>14</v>
      </c>
    </row>
    <row r="78" spans="1:11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861</v>
      </c>
      <c r="H78" s="240"/>
      <c r="I78" s="386"/>
      <c r="J78" s="7" t="s">
        <v>14</v>
      </c>
    </row>
    <row r="79" spans="1:11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861</v>
      </c>
      <c r="H79" s="240"/>
      <c r="I79" s="386"/>
      <c r="J79" s="7" t="s">
        <v>14</v>
      </c>
    </row>
    <row r="80" spans="1:11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861</v>
      </c>
      <c r="H80" s="240"/>
      <c r="I80" s="386"/>
      <c r="J80" s="7" t="s">
        <v>14</v>
      </c>
    </row>
    <row r="81" spans="1:18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861</v>
      </c>
      <c r="H81" s="240"/>
      <c r="I81" s="386"/>
      <c r="J81" s="7" t="s">
        <v>14</v>
      </c>
    </row>
    <row r="82" spans="1:18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861</v>
      </c>
      <c r="H82" s="240"/>
      <c r="I82" s="386"/>
      <c r="J82" s="7" t="s">
        <v>14</v>
      </c>
    </row>
    <row r="83" spans="1:18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27"/>
      <c r="G83" s="18">
        <f t="shared" si="3"/>
        <v>861</v>
      </c>
      <c r="H83" s="240"/>
      <c r="I83" s="386"/>
      <c r="J83" s="7" t="s">
        <v>14</v>
      </c>
    </row>
    <row r="84" spans="1:18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17"/>
      <c r="G84" s="18">
        <f t="shared" si="3"/>
        <v>861</v>
      </c>
      <c r="H84" s="240"/>
      <c r="I84" s="386"/>
      <c r="J84" s="7" t="s">
        <v>14</v>
      </c>
    </row>
    <row r="85" spans="1:18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861</v>
      </c>
      <c r="H85" s="240"/>
      <c r="I85" s="386"/>
      <c r="J85" s="7" t="s">
        <v>14</v>
      </c>
    </row>
    <row r="86" spans="1:18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861</v>
      </c>
      <c r="H86" s="240"/>
      <c r="I86" s="386"/>
      <c r="J86" s="7" t="s">
        <v>14</v>
      </c>
    </row>
    <row r="87" spans="1:18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861</v>
      </c>
      <c r="H87" s="240"/>
      <c r="I87" s="386"/>
      <c r="J87" s="7" t="s">
        <v>14</v>
      </c>
    </row>
    <row r="88" spans="1:18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861</v>
      </c>
      <c r="H88" s="240"/>
      <c r="I88" s="386"/>
      <c r="J88" s="7" t="s">
        <v>14</v>
      </c>
    </row>
    <row r="89" spans="1:18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861</v>
      </c>
      <c r="H89" s="240"/>
      <c r="I89" s="386"/>
      <c r="J89" s="7" t="s">
        <v>14</v>
      </c>
    </row>
    <row r="90" spans="1:18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861</v>
      </c>
      <c r="H90" s="240"/>
      <c r="I90" s="386"/>
      <c r="J90" s="7" t="s">
        <v>14</v>
      </c>
      <c r="M90" s="199"/>
      <c r="R90" s="199"/>
    </row>
    <row r="91" spans="1:18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27"/>
      <c r="G91" s="18">
        <f t="shared" si="3"/>
        <v>861</v>
      </c>
      <c r="H91" s="240"/>
      <c r="I91" s="386"/>
      <c r="J91" s="7" t="s">
        <v>14</v>
      </c>
      <c r="M91" s="199"/>
      <c r="R91" s="199"/>
    </row>
    <row r="92" spans="1:18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 t="shared" si="3"/>
        <v>861</v>
      </c>
      <c r="H92" s="240"/>
      <c r="I92" s="386"/>
      <c r="J92" s="7" t="s">
        <v>14</v>
      </c>
      <c r="M92" s="199"/>
      <c r="R92" s="199"/>
    </row>
    <row r="93" spans="1:18" s="179" customFormat="1" ht="18" customHeight="1" x14ac:dyDescent="0.25">
      <c r="A93" s="14">
        <f t="shared" si="2"/>
        <v>85</v>
      </c>
      <c r="B93" s="242"/>
      <c r="C93" s="243"/>
      <c r="D93" s="214" t="s">
        <v>214</v>
      </c>
      <c r="E93" s="245"/>
      <c r="F93" s="52"/>
      <c r="G93" s="18">
        <f t="shared" si="3"/>
        <v>861</v>
      </c>
      <c r="H93" s="240"/>
      <c r="I93" s="386"/>
      <c r="J93" s="247" t="s">
        <v>14</v>
      </c>
      <c r="K93" s="179" t="s">
        <v>43</v>
      </c>
      <c r="M93" s="248"/>
      <c r="R93" s="248"/>
    </row>
    <row r="94" spans="1:18" s="179" customFormat="1" ht="18" customHeight="1" x14ac:dyDescent="0.25">
      <c r="A94" s="241"/>
      <c r="B94" s="242"/>
      <c r="C94" s="243"/>
      <c r="D94" s="214" t="s">
        <v>214</v>
      </c>
      <c r="E94" s="245"/>
      <c r="F94" s="52"/>
      <c r="G94" s="18">
        <f t="shared" si="3"/>
        <v>861</v>
      </c>
      <c r="H94" s="240"/>
      <c r="I94" s="386"/>
      <c r="J94" s="247" t="s">
        <v>14</v>
      </c>
      <c r="M94" s="248"/>
      <c r="R94" s="248"/>
    </row>
    <row r="95" spans="1:18" s="179" customFormat="1" ht="18" customHeight="1" x14ac:dyDescent="0.25">
      <c r="A95" s="241"/>
      <c r="B95" s="242"/>
      <c r="C95" s="243"/>
      <c r="D95" s="214" t="s">
        <v>214</v>
      </c>
      <c r="E95" s="245"/>
      <c r="F95" s="52"/>
      <c r="G95" s="18">
        <f t="shared" si="3"/>
        <v>861</v>
      </c>
      <c r="H95" s="240"/>
      <c r="I95" s="386"/>
      <c r="J95" s="247" t="s">
        <v>14</v>
      </c>
      <c r="M95" s="248"/>
      <c r="R95" s="248"/>
    </row>
    <row r="96" spans="1:18" s="179" customFormat="1" ht="18" customHeight="1" x14ac:dyDescent="0.25">
      <c r="A96" s="241"/>
      <c r="B96" s="242"/>
      <c r="C96" s="243"/>
      <c r="D96" s="214" t="s">
        <v>214</v>
      </c>
      <c r="E96" s="245"/>
      <c r="F96" s="52"/>
      <c r="G96" s="18">
        <f t="shared" si="3"/>
        <v>861</v>
      </c>
      <c r="H96" s="240"/>
      <c r="I96" s="386"/>
      <c r="J96" s="247" t="s">
        <v>14</v>
      </c>
      <c r="M96" s="248"/>
      <c r="R96" s="248"/>
    </row>
    <row r="97" spans="1:18" s="179" customFormat="1" ht="18" customHeight="1" x14ac:dyDescent="0.25">
      <c r="A97" s="241"/>
      <c r="B97" s="242"/>
      <c r="C97" s="243"/>
      <c r="D97" s="214" t="s">
        <v>214</v>
      </c>
      <c r="E97" s="245"/>
      <c r="F97" s="52"/>
      <c r="G97" s="18">
        <f t="shared" si="3"/>
        <v>861</v>
      </c>
      <c r="H97" s="240"/>
      <c r="I97" s="386"/>
      <c r="J97" s="247" t="s">
        <v>14</v>
      </c>
      <c r="M97" s="248"/>
      <c r="R97" s="248"/>
    </row>
    <row r="98" spans="1:18" s="179" customFormat="1" ht="18" customHeight="1" x14ac:dyDescent="0.25">
      <c r="A98" s="241"/>
      <c r="B98" s="242"/>
      <c r="C98" s="243"/>
      <c r="D98" s="214" t="s">
        <v>214</v>
      </c>
      <c r="E98" s="245"/>
      <c r="F98" s="52"/>
      <c r="G98" s="18">
        <f t="shared" si="3"/>
        <v>861</v>
      </c>
      <c r="H98" s="240"/>
      <c r="I98" s="386"/>
      <c r="J98" s="247" t="s">
        <v>14</v>
      </c>
      <c r="M98" s="248"/>
      <c r="R98" s="248"/>
    </row>
    <row r="99" spans="1:18" s="179" customFormat="1" ht="18" customHeight="1" x14ac:dyDescent="0.25">
      <c r="A99" s="241"/>
      <c r="B99" s="242"/>
      <c r="C99" s="243"/>
      <c r="D99" s="214" t="s">
        <v>214</v>
      </c>
      <c r="E99" s="245"/>
      <c r="F99" s="52"/>
      <c r="G99" s="18">
        <f t="shared" si="3"/>
        <v>861</v>
      </c>
      <c r="H99" s="240"/>
      <c r="I99" s="386"/>
      <c r="J99" s="247" t="s">
        <v>14</v>
      </c>
      <c r="M99" s="248"/>
      <c r="R99" s="248"/>
    </row>
    <row r="100" spans="1:18" s="179" customFormat="1" ht="18" customHeight="1" x14ac:dyDescent="0.25">
      <c r="A100" s="241"/>
      <c r="B100" s="242"/>
      <c r="C100" s="243"/>
      <c r="D100" s="214" t="s">
        <v>214</v>
      </c>
      <c r="E100" s="245"/>
      <c r="F100" s="52"/>
      <c r="G100" s="18">
        <f t="shared" si="3"/>
        <v>861</v>
      </c>
      <c r="H100" s="240"/>
      <c r="I100" s="386"/>
      <c r="J100" s="247" t="s">
        <v>14</v>
      </c>
      <c r="M100" s="248"/>
      <c r="R100" s="248"/>
    </row>
    <row r="101" spans="1:18" s="179" customFormat="1" ht="18" customHeight="1" x14ac:dyDescent="0.25">
      <c r="A101" s="241"/>
      <c r="B101" s="242"/>
      <c r="C101" s="243"/>
      <c r="D101" s="214" t="s">
        <v>214</v>
      </c>
      <c r="E101" s="245"/>
      <c r="F101" s="52"/>
      <c r="G101" s="18">
        <f t="shared" si="3"/>
        <v>861</v>
      </c>
      <c r="H101" s="240"/>
      <c r="I101" s="386"/>
      <c r="J101" s="247"/>
      <c r="M101" s="248"/>
      <c r="R101" s="248"/>
    </row>
    <row r="102" spans="1:18" s="179" customFormat="1" ht="18" customHeight="1" x14ac:dyDescent="0.25">
      <c r="A102" s="241"/>
      <c r="B102" s="242"/>
      <c r="C102" s="243"/>
      <c r="D102" s="244"/>
      <c r="E102" s="245"/>
      <c r="F102" s="52"/>
      <c r="G102" s="18">
        <f t="shared" si="3"/>
        <v>861</v>
      </c>
      <c r="H102" s="240"/>
      <c r="I102" s="386"/>
      <c r="J102" s="247"/>
      <c r="M102" s="248"/>
      <c r="R102" s="248"/>
    </row>
    <row r="103" spans="1:18" s="179" customFormat="1" ht="18" customHeight="1" x14ac:dyDescent="0.25">
      <c r="A103" s="241"/>
      <c r="B103" s="242"/>
      <c r="C103" s="243"/>
      <c r="D103" s="244"/>
      <c r="E103" s="245"/>
      <c r="F103" s="52"/>
      <c r="G103" s="18">
        <f t="shared" si="3"/>
        <v>861</v>
      </c>
      <c r="H103" s="240"/>
      <c r="I103" s="386"/>
      <c r="J103" s="247"/>
      <c r="M103" s="248"/>
      <c r="R103" s="248"/>
    </row>
    <row r="104" spans="1:18" s="179" customFormat="1" ht="18" customHeight="1" x14ac:dyDescent="0.25">
      <c r="A104" s="241"/>
      <c r="B104" s="242"/>
      <c r="C104" s="243"/>
      <c r="D104" s="244"/>
      <c r="E104" s="245"/>
      <c r="F104" s="52"/>
      <c r="G104" s="18">
        <f t="shared" si="3"/>
        <v>861</v>
      </c>
      <c r="H104" s="240"/>
      <c r="I104" s="386"/>
      <c r="J104" s="247"/>
      <c r="M104" s="248"/>
      <c r="R104" s="248"/>
    </row>
    <row r="105" spans="1:18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18">
        <f t="shared" si="3"/>
        <v>861</v>
      </c>
      <c r="H105" s="28"/>
      <c r="I105" s="382"/>
      <c r="J105" s="7"/>
      <c r="M105" s="199"/>
      <c r="R105" s="199"/>
    </row>
    <row r="106" spans="1:18" ht="18" customHeight="1" x14ac:dyDescent="0.25">
      <c r="A106" s="14">
        <f t="shared" ref="A106:A107" si="4">+A105+1</f>
        <v>87</v>
      </c>
      <c r="B106" s="8"/>
      <c r="C106" s="46"/>
      <c r="D106" s="214"/>
      <c r="E106" s="32"/>
      <c r="F106" s="27"/>
      <c r="G106" s="18">
        <f t="shared" si="3"/>
        <v>861</v>
      </c>
      <c r="H106" s="28"/>
      <c r="I106" s="382"/>
      <c r="J106" s="7"/>
      <c r="M106" s="199"/>
      <c r="R106" s="199"/>
    </row>
    <row r="107" spans="1:18" ht="18" customHeight="1" x14ac:dyDescent="0.25">
      <c r="A107" s="14">
        <f t="shared" si="4"/>
        <v>88</v>
      </c>
      <c r="B107" s="37"/>
      <c r="C107" s="46"/>
      <c r="D107" s="10"/>
      <c r="E107" s="32"/>
      <c r="F107" s="27"/>
      <c r="G107" s="18">
        <f t="shared" si="3"/>
        <v>861</v>
      </c>
      <c r="H107" s="28"/>
      <c r="I107" s="382"/>
      <c r="J107" s="7"/>
      <c r="M107" s="199"/>
      <c r="R107" s="199"/>
    </row>
    <row r="108" spans="1:18" ht="18" customHeight="1" x14ac:dyDescent="0.25">
      <c r="A108" s="7"/>
      <c r="B108" s="7"/>
      <c r="C108" s="34" t="s">
        <v>13</v>
      </c>
      <c r="D108" s="14"/>
      <c r="E108" s="35">
        <f>SUM(E8:E107)</f>
        <v>2300</v>
      </c>
      <c r="F108" s="35">
        <f>SUM(F8:F107)</f>
        <v>1439</v>
      </c>
      <c r="G108" s="35">
        <f>+E108-F108+G8</f>
        <v>861</v>
      </c>
      <c r="H108" s="35"/>
      <c r="I108" s="165">
        <f>SUM(I9:I107)</f>
        <v>887</v>
      </c>
      <c r="J108" s="36"/>
    </row>
    <row r="109" spans="1:18" ht="18" customHeight="1" x14ac:dyDescent="0.25"/>
    <row r="112" spans="1:18" x14ac:dyDescent="0.25">
      <c r="E112" s="201"/>
      <c r="F112" s="201"/>
      <c r="G112" s="201"/>
      <c r="H112" s="201"/>
    </row>
    <row r="113" spans="5:10" x14ac:dyDescent="0.25">
      <c r="F113" s="26"/>
    </row>
    <row r="114" spans="5:10" x14ac:dyDescent="0.25">
      <c r="E114" s="26"/>
      <c r="F114" s="26"/>
      <c r="G114" s="26"/>
      <c r="H114" s="26"/>
      <c r="J114" s="26"/>
    </row>
    <row r="115" spans="5:10" x14ac:dyDescent="0.25">
      <c r="J115" s="202"/>
    </row>
    <row r="116" spans="5:10" x14ac:dyDescent="0.25">
      <c r="E116" s="199"/>
    </row>
    <row r="117" spans="5:10" x14ac:dyDescent="0.25">
      <c r="E117" s="26"/>
      <c r="F117" s="26"/>
    </row>
    <row r="118" spans="5:10" x14ac:dyDescent="0.25">
      <c r="E118" s="203"/>
      <c r="F118" s="204"/>
      <c r="G118" s="203"/>
      <c r="H118" s="203"/>
    </row>
    <row r="119" spans="5:10" x14ac:dyDescent="0.25">
      <c r="F119" s="26"/>
    </row>
    <row r="120" spans="5:10" x14ac:dyDescent="0.25">
      <c r="J120">
        <f>4634*0.947</f>
        <v>4388.3980000000001</v>
      </c>
    </row>
    <row r="121" spans="5:10" x14ac:dyDescent="0.25">
      <c r="J121">
        <f>+J120/0.894</f>
        <v>4908.7225950782995</v>
      </c>
    </row>
    <row r="122" spans="5:10" x14ac:dyDescent="0.25">
      <c r="J122">
        <f>4752+64+144</f>
        <v>4960</v>
      </c>
    </row>
    <row r="123" spans="5:10" x14ac:dyDescent="0.25">
      <c r="J123">
        <f>+J122-4908</f>
        <v>52</v>
      </c>
    </row>
  </sheetData>
  <mergeCells count="1">
    <mergeCell ref="A4:J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EB6C-64D8-4E29-B64F-7657547C8C7A}">
  <sheetPr codeName="Sheet103"/>
  <dimension ref="A1:S119"/>
  <sheetViews>
    <sheetView workbookViewId="0">
      <selection activeCell="E9" sqref="E9:F13"/>
    </sheetView>
  </sheetViews>
  <sheetFormatPr defaultRowHeight="15" x14ac:dyDescent="0.25"/>
  <cols>
    <col min="1" max="1" width="6" customWidth="1"/>
    <col min="2" max="2" width="11.5703125" customWidth="1"/>
    <col min="3" max="3" width="47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10" width="7.710937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4" spans="1:15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5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5" x14ac:dyDescent="0.25">
      <c r="A6" t="s">
        <v>167</v>
      </c>
    </row>
    <row r="7" spans="1:15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329</v>
      </c>
      <c r="J7" s="6" t="s">
        <v>328</v>
      </c>
      <c r="K7" s="4" t="s">
        <v>10</v>
      </c>
      <c r="O7" t="s">
        <v>260</v>
      </c>
    </row>
    <row r="8" spans="1:15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5" ht="17.25" customHeight="1" x14ac:dyDescent="0.25">
      <c r="A9" s="14">
        <v>1</v>
      </c>
      <c r="B9" s="8"/>
      <c r="C9" s="46" t="s">
        <v>168</v>
      </c>
      <c r="D9" s="214" t="s">
        <v>214</v>
      </c>
      <c r="E9" s="30"/>
      <c r="F9" s="27"/>
      <c r="G9" s="18">
        <f>+G8+E9-F9</f>
        <v>0</v>
      </c>
      <c r="H9" s="28" t="s">
        <v>91</v>
      </c>
      <c r="I9" s="28"/>
      <c r="J9" s="28">
        <v>202</v>
      </c>
      <c r="K9" s="7" t="s">
        <v>177</v>
      </c>
    </row>
    <row r="10" spans="1:15" ht="17.25" customHeight="1" x14ac:dyDescent="0.25">
      <c r="A10" s="14">
        <f t="shared" ref="A10:A73" si="0">+A9+1</f>
        <v>2</v>
      </c>
      <c r="B10" s="8">
        <v>45531</v>
      </c>
      <c r="C10" s="46" t="s">
        <v>168</v>
      </c>
      <c r="D10" s="214" t="s">
        <v>214</v>
      </c>
      <c r="E10" s="30"/>
      <c r="F10" s="27"/>
      <c r="G10" s="18">
        <f t="shared" ref="G10:G73" si="1">+G9+E10-F10</f>
        <v>0</v>
      </c>
      <c r="H10" s="28" t="s">
        <v>91</v>
      </c>
      <c r="I10" s="28"/>
      <c r="J10" s="28"/>
      <c r="K10" s="7" t="s">
        <v>90</v>
      </c>
      <c r="O10">
        <f>220/561</f>
        <v>0.39215686274509803</v>
      </c>
    </row>
    <row r="11" spans="1:15" ht="18" customHeight="1" x14ac:dyDescent="0.25">
      <c r="A11" s="14">
        <f t="shared" si="0"/>
        <v>3</v>
      </c>
      <c r="B11" s="8">
        <v>45532</v>
      </c>
      <c r="C11" s="46" t="s">
        <v>168</v>
      </c>
      <c r="D11" s="214" t="s">
        <v>214</v>
      </c>
      <c r="E11" s="16"/>
      <c r="F11" s="27"/>
      <c r="G11" s="18">
        <f t="shared" si="1"/>
        <v>0</v>
      </c>
      <c r="H11" s="28" t="s">
        <v>91</v>
      </c>
      <c r="I11" s="28"/>
      <c r="J11" s="28"/>
      <c r="K11" s="7" t="s">
        <v>90</v>
      </c>
      <c r="L11" s="26"/>
    </row>
    <row r="12" spans="1:15" ht="18" customHeight="1" x14ac:dyDescent="0.25">
      <c r="A12" s="14">
        <f t="shared" si="0"/>
        <v>4</v>
      </c>
      <c r="B12" s="8">
        <v>45629</v>
      </c>
      <c r="C12" s="46" t="s">
        <v>168</v>
      </c>
      <c r="D12" s="214" t="s">
        <v>214</v>
      </c>
      <c r="E12" s="16"/>
      <c r="F12" s="17"/>
      <c r="G12" s="18">
        <f t="shared" si="1"/>
        <v>0</v>
      </c>
      <c r="H12" s="28" t="s">
        <v>140</v>
      </c>
      <c r="I12" s="28">
        <f>+F12*N13</f>
        <v>0</v>
      </c>
      <c r="J12" s="28"/>
      <c r="K12" s="7" t="s">
        <v>90</v>
      </c>
      <c r="L12" s="26"/>
    </row>
    <row r="13" spans="1:15" ht="18" customHeight="1" x14ac:dyDescent="0.25">
      <c r="A13" s="14">
        <f t="shared" si="0"/>
        <v>5</v>
      </c>
      <c r="B13" s="205"/>
      <c r="C13" s="46" t="s">
        <v>168</v>
      </c>
      <c r="D13" s="214" t="s">
        <v>214</v>
      </c>
      <c r="E13" s="16"/>
      <c r="F13" s="17"/>
      <c r="G13" s="18">
        <f t="shared" si="1"/>
        <v>0</v>
      </c>
      <c r="H13" s="28" t="s">
        <v>140</v>
      </c>
      <c r="I13" s="28"/>
      <c r="J13" s="28"/>
      <c r="K13" s="7" t="s">
        <v>90</v>
      </c>
      <c r="L13" s="26"/>
      <c r="N13">
        <f>202/561</f>
        <v>0.36007130124777181</v>
      </c>
    </row>
    <row r="14" spans="1:15" ht="18" customHeight="1" x14ac:dyDescent="0.25">
      <c r="A14" s="14">
        <f t="shared" si="0"/>
        <v>6</v>
      </c>
      <c r="B14" s="8"/>
      <c r="C14" s="46" t="s">
        <v>168</v>
      </c>
      <c r="D14" s="214" t="s">
        <v>214</v>
      </c>
      <c r="E14" s="16"/>
      <c r="F14" s="27"/>
      <c r="G14" s="18">
        <f t="shared" si="1"/>
        <v>0</v>
      </c>
      <c r="H14" s="28" t="s">
        <v>140</v>
      </c>
      <c r="I14" s="28"/>
      <c r="J14" s="28"/>
      <c r="K14" s="7" t="s">
        <v>90</v>
      </c>
      <c r="N14">
        <f>+N13*453</f>
        <v>163.11229946524062</v>
      </c>
    </row>
    <row r="15" spans="1:15" ht="18" customHeight="1" x14ac:dyDescent="0.25">
      <c r="A15" s="14">
        <f t="shared" si="0"/>
        <v>7</v>
      </c>
      <c r="B15" s="8"/>
      <c r="C15" s="46" t="s">
        <v>168</v>
      </c>
      <c r="D15" s="214" t="s">
        <v>214</v>
      </c>
      <c r="E15" s="16"/>
      <c r="F15" s="27"/>
      <c r="G15" s="18">
        <f t="shared" si="1"/>
        <v>0</v>
      </c>
      <c r="H15" s="28" t="s">
        <v>140</v>
      </c>
      <c r="I15" s="28"/>
      <c r="J15" s="28"/>
      <c r="K15" s="7" t="s">
        <v>90</v>
      </c>
      <c r="L15" s="26"/>
    </row>
    <row r="16" spans="1:15" ht="18" customHeight="1" x14ac:dyDescent="0.25">
      <c r="A16" s="14">
        <f t="shared" si="0"/>
        <v>8</v>
      </c>
      <c r="B16" s="8"/>
      <c r="C16" s="46" t="s">
        <v>168</v>
      </c>
      <c r="D16" s="214" t="s">
        <v>214</v>
      </c>
      <c r="E16" s="16"/>
      <c r="F16" s="27"/>
      <c r="G16" s="18">
        <f t="shared" si="1"/>
        <v>0</v>
      </c>
      <c r="H16" s="28" t="s">
        <v>91</v>
      </c>
      <c r="I16" s="28"/>
      <c r="J16" s="28"/>
      <c r="K16" s="7" t="s">
        <v>90</v>
      </c>
    </row>
    <row r="17" spans="1:16" ht="18" customHeight="1" x14ac:dyDescent="0.25">
      <c r="A17" s="14">
        <f t="shared" si="0"/>
        <v>9</v>
      </c>
      <c r="B17" s="8"/>
      <c r="C17" s="46"/>
      <c r="D17" s="214" t="s">
        <v>214</v>
      </c>
      <c r="E17" s="30"/>
      <c r="F17" s="27"/>
      <c r="G17" s="18">
        <f t="shared" si="1"/>
        <v>0</v>
      </c>
      <c r="H17" s="28" t="s">
        <v>91</v>
      </c>
      <c r="I17" s="28"/>
      <c r="J17" s="28"/>
      <c r="K17" s="7" t="s">
        <v>90</v>
      </c>
    </row>
    <row r="18" spans="1:16" s="230" customFormat="1" ht="18" customHeight="1" x14ac:dyDescent="0.25">
      <c r="A18" s="223">
        <f>+A17+1</f>
        <v>10</v>
      </c>
      <c r="B18" s="224"/>
      <c r="C18" s="225"/>
      <c r="D18" s="214" t="s">
        <v>214</v>
      </c>
      <c r="E18" s="227"/>
      <c r="F18" s="228"/>
      <c r="G18" s="229">
        <f t="shared" si="1"/>
        <v>0</v>
      </c>
      <c r="H18" s="28" t="s">
        <v>91</v>
      </c>
      <c r="I18" s="28"/>
      <c r="J18" s="28"/>
      <c r="K18" s="7" t="s">
        <v>90</v>
      </c>
      <c r="M18" s="230">
        <f>8*20+15*20+40+23</f>
        <v>523</v>
      </c>
    </row>
    <row r="19" spans="1:16" s="230" customFormat="1" ht="18" customHeight="1" x14ac:dyDescent="0.25">
      <c r="A19" s="223">
        <f t="shared" si="0"/>
        <v>11</v>
      </c>
      <c r="B19" s="224"/>
      <c r="C19" s="225"/>
      <c r="D19" s="214" t="s">
        <v>214</v>
      </c>
      <c r="E19" s="231"/>
      <c r="F19" s="228"/>
      <c r="G19" s="229">
        <f t="shared" si="1"/>
        <v>0</v>
      </c>
      <c r="H19" s="28" t="s">
        <v>91</v>
      </c>
      <c r="I19" s="28"/>
      <c r="J19" s="28"/>
      <c r="K19" s="7" t="s">
        <v>90</v>
      </c>
    </row>
    <row r="20" spans="1:16" ht="18" customHeight="1" x14ac:dyDescent="0.25">
      <c r="A20" s="14">
        <f t="shared" si="0"/>
        <v>12</v>
      </c>
      <c r="B20" s="8"/>
      <c r="C20" s="46"/>
      <c r="D20" s="214" t="s">
        <v>214</v>
      </c>
      <c r="E20" s="32"/>
      <c r="F20" s="17"/>
      <c r="G20" s="18">
        <f t="shared" si="1"/>
        <v>0</v>
      </c>
      <c r="H20" s="28" t="s">
        <v>91</v>
      </c>
      <c r="I20" s="28"/>
      <c r="J20" s="28"/>
      <c r="K20" s="7" t="s">
        <v>90</v>
      </c>
      <c r="P20" s="26"/>
    </row>
    <row r="21" spans="1:16" ht="18" customHeight="1" x14ac:dyDescent="0.25">
      <c r="A21" s="14">
        <f t="shared" si="0"/>
        <v>13</v>
      </c>
      <c r="B21" s="8"/>
      <c r="C21" s="46"/>
      <c r="D21" s="214" t="s">
        <v>214</v>
      </c>
      <c r="E21" s="32"/>
      <c r="F21" s="27"/>
      <c r="G21" s="18">
        <f t="shared" si="1"/>
        <v>0</v>
      </c>
      <c r="H21" s="28" t="s">
        <v>91</v>
      </c>
      <c r="I21" s="28"/>
      <c r="J21" s="28"/>
      <c r="K21" s="7" t="s">
        <v>90</v>
      </c>
    </row>
    <row r="22" spans="1:16" ht="18" customHeight="1" x14ac:dyDescent="0.25">
      <c r="A22" s="14">
        <f t="shared" si="0"/>
        <v>14</v>
      </c>
      <c r="B22" s="232"/>
      <c r="C22" s="233"/>
      <c r="D22" s="214" t="s">
        <v>214</v>
      </c>
      <c r="E22" s="235"/>
      <c r="F22" s="172"/>
      <c r="G22" s="18">
        <f t="shared" si="1"/>
        <v>0</v>
      </c>
      <c r="H22" s="28" t="s">
        <v>129</v>
      </c>
      <c r="I22" s="28"/>
      <c r="J22" s="28"/>
      <c r="K22" s="7" t="s">
        <v>90</v>
      </c>
      <c r="N22" t="s">
        <v>228</v>
      </c>
    </row>
    <row r="23" spans="1:16" ht="18" customHeight="1" x14ac:dyDescent="0.25">
      <c r="A23" s="14">
        <f t="shared" si="0"/>
        <v>15</v>
      </c>
      <c r="B23" s="8"/>
      <c r="C23" s="46"/>
      <c r="D23" s="214" t="s">
        <v>214</v>
      </c>
      <c r="E23" s="32"/>
      <c r="F23" s="17"/>
      <c r="G23" s="18">
        <f t="shared" si="1"/>
        <v>0</v>
      </c>
      <c r="H23" s="28" t="s">
        <v>129</v>
      </c>
      <c r="I23" s="28"/>
      <c r="J23" s="28"/>
      <c r="K23" s="7" t="s">
        <v>142</v>
      </c>
    </row>
    <row r="24" spans="1:16" ht="18" customHeight="1" x14ac:dyDescent="0.25">
      <c r="A24" s="14">
        <f t="shared" si="0"/>
        <v>16</v>
      </c>
      <c r="B24" s="8"/>
      <c r="C24" s="46"/>
      <c r="D24" s="214" t="s">
        <v>214</v>
      </c>
      <c r="E24" s="32"/>
      <c r="F24" s="17"/>
      <c r="G24" s="18">
        <f t="shared" si="1"/>
        <v>0</v>
      </c>
      <c r="H24" s="28" t="s">
        <v>91</v>
      </c>
      <c r="I24" s="28"/>
      <c r="J24" s="28"/>
      <c r="K24" s="7" t="s">
        <v>90</v>
      </c>
    </row>
    <row r="25" spans="1:16" ht="18" customHeight="1" x14ac:dyDescent="0.25">
      <c r="A25" s="14">
        <f t="shared" si="0"/>
        <v>17</v>
      </c>
      <c r="B25" s="8"/>
      <c r="C25" s="46"/>
      <c r="D25" s="214" t="s">
        <v>214</v>
      </c>
      <c r="E25" s="32"/>
      <c r="F25" s="17"/>
      <c r="G25" s="18">
        <f t="shared" si="1"/>
        <v>0</v>
      </c>
      <c r="H25" s="28" t="s">
        <v>91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18</v>
      </c>
      <c r="B26" s="8"/>
      <c r="C26" s="46"/>
      <c r="D26" s="214" t="s">
        <v>214</v>
      </c>
      <c r="E26" s="32"/>
      <c r="F26" s="17"/>
      <c r="G26" s="18">
        <f t="shared" si="1"/>
        <v>0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>+A26+1</f>
        <v>19</v>
      </c>
      <c r="B27" s="8"/>
      <c r="C27" s="46"/>
      <c r="D27" s="214" t="s">
        <v>214</v>
      </c>
      <c r="E27" s="32"/>
      <c r="F27" s="17"/>
      <c r="G27" s="18">
        <f t="shared" si="1"/>
        <v>0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0"/>
        <v>20</v>
      </c>
      <c r="B28" s="8"/>
      <c r="C28" s="46"/>
      <c r="D28" s="214" t="s">
        <v>214</v>
      </c>
      <c r="E28" s="129"/>
      <c r="F28" s="17"/>
      <c r="G28" s="18">
        <f t="shared" si="1"/>
        <v>0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 t="s">
        <v>214</v>
      </c>
      <c r="E29" s="32"/>
      <c r="F29" s="172"/>
      <c r="G29" s="18">
        <f t="shared" si="1"/>
        <v>0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0"/>
        <v>22</v>
      </c>
      <c r="B30" s="8"/>
      <c r="C30" s="46"/>
      <c r="D30" s="214" t="s">
        <v>214</v>
      </c>
      <c r="E30" s="32"/>
      <c r="F30" s="17"/>
      <c r="G30" s="18">
        <f t="shared" si="1"/>
        <v>0</v>
      </c>
      <c r="H30" s="28" t="s">
        <v>91</v>
      </c>
      <c r="I30" s="28"/>
      <c r="J30" s="28"/>
      <c r="K30" s="7" t="s">
        <v>90</v>
      </c>
    </row>
    <row r="31" spans="1:16" ht="18" customHeight="1" x14ac:dyDescent="0.25">
      <c r="A31" s="14">
        <f t="shared" si="0"/>
        <v>23</v>
      </c>
      <c r="B31" s="8"/>
      <c r="C31" s="46"/>
      <c r="D31" s="214" t="s">
        <v>214</v>
      </c>
      <c r="E31" s="32"/>
      <c r="F31" s="17"/>
      <c r="G31" s="18">
        <f t="shared" si="1"/>
        <v>0</v>
      </c>
      <c r="H31" s="28" t="s">
        <v>91</v>
      </c>
      <c r="I31" s="28"/>
      <c r="J31" s="28"/>
      <c r="K31" s="7" t="s">
        <v>90</v>
      </c>
    </row>
    <row r="32" spans="1:16" ht="17.25" customHeight="1" x14ac:dyDescent="0.25">
      <c r="A32" s="14">
        <f t="shared" si="0"/>
        <v>24</v>
      </c>
      <c r="B32" s="8"/>
      <c r="C32" s="46"/>
      <c r="D32" s="214" t="s">
        <v>214</v>
      </c>
      <c r="E32" s="13"/>
      <c r="F32" s="17"/>
      <c r="G32" s="18">
        <f t="shared" si="1"/>
        <v>0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44"/>
      <c r="C33" s="46"/>
      <c r="D33" s="214" t="s">
        <v>214</v>
      </c>
      <c r="E33" s="13"/>
      <c r="F33" s="17"/>
      <c r="G33" s="18">
        <f t="shared" si="1"/>
        <v>0</v>
      </c>
      <c r="H33" s="178"/>
      <c r="I33" s="178"/>
      <c r="J33" s="178"/>
      <c r="K33" s="7"/>
    </row>
    <row r="34" spans="1:18" ht="18" customHeight="1" x14ac:dyDescent="0.25">
      <c r="A34" s="14">
        <f t="shared" si="0"/>
        <v>26</v>
      </c>
      <c r="B34" s="8"/>
      <c r="C34" s="46"/>
      <c r="D34" s="214" t="s">
        <v>214</v>
      </c>
      <c r="E34" s="32"/>
      <c r="F34" s="40"/>
      <c r="G34" s="18">
        <f t="shared" si="1"/>
        <v>0</v>
      </c>
      <c r="H34" s="178"/>
      <c r="I34" s="178"/>
      <c r="J34" s="178"/>
      <c r="K34" s="7"/>
    </row>
    <row r="35" spans="1:18" ht="18" customHeight="1" x14ac:dyDescent="0.25">
      <c r="A35" s="14">
        <f t="shared" si="0"/>
        <v>27</v>
      </c>
      <c r="B35" s="45"/>
      <c r="C35" s="46"/>
      <c r="D35" s="214" t="s">
        <v>214</v>
      </c>
      <c r="E35" s="32"/>
      <c r="F35" s="40"/>
      <c r="G35" s="18">
        <f t="shared" si="1"/>
        <v>0</v>
      </c>
      <c r="H35" s="178"/>
      <c r="I35" s="178"/>
      <c r="J35" s="178"/>
      <c r="K35" s="7"/>
    </row>
    <row r="36" spans="1:18" ht="18" customHeight="1" x14ac:dyDescent="0.25">
      <c r="A36" s="14">
        <f t="shared" si="0"/>
        <v>28</v>
      </c>
      <c r="B36" s="8"/>
      <c r="C36" s="46"/>
      <c r="D36" s="214" t="s">
        <v>214</v>
      </c>
      <c r="E36" s="32"/>
      <c r="F36" s="40"/>
      <c r="G36" s="18">
        <f t="shared" si="1"/>
        <v>0</v>
      </c>
      <c r="H36" s="178"/>
      <c r="I36" s="178"/>
      <c r="J36" s="178"/>
      <c r="K36" s="7"/>
    </row>
    <row r="37" spans="1:18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17"/>
      <c r="G37" s="18">
        <f t="shared" si="1"/>
        <v>0</v>
      </c>
      <c r="H37" s="178"/>
      <c r="I37" s="178"/>
      <c r="J37" s="178"/>
      <c r="K37" s="7"/>
      <c r="M37">
        <f>911-338</f>
        <v>573</v>
      </c>
    </row>
    <row r="38" spans="1:18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0</v>
      </c>
      <c r="H38" s="178"/>
      <c r="I38" s="178"/>
      <c r="J38" s="178"/>
      <c r="K38" s="7"/>
      <c r="M38">
        <f>+M37-314</f>
        <v>259</v>
      </c>
    </row>
    <row r="39" spans="1:18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0</v>
      </c>
      <c r="H39" s="178"/>
      <c r="I39" s="178"/>
      <c r="J39" s="178"/>
      <c r="K39" s="7"/>
    </row>
    <row r="40" spans="1:18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0</v>
      </c>
      <c r="H40" s="178"/>
      <c r="I40" s="178"/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2"/>
      <c r="G41" s="18">
        <f t="shared" si="1"/>
        <v>0</v>
      </c>
      <c r="H41" s="178"/>
      <c r="I41" s="178"/>
      <c r="J41" s="178"/>
      <c r="K41" s="7"/>
      <c r="R41" s="162"/>
    </row>
    <row r="42" spans="1:18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"/>
      <c r="G42" s="18">
        <f t="shared" si="1"/>
        <v>0</v>
      </c>
      <c r="H42" s="178"/>
      <c r="I42" s="178"/>
      <c r="J42" s="178"/>
      <c r="K42" s="7"/>
    </row>
    <row r="43" spans="1:18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0</v>
      </c>
      <c r="H43" s="178"/>
      <c r="I43" s="178"/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0</v>
      </c>
      <c r="H44" s="178"/>
      <c r="I44" s="178"/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0</v>
      </c>
      <c r="H45" s="178"/>
      <c r="I45" s="178"/>
      <c r="J45" s="178"/>
      <c r="K45" s="29"/>
    </row>
    <row r="46" spans="1:18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0</v>
      </c>
      <c r="H46" s="178"/>
      <c r="I46" s="178"/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0</v>
      </c>
      <c r="H47" s="178"/>
      <c r="I47" s="178"/>
      <c r="J47" s="178"/>
      <c r="K47" s="29"/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0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0</v>
      </c>
      <c r="H49" s="178"/>
      <c r="I49" s="178"/>
      <c r="J49" s="178"/>
      <c r="K49" s="7"/>
    </row>
    <row r="50" spans="1:18" s="162" customFormat="1" ht="18" customHeight="1" x14ac:dyDescent="0.25">
      <c r="A50" s="158">
        <f t="shared" si="0"/>
        <v>42</v>
      </c>
      <c r="B50" s="174"/>
      <c r="C50" s="236"/>
      <c r="D50" s="214" t="s">
        <v>214</v>
      </c>
      <c r="E50" s="175"/>
      <c r="F50" s="172"/>
      <c r="G50" s="238">
        <f t="shared" si="1"/>
        <v>0</v>
      </c>
      <c r="H50" s="178"/>
      <c r="I50" s="178"/>
      <c r="J50" s="178"/>
      <c r="K50" s="7"/>
      <c r="R50"/>
    </row>
    <row r="51" spans="1:18" ht="18" customHeight="1" x14ac:dyDescent="0.25">
      <c r="A51" s="14">
        <f t="shared" si="0"/>
        <v>43</v>
      </c>
      <c r="B51" s="8"/>
      <c r="C51" s="46"/>
      <c r="D51" s="214" t="s">
        <v>214</v>
      </c>
      <c r="E51" s="32"/>
      <c r="F51" s="17"/>
      <c r="G51" s="18">
        <f t="shared" si="1"/>
        <v>0</v>
      </c>
      <c r="H51" s="239"/>
      <c r="I51" s="239"/>
      <c r="J51" s="239"/>
      <c r="K51" s="7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0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0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0</v>
      </c>
      <c r="H54" s="28"/>
      <c r="I54" s="28"/>
      <c r="J54" s="28"/>
      <c r="K54" s="7"/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0</v>
      </c>
      <c r="H55" s="240"/>
      <c r="I55" s="240"/>
      <c r="J55" s="240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0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0</v>
      </c>
      <c r="H57" s="240"/>
      <c r="I57" s="240"/>
      <c r="J57" s="240"/>
      <c r="K57" s="7" t="s">
        <v>14</v>
      </c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0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0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0</v>
      </c>
      <c r="H65" s="240"/>
      <c r="I65" s="240"/>
      <c r="J65" s="240"/>
      <c r="K65" s="7" t="s">
        <v>14</v>
      </c>
      <c r="L65" s="26"/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0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>+G66+E67-F67</f>
        <v>0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>+G67+E68-F68</f>
        <v>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>+G68+E69-F69</f>
        <v>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>+A71+1</f>
        <v>64</v>
      </c>
      <c r="B72" s="8"/>
      <c r="C72" s="46"/>
      <c r="D72" s="214" t="s">
        <v>214</v>
      </c>
      <c r="E72" s="32"/>
      <c r="F72" s="17"/>
      <c r="G72" s="18">
        <f t="shared" si="1"/>
        <v>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7" si="2">+A73+1</f>
        <v>66</v>
      </c>
      <c r="B74" s="8"/>
      <c r="C74" s="46"/>
      <c r="D74" s="214" t="s">
        <v>214</v>
      </c>
      <c r="E74" s="32"/>
      <c r="F74" s="17"/>
      <c r="G74" s="18">
        <f t="shared" ref="G74:G91" si="3">+G73+E74-F74</f>
        <v>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67</v>
      </c>
      <c r="B75" s="8"/>
      <c r="C75" s="46"/>
      <c r="D75" s="214" t="s">
        <v>214</v>
      </c>
      <c r="E75" s="32"/>
      <c r="F75" s="17"/>
      <c r="G75" s="18">
        <f t="shared" si="3"/>
        <v>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27"/>
      <c r="G83" s="18">
        <f t="shared" si="3"/>
        <v>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17"/>
      <c r="G84" s="18">
        <f t="shared" si="3"/>
        <v>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0</v>
      </c>
      <c r="H90" s="240"/>
      <c r="I90" s="240"/>
      <c r="J90" s="240"/>
      <c r="K90" s="7" t="s">
        <v>14</v>
      </c>
      <c r="N90" s="199"/>
      <c r="S90" s="199"/>
    </row>
    <row r="91" spans="1:19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27"/>
      <c r="G91" s="18">
        <f t="shared" si="3"/>
        <v>0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>+G91+E92-F92</f>
        <v>0</v>
      </c>
      <c r="H92" s="240"/>
      <c r="I92" s="240"/>
      <c r="J92" s="240"/>
      <c r="K92" s="7" t="s">
        <v>14</v>
      </c>
      <c r="N92" s="199"/>
      <c r="S92" s="199"/>
    </row>
    <row r="93" spans="1:19" s="179" customFormat="1" ht="18" customHeight="1" x14ac:dyDescent="0.25">
      <c r="A93" s="241">
        <f t="shared" si="2"/>
        <v>85</v>
      </c>
      <c r="B93" s="242"/>
      <c r="C93" s="243"/>
      <c r="D93" s="214" t="s">
        <v>214</v>
      </c>
      <c r="E93" s="245"/>
      <c r="F93" s="52"/>
      <c r="G93" s="246">
        <f>+G92+E93-F93</f>
        <v>0</v>
      </c>
      <c r="H93" s="240"/>
      <c r="I93" s="240"/>
      <c r="J93" s="240"/>
      <c r="K93" s="247" t="s">
        <v>14</v>
      </c>
      <c r="L93" s="179" t="s">
        <v>43</v>
      </c>
      <c r="N93" s="248"/>
      <c r="S93" s="248"/>
    </row>
    <row r="94" spans="1:19" s="179" customFormat="1" ht="18" customHeight="1" x14ac:dyDescent="0.25">
      <c r="A94" s="241"/>
      <c r="B94" s="242"/>
      <c r="C94" s="243"/>
      <c r="D94" s="214" t="s">
        <v>214</v>
      </c>
      <c r="E94" s="245"/>
      <c r="F94" s="52"/>
      <c r="G94" s="246">
        <f t="shared" ref="G94:G106" si="4">+G93+E94-F94</f>
        <v>0</v>
      </c>
      <c r="H94" s="240"/>
      <c r="I94" s="240"/>
      <c r="J94" s="240"/>
      <c r="K94" s="247" t="s">
        <v>14</v>
      </c>
      <c r="N94" s="248"/>
      <c r="S94" s="248"/>
    </row>
    <row r="95" spans="1:19" s="179" customFormat="1" ht="18" customHeight="1" x14ac:dyDescent="0.25">
      <c r="A95" s="241"/>
      <c r="B95" s="242"/>
      <c r="C95" s="243"/>
      <c r="D95" s="214" t="s">
        <v>214</v>
      </c>
      <c r="E95" s="245"/>
      <c r="F95" s="52"/>
      <c r="G95" s="246">
        <f t="shared" si="4"/>
        <v>0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241"/>
      <c r="B96" s="242"/>
      <c r="C96" s="243"/>
      <c r="D96" s="214" t="s">
        <v>214</v>
      </c>
      <c r="E96" s="245"/>
      <c r="F96" s="52"/>
      <c r="G96" s="246">
        <f t="shared" si="4"/>
        <v>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241"/>
      <c r="B97" s="242"/>
      <c r="C97" s="243"/>
      <c r="D97" s="214" t="s">
        <v>214</v>
      </c>
      <c r="E97" s="245"/>
      <c r="F97" s="52"/>
      <c r="G97" s="246">
        <f t="shared" si="4"/>
        <v>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241"/>
      <c r="B98" s="242"/>
      <c r="C98" s="243"/>
      <c r="D98" s="214" t="s">
        <v>214</v>
      </c>
      <c r="E98" s="245"/>
      <c r="F98" s="52"/>
      <c r="G98" s="246">
        <f t="shared" si="4"/>
        <v>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241"/>
      <c r="B99" s="242"/>
      <c r="C99" s="243"/>
      <c r="D99" s="214" t="s">
        <v>214</v>
      </c>
      <c r="E99" s="245"/>
      <c r="F99" s="52"/>
      <c r="G99" s="246">
        <f t="shared" si="4"/>
        <v>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241"/>
      <c r="B100" s="242"/>
      <c r="C100" s="243"/>
      <c r="D100" s="214" t="s">
        <v>214</v>
      </c>
      <c r="E100" s="245"/>
      <c r="F100" s="52"/>
      <c r="G100" s="246">
        <f t="shared" si="4"/>
        <v>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241"/>
      <c r="B101" s="242"/>
      <c r="C101" s="243"/>
      <c r="D101" s="214" t="s">
        <v>214</v>
      </c>
      <c r="E101" s="245"/>
      <c r="F101" s="52"/>
      <c r="G101" s="246">
        <f t="shared" si="4"/>
        <v>0</v>
      </c>
      <c r="H101" s="240"/>
      <c r="I101" s="240"/>
      <c r="J101" s="240"/>
      <c r="K101" s="247"/>
      <c r="N101" s="248"/>
      <c r="S101" s="248"/>
    </row>
    <row r="102" spans="1:19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0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0</v>
      </c>
      <c r="H104" s="240"/>
      <c r="I104" s="240"/>
      <c r="J104" s="240"/>
      <c r="K104" s="247"/>
      <c r="N104" s="248"/>
      <c r="S104" s="248"/>
    </row>
    <row r="105" spans="1:19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0</v>
      </c>
      <c r="H105" s="28"/>
      <c r="I105" s="28"/>
      <c r="J105" s="28"/>
      <c r="K105" s="7"/>
      <c r="N105" s="199"/>
      <c r="S105" s="199"/>
    </row>
    <row r="106" spans="1:19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0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0</v>
      </c>
      <c r="G108" s="35">
        <f>+E108-F108+G8</f>
        <v>0</v>
      </c>
      <c r="H108" s="35"/>
      <c r="I108" s="35"/>
      <c r="J108" s="35">
        <f>SUM(J9:J107)</f>
        <v>202</v>
      </c>
      <c r="K108" s="36"/>
    </row>
    <row r="109" spans="1:19" ht="18" customHeight="1" x14ac:dyDescent="0.25"/>
    <row r="112" spans="1:19" x14ac:dyDescent="0.25">
      <c r="E112" s="201"/>
      <c r="F112" s="201"/>
      <c r="G112" s="201"/>
      <c r="H112" s="201"/>
      <c r="I112" s="201"/>
      <c r="J112" s="201"/>
    </row>
    <row r="113" spans="5:11" x14ac:dyDescent="0.25">
      <c r="F113" s="26"/>
    </row>
    <row r="114" spans="5:11" x14ac:dyDescent="0.25">
      <c r="E114" s="26"/>
      <c r="F114" s="26"/>
      <c r="G114" s="26"/>
      <c r="H114" s="26"/>
      <c r="I114" s="26"/>
      <c r="J114" s="26"/>
      <c r="K114" s="26"/>
    </row>
    <row r="115" spans="5:11" x14ac:dyDescent="0.25">
      <c r="K115" s="202"/>
    </row>
    <row r="116" spans="5:11" x14ac:dyDescent="0.25">
      <c r="E116" s="199"/>
    </row>
    <row r="117" spans="5:11" x14ac:dyDescent="0.25">
      <c r="E117" s="26"/>
      <c r="F117" s="26"/>
    </row>
    <row r="118" spans="5:11" x14ac:dyDescent="0.25">
      <c r="E118" s="203"/>
      <c r="F118" s="204"/>
      <c r="G118" s="203"/>
      <c r="H118" s="203"/>
      <c r="I118" s="203"/>
      <c r="J118" s="203"/>
    </row>
    <row r="119" spans="5:11" x14ac:dyDescent="0.25">
      <c r="F119" s="26"/>
    </row>
  </sheetData>
  <mergeCells count="1">
    <mergeCell ref="A4:K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B78E-9629-4FAE-85F4-B6C3D05AC485}">
  <sheetPr codeName="Sheet104"/>
  <dimension ref="A1:S119"/>
  <sheetViews>
    <sheetView workbookViewId="0">
      <selection activeCell="E12" sqref="E12"/>
    </sheetView>
  </sheetViews>
  <sheetFormatPr defaultRowHeight="15" x14ac:dyDescent="0.25"/>
  <cols>
    <col min="1" max="1" width="6" customWidth="1"/>
    <col min="2" max="2" width="11.5703125" customWidth="1"/>
    <col min="3" max="3" width="47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8.85546875" customWidth="1"/>
    <col min="10" max="10" width="11.42578125" customWidth="1"/>
    <col min="11" max="11" width="14.85546875" customWidth="1"/>
    <col min="12" max="12" width="11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2" x14ac:dyDescent="0.25">
      <c r="A6" t="s">
        <v>167</v>
      </c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/>
      <c r="J7" s="6" t="s">
        <v>23</v>
      </c>
      <c r="K7" s="4" t="s">
        <v>10</v>
      </c>
    </row>
    <row r="8" spans="1:12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2" ht="17.25" customHeight="1" x14ac:dyDescent="0.25">
      <c r="A9" s="14">
        <v>1</v>
      </c>
      <c r="B9" s="8">
        <v>45695</v>
      </c>
      <c r="C9" s="46" t="s">
        <v>221</v>
      </c>
      <c r="D9" s="214" t="s">
        <v>214</v>
      </c>
      <c r="E9" s="30">
        <v>322</v>
      </c>
      <c r="F9" s="27"/>
      <c r="G9" s="18">
        <f>+G8+E9-F9</f>
        <v>322</v>
      </c>
      <c r="H9" s="28" t="s">
        <v>91</v>
      </c>
      <c r="I9" s="28"/>
      <c r="J9" s="28">
        <v>132</v>
      </c>
      <c r="K9" s="7"/>
      <c r="L9" s="392" t="s">
        <v>350</v>
      </c>
    </row>
    <row r="10" spans="1:12" ht="17.25" customHeight="1" x14ac:dyDescent="0.25">
      <c r="A10" s="14">
        <f t="shared" ref="A10:A73" si="0">+A9+1</f>
        <v>2</v>
      </c>
      <c r="B10" s="8">
        <v>45730</v>
      </c>
      <c r="C10" s="46" t="s">
        <v>168</v>
      </c>
      <c r="D10" s="214" t="s">
        <v>214</v>
      </c>
      <c r="E10" s="30"/>
      <c r="F10" s="27">
        <v>222</v>
      </c>
      <c r="G10" s="18">
        <f t="shared" ref="G10:G73" si="1">+G9+E10-F10</f>
        <v>100</v>
      </c>
      <c r="H10" s="28" t="s">
        <v>91</v>
      </c>
      <c r="I10" s="28">
        <f>+F10*L12</f>
        <v>105.22799999999999</v>
      </c>
      <c r="J10" s="28"/>
      <c r="K10" s="7" t="s">
        <v>90</v>
      </c>
    </row>
    <row r="11" spans="1:12" ht="18" customHeight="1" x14ac:dyDescent="0.25">
      <c r="A11" s="14">
        <f t="shared" si="0"/>
        <v>3</v>
      </c>
      <c r="B11" s="8"/>
      <c r="C11" s="46" t="s">
        <v>168</v>
      </c>
      <c r="D11" s="214" t="s">
        <v>214</v>
      </c>
      <c r="E11" s="16"/>
      <c r="F11" s="27">
        <v>100</v>
      </c>
      <c r="G11" s="18">
        <f t="shared" si="1"/>
        <v>0</v>
      </c>
      <c r="H11" s="28" t="s">
        <v>91</v>
      </c>
      <c r="I11" s="28">
        <f>+F11*L12</f>
        <v>47.4</v>
      </c>
      <c r="J11" s="28"/>
      <c r="K11" s="7" t="s">
        <v>90</v>
      </c>
      <c r="L11" s="26"/>
    </row>
    <row r="12" spans="1:12" ht="18" customHeight="1" x14ac:dyDescent="0.25">
      <c r="A12" s="14">
        <f t="shared" si="0"/>
        <v>4</v>
      </c>
      <c r="B12" s="8">
        <v>45737</v>
      </c>
      <c r="C12" s="46"/>
      <c r="D12" s="214" t="s">
        <v>214</v>
      </c>
      <c r="E12" s="16">
        <v>500</v>
      </c>
      <c r="F12" s="17"/>
      <c r="G12" s="18">
        <f t="shared" si="1"/>
        <v>500</v>
      </c>
      <c r="H12" s="28" t="s">
        <v>91</v>
      </c>
      <c r="I12" s="28"/>
      <c r="J12" s="28">
        <v>237</v>
      </c>
      <c r="K12" s="7" t="s">
        <v>90</v>
      </c>
      <c r="L12" s="149">
        <f>+J12/E12</f>
        <v>0.47399999999999998</v>
      </c>
    </row>
    <row r="13" spans="1:12" ht="18" customHeight="1" x14ac:dyDescent="0.25">
      <c r="A13" s="14">
        <f t="shared" si="0"/>
        <v>5</v>
      </c>
      <c r="B13" s="8">
        <v>45752</v>
      </c>
      <c r="C13" s="46"/>
      <c r="D13" s="214" t="s">
        <v>214</v>
      </c>
      <c r="E13" s="16"/>
      <c r="F13" s="17">
        <v>28</v>
      </c>
      <c r="G13" s="18">
        <f t="shared" si="1"/>
        <v>472</v>
      </c>
      <c r="H13" s="28" t="s">
        <v>91</v>
      </c>
      <c r="I13" s="178">
        <f>+F13*L12</f>
        <v>13.271999999999998</v>
      </c>
      <c r="J13" s="28"/>
      <c r="K13" s="7" t="s">
        <v>90</v>
      </c>
      <c r="L13" s="26"/>
    </row>
    <row r="14" spans="1:12" ht="18" customHeight="1" x14ac:dyDescent="0.25">
      <c r="A14" s="14">
        <f t="shared" si="0"/>
        <v>6</v>
      </c>
      <c r="B14" s="8">
        <v>45756</v>
      </c>
      <c r="C14" s="46"/>
      <c r="D14" s="214" t="s">
        <v>214</v>
      </c>
      <c r="E14" s="16"/>
      <c r="F14" s="17">
        <v>234</v>
      </c>
      <c r="G14" s="18">
        <f t="shared" si="1"/>
        <v>238</v>
      </c>
      <c r="H14" s="28" t="s">
        <v>91</v>
      </c>
      <c r="I14" s="178">
        <f>+F14*L12</f>
        <v>110.916</v>
      </c>
      <c r="J14" s="28"/>
      <c r="K14" s="7" t="s">
        <v>90</v>
      </c>
    </row>
    <row r="15" spans="1:12" ht="18" customHeight="1" x14ac:dyDescent="0.25">
      <c r="A15" s="14">
        <f t="shared" si="0"/>
        <v>7</v>
      </c>
      <c r="B15" s="8">
        <v>45757</v>
      </c>
      <c r="C15" s="46"/>
      <c r="D15" s="214" t="s">
        <v>214</v>
      </c>
      <c r="E15" s="16"/>
      <c r="F15" s="27">
        <v>249</v>
      </c>
      <c r="G15" s="18">
        <f t="shared" si="1"/>
        <v>-11</v>
      </c>
      <c r="H15" s="28" t="s">
        <v>91</v>
      </c>
      <c r="I15" s="28">
        <f>+F15*L12</f>
        <v>118.026</v>
      </c>
      <c r="J15" s="28"/>
      <c r="K15" s="7" t="s">
        <v>90</v>
      </c>
      <c r="L15" s="26"/>
    </row>
    <row r="16" spans="1:12" ht="18" customHeight="1" x14ac:dyDescent="0.25">
      <c r="A16" s="14">
        <f t="shared" si="0"/>
        <v>8</v>
      </c>
      <c r="B16" s="8">
        <v>45759</v>
      </c>
      <c r="C16" s="46"/>
      <c r="D16" s="214" t="s">
        <v>214</v>
      </c>
      <c r="E16" s="16">
        <v>420</v>
      </c>
      <c r="F16" s="27"/>
      <c r="G16" s="18">
        <f t="shared" si="1"/>
        <v>409</v>
      </c>
      <c r="H16" s="28" t="s">
        <v>91</v>
      </c>
      <c r="I16" s="28"/>
      <c r="J16" s="28"/>
      <c r="K16" s="7" t="s">
        <v>90</v>
      </c>
    </row>
    <row r="17" spans="1:16" ht="18" customHeight="1" x14ac:dyDescent="0.25">
      <c r="A17" s="14">
        <f t="shared" si="0"/>
        <v>9</v>
      </c>
      <c r="B17" s="8">
        <v>45787</v>
      </c>
      <c r="C17" s="46"/>
      <c r="D17" s="214" t="s">
        <v>214</v>
      </c>
      <c r="E17" s="30"/>
      <c r="F17" s="27">
        <v>37</v>
      </c>
      <c r="G17" s="18">
        <f t="shared" si="1"/>
        <v>372</v>
      </c>
      <c r="H17" s="28" t="s">
        <v>91</v>
      </c>
      <c r="I17" s="28">
        <f>+F17*L12</f>
        <v>17.538</v>
      </c>
      <c r="J17" s="28"/>
      <c r="K17" s="7" t="s">
        <v>90</v>
      </c>
    </row>
    <row r="18" spans="1:16" s="230" customFormat="1" ht="18" customHeight="1" x14ac:dyDescent="0.25">
      <c r="A18" s="223">
        <f>+A17+1</f>
        <v>10</v>
      </c>
      <c r="B18" s="224">
        <v>45789</v>
      </c>
      <c r="C18" s="225"/>
      <c r="D18" s="214" t="s">
        <v>214</v>
      </c>
      <c r="E18" s="227"/>
      <c r="F18" s="228">
        <v>201</v>
      </c>
      <c r="G18" s="229">
        <f t="shared" si="1"/>
        <v>171</v>
      </c>
      <c r="H18" s="28" t="s">
        <v>91</v>
      </c>
      <c r="I18" s="28">
        <f>+F18*L12</f>
        <v>95.274000000000001</v>
      </c>
      <c r="J18" s="28"/>
      <c r="K18" s="7" t="s">
        <v>90</v>
      </c>
    </row>
    <row r="19" spans="1:16" s="230" customFormat="1" ht="18" customHeight="1" x14ac:dyDescent="0.25">
      <c r="A19" s="223">
        <f t="shared" si="0"/>
        <v>11</v>
      </c>
      <c r="B19" s="224">
        <v>45790</v>
      </c>
      <c r="C19" s="225"/>
      <c r="D19" s="214" t="s">
        <v>214</v>
      </c>
      <c r="E19" s="231"/>
      <c r="F19" s="228">
        <v>156</v>
      </c>
      <c r="G19" s="229">
        <f t="shared" si="1"/>
        <v>15</v>
      </c>
      <c r="H19" s="28" t="s">
        <v>91</v>
      </c>
      <c r="I19" s="28">
        <f>+F19*L12</f>
        <v>73.944000000000003</v>
      </c>
      <c r="J19" s="28"/>
      <c r="K19" s="7" t="s">
        <v>90</v>
      </c>
    </row>
    <row r="20" spans="1:16" ht="18" customHeight="1" x14ac:dyDescent="0.25">
      <c r="A20" s="14">
        <f t="shared" si="0"/>
        <v>12</v>
      </c>
      <c r="B20" s="8">
        <v>45794</v>
      </c>
      <c r="C20" s="46"/>
      <c r="D20" s="214" t="s">
        <v>214</v>
      </c>
      <c r="E20" s="32"/>
      <c r="F20" s="17">
        <v>15</v>
      </c>
      <c r="G20" s="18">
        <f t="shared" si="1"/>
        <v>0</v>
      </c>
      <c r="H20" s="28" t="s">
        <v>91</v>
      </c>
      <c r="I20" s="28">
        <f>+F20*L12</f>
        <v>7.1099999999999994</v>
      </c>
      <c r="J20" s="28"/>
      <c r="K20" s="7" t="s">
        <v>90</v>
      </c>
      <c r="P20" s="26"/>
    </row>
    <row r="21" spans="1:16" ht="18" customHeight="1" x14ac:dyDescent="0.25">
      <c r="A21" s="14">
        <f t="shared" si="0"/>
        <v>13</v>
      </c>
      <c r="B21" s="8"/>
      <c r="C21" s="46"/>
      <c r="D21" s="214" t="s">
        <v>214</v>
      </c>
      <c r="E21" s="32"/>
      <c r="F21" s="27"/>
      <c r="G21" s="18">
        <f t="shared" si="1"/>
        <v>0</v>
      </c>
      <c r="H21" s="28" t="s">
        <v>91</v>
      </c>
      <c r="I21" s="28"/>
      <c r="J21" s="28"/>
      <c r="K21" s="7" t="s">
        <v>90</v>
      </c>
    </row>
    <row r="22" spans="1:16" ht="18" customHeight="1" x14ac:dyDescent="0.25">
      <c r="A22" s="14">
        <f t="shared" si="0"/>
        <v>14</v>
      </c>
      <c r="B22" s="232"/>
      <c r="C22" s="233"/>
      <c r="D22" s="214" t="s">
        <v>214</v>
      </c>
      <c r="E22" s="235"/>
      <c r="F22" s="172"/>
      <c r="G22" s="18">
        <f t="shared" si="1"/>
        <v>0</v>
      </c>
      <c r="H22" s="28" t="s">
        <v>129</v>
      </c>
      <c r="I22" s="28"/>
      <c r="J22" s="28"/>
      <c r="K22" s="7" t="s">
        <v>90</v>
      </c>
    </row>
    <row r="23" spans="1:16" ht="18" customHeight="1" x14ac:dyDescent="0.25">
      <c r="A23" s="14">
        <f t="shared" si="0"/>
        <v>15</v>
      </c>
      <c r="B23" s="8"/>
      <c r="C23" s="46"/>
      <c r="D23" s="214" t="s">
        <v>214</v>
      </c>
      <c r="E23" s="32"/>
      <c r="F23" s="17"/>
      <c r="G23" s="18">
        <f t="shared" si="1"/>
        <v>0</v>
      </c>
      <c r="H23" s="28" t="s">
        <v>129</v>
      </c>
      <c r="I23" s="28"/>
      <c r="J23" s="28"/>
      <c r="K23" s="7" t="s">
        <v>142</v>
      </c>
    </row>
    <row r="24" spans="1:16" ht="18" customHeight="1" x14ac:dyDescent="0.25">
      <c r="A24" s="14">
        <f t="shared" si="0"/>
        <v>16</v>
      </c>
      <c r="B24" s="8"/>
      <c r="C24" s="46"/>
      <c r="D24" s="214" t="s">
        <v>214</v>
      </c>
      <c r="E24" s="32"/>
      <c r="F24" s="17"/>
      <c r="G24" s="18">
        <f t="shared" si="1"/>
        <v>0</v>
      </c>
      <c r="H24" s="28" t="s">
        <v>91</v>
      </c>
      <c r="I24" s="28"/>
      <c r="J24" s="28"/>
      <c r="K24" s="7" t="s">
        <v>90</v>
      </c>
    </row>
    <row r="25" spans="1:16" ht="18" customHeight="1" x14ac:dyDescent="0.25">
      <c r="A25" s="14">
        <f t="shared" si="0"/>
        <v>17</v>
      </c>
      <c r="B25" s="8"/>
      <c r="C25" s="46"/>
      <c r="D25" s="214" t="s">
        <v>214</v>
      </c>
      <c r="E25" s="32"/>
      <c r="F25" s="17"/>
      <c r="G25" s="18">
        <f t="shared" si="1"/>
        <v>0</v>
      </c>
      <c r="H25" s="28" t="s">
        <v>91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18</v>
      </c>
      <c r="B26" s="8"/>
      <c r="C26" s="46"/>
      <c r="D26" s="214" t="s">
        <v>214</v>
      </c>
      <c r="E26" s="32"/>
      <c r="F26" s="17"/>
      <c r="G26" s="18">
        <f t="shared" si="1"/>
        <v>0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>+A26+1</f>
        <v>19</v>
      </c>
      <c r="B27" s="8"/>
      <c r="C27" s="46"/>
      <c r="D27" s="214" t="s">
        <v>214</v>
      </c>
      <c r="E27" s="32"/>
      <c r="F27" s="17"/>
      <c r="G27" s="18">
        <f t="shared" si="1"/>
        <v>0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0"/>
        <v>20</v>
      </c>
      <c r="B28" s="8"/>
      <c r="C28" s="46"/>
      <c r="D28" s="214" t="s">
        <v>214</v>
      </c>
      <c r="E28" s="129"/>
      <c r="F28" s="17"/>
      <c r="G28" s="18">
        <f t="shared" si="1"/>
        <v>0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 t="s">
        <v>214</v>
      </c>
      <c r="E29" s="32"/>
      <c r="F29" s="172"/>
      <c r="G29" s="18">
        <f t="shared" si="1"/>
        <v>0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0"/>
        <v>22</v>
      </c>
      <c r="B30" s="8"/>
      <c r="C30" s="46"/>
      <c r="D30" s="214" t="s">
        <v>214</v>
      </c>
      <c r="E30" s="32"/>
      <c r="F30" s="17"/>
      <c r="G30" s="18">
        <f t="shared" si="1"/>
        <v>0</v>
      </c>
      <c r="H30" s="28" t="s">
        <v>91</v>
      </c>
      <c r="I30" s="28"/>
      <c r="J30" s="28"/>
      <c r="K30" s="7" t="s">
        <v>90</v>
      </c>
    </row>
    <row r="31" spans="1:16" ht="18" customHeight="1" x14ac:dyDescent="0.25">
      <c r="A31" s="14">
        <f t="shared" si="0"/>
        <v>23</v>
      </c>
      <c r="B31" s="8"/>
      <c r="C31" s="46"/>
      <c r="D31" s="214" t="s">
        <v>214</v>
      </c>
      <c r="E31" s="32"/>
      <c r="F31" s="17"/>
      <c r="G31" s="18">
        <f t="shared" si="1"/>
        <v>0</v>
      </c>
      <c r="H31" s="28" t="s">
        <v>91</v>
      </c>
      <c r="I31" s="28"/>
      <c r="J31" s="28"/>
      <c r="K31" s="7" t="s">
        <v>90</v>
      </c>
    </row>
    <row r="32" spans="1:16" ht="17.25" customHeight="1" x14ac:dyDescent="0.25">
      <c r="A32" s="14">
        <f t="shared" si="0"/>
        <v>24</v>
      </c>
      <c r="B32" s="8"/>
      <c r="C32" s="46"/>
      <c r="D32" s="214" t="s">
        <v>214</v>
      </c>
      <c r="E32" s="13"/>
      <c r="F32" s="17"/>
      <c r="G32" s="18">
        <f t="shared" si="1"/>
        <v>0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44"/>
      <c r="C33" s="46"/>
      <c r="D33" s="214" t="s">
        <v>214</v>
      </c>
      <c r="E33" s="13"/>
      <c r="F33" s="17"/>
      <c r="G33" s="18">
        <f t="shared" si="1"/>
        <v>0</v>
      </c>
      <c r="H33" s="178"/>
      <c r="I33" s="178"/>
      <c r="J33" s="178"/>
      <c r="K33" s="7"/>
    </row>
    <row r="34" spans="1:18" ht="18" customHeight="1" x14ac:dyDescent="0.25">
      <c r="A34" s="14">
        <f t="shared" si="0"/>
        <v>26</v>
      </c>
      <c r="B34" s="8"/>
      <c r="C34" s="46"/>
      <c r="D34" s="214" t="s">
        <v>214</v>
      </c>
      <c r="E34" s="32"/>
      <c r="F34" s="40"/>
      <c r="G34" s="18">
        <f t="shared" si="1"/>
        <v>0</v>
      </c>
      <c r="H34" s="178"/>
      <c r="I34" s="178"/>
      <c r="J34" s="178"/>
      <c r="K34" s="7"/>
    </row>
    <row r="35" spans="1:18" ht="18" customHeight="1" x14ac:dyDescent="0.25">
      <c r="A35" s="14">
        <f t="shared" si="0"/>
        <v>27</v>
      </c>
      <c r="B35" s="45"/>
      <c r="C35" s="46"/>
      <c r="D35" s="214" t="s">
        <v>214</v>
      </c>
      <c r="E35" s="32"/>
      <c r="F35" s="40"/>
      <c r="G35" s="18">
        <f t="shared" si="1"/>
        <v>0</v>
      </c>
      <c r="H35" s="178"/>
      <c r="I35" s="178"/>
      <c r="J35" s="178"/>
      <c r="K35" s="7"/>
    </row>
    <row r="36" spans="1:18" ht="18" customHeight="1" x14ac:dyDescent="0.25">
      <c r="A36" s="14">
        <f t="shared" si="0"/>
        <v>28</v>
      </c>
      <c r="B36" s="8"/>
      <c r="C36" s="46"/>
      <c r="D36" s="214" t="s">
        <v>214</v>
      </c>
      <c r="E36" s="32"/>
      <c r="F36" s="40"/>
      <c r="G36" s="18">
        <f t="shared" si="1"/>
        <v>0</v>
      </c>
      <c r="H36" s="178"/>
      <c r="I36" s="178"/>
      <c r="J36" s="178"/>
      <c r="K36" s="7"/>
    </row>
    <row r="37" spans="1:18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17"/>
      <c r="G37" s="18">
        <f t="shared" si="1"/>
        <v>0</v>
      </c>
      <c r="H37" s="178"/>
      <c r="I37" s="178"/>
      <c r="J37" s="178"/>
      <c r="K37" s="7"/>
    </row>
    <row r="38" spans="1:18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0</v>
      </c>
      <c r="H38" s="178"/>
      <c r="I38" s="178"/>
      <c r="J38" s="178"/>
      <c r="K38" s="7"/>
    </row>
    <row r="39" spans="1:18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0</v>
      </c>
      <c r="H39" s="178"/>
      <c r="I39" s="178"/>
      <c r="J39" s="178"/>
      <c r="K39" s="7"/>
    </row>
    <row r="40" spans="1:18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0</v>
      </c>
      <c r="H40" s="178"/>
      <c r="I40" s="178"/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2"/>
      <c r="G41" s="18">
        <f t="shared" si="1"/>
        <v>0</v>
      </c>
      <c r="H41" s="178"/>
      <c r="I41" s="178"/>
      <c r="J41" s="178"/>
      <c r="K41" s="7"/>
      <c r="R41" s="162"/>
    </row>
    <row r="42" spans="1:18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"/>
      <c r="G42" s="18">
        <f t="shared" si="1"/>
        <v>0</v>
      </c>
      <c r="H42" s="178"/>
      <c r="I42" s="178"/>
      <c r="J42" s="178"/>
      <c r="K42" s="7"/>
    </row>
    <row r="43" spans="1:18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0</v>
      </c>
      <c r="H43" s="178"/>
      <c r="I43" s="178"/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0</v>
      </c>
      <c r="H44" s="178"/>
      <c r="I44" s="178"/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0</v>
      </c>
      <c r="H45" s="178"/>
      <c r="I45" s="178"/>
      <c r="J45" s="178"/>
      <c r="K45" s="29"/>
    </row>
    <row r="46" spans="1:18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0</v>
      </c>
      <c r="H46" s="178"/>
      <c r="I46" s="178"/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0</v>
      </c>
      <c r="H47" s="178"/>
      <c r="I47" s="178"/>
      <c r="J47" s="178"/>
      <c r="K47" s="29"/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0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0</v>
      </c>
      <c r="H49" s="178"/>
      <c r="I49" s="178"/>
      <c r="J49" s="178"/>
      <c r="K49" s="7"/>
    </row>
    <row r="50" spans="1:18" s="162" customFormat="1" ht="18" customHeight="1" x14ac:dyDescent="0.25">
      <c r="A50" s="158">
        <f t="shared" si="0"/>
        <v>42</v>
      </c>
      <c r="B50" s="174"/>
      <c r="C50" s="236"/>
      <c r="D50" s="214" t="s">
        <v>214</v>
      </c>
      <c r="E50" s="175"/>
      <c r="F50" s="172"/>
      <c r="G50" s="238">
        <f t="shared" si="1"/>
        <v>0</v>
      </c>
      <c r="H50" s="178"/>
      <c r="I50" s="178"/>
      <c r="J50" s="178"/>
      <c r="K50" s="7"/>
      <c r="R50"/>
    </row>
    <row r="51" spans="1:18" ht="18" customHeight="1" x14ac:dyDescent="0.25">
      <c r="A51" s="14">
        <f t="shared" si="0"/>
        <v>43</v>
      </c>
      <c r="B51" s="8"/>
      <c r="C51" s="46"/>
      <c r="D51" s="214" t="s">
        <v>214</v>
      </c>
      <c r="E51" s="32"/>
      <c r="F51" s="17"/>
      <c r="G51" s="18">
        <f t="shared" si="1"/>
        <v>0</v>
      </c>
      <c r="H51" s="239"/>
      <c r="I51" s="239"/>
      <c r="J51" s="239"/>
      <c r="K51" s="7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0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0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0</v>
      </c>
      <c r="H54" s="28"/>
      <c r="I54" s="28"/>
      <c r="J54" s="28"/>
      <c r="K54" s="7"/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0</v>
      </c>
      <c r="H55" s="240"/>
      <c r="I55" s="240"/>
      <c r="J55" s="240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0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0</v>
      </c>
      <c r="H57" s="240"/>
      <c r="I57" s="240"/>
      <c r="J57" s="240"/>
      <c r="K57" s="7" t="s">
        <v>14</v>
      </c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0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0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0</v>
      </c>
      <c r="H65" s="240"/>
      <c r="I65" s="240"/>
      <c r="J65" s="240"/>
      <c r="K65" s="7" t="s">
        <v>14</v>
      </c>
      <c r="L65" s="26"/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0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>+G66+E67-F67</f>
        <v>0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>+G67+E68-F68</f>
        <v>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>+G68+E69-F69</f>
        <v>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>+A71+1</f>
        <v>64</v>
      </c>
      <c r="B72" s="8"/>
      <c r="C72" s="46"/>
      <c r="D72" s="214" t="s">
        <v>214</v>
      </c>
      <c r="E72" s="32"/>
      <c r="F72" s="17"/>
      <c r="G72" s="18">
        <f t="shared" si="1"/>
        <v>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7" si="2">+A73+1</f>
        <v>66</v>
      </c>
      <c r="B74" s="8"/>
      <c r="C74" s="46"/>
      <c r="D74" s="214" t="s">
        <v>214</v>
      </c>
      <c r="E74" s="32"/>
      <c r="F74" s="17"/>
      <c r="G74" s="18">
        <f t="shared" ref="G74:G91" si="3">+G73+E74-F74</f>
        <v>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67</v>
      </c>
      <c r="B75" s="8"/>
      <c r="C75" s="46"/>
      <c r="D75" s="214" t="s">
        <v>214</v>
      </c>
      <c r="E75" s="32"/>
      <c r="F75" s="17"/>
      <c r="G75" s="18">
        <f t="shared" si="3"/>
        <v>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27"/>
      <c r="G83" s="18">
        <f t="shared" si="3"/>
        <v>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17"/>
      <c r="G84" s="18">
        <f t="shared" si="3"/>
        <v>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0</v>
      </c>
      <c r="H90" s="240"/>
      <c r="I90" s="240"/>
      <c r="J90" s="240"/>
      <c r="K90" s="7" t="s">
        <v>14</v>
      </c>
      <c r="N90" s="199"/>
      <c r="S90" s="199"/>
    </row>
    <row r="91" spans="1:19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27"/>
      <c r="G91" s="18">
        <f t="shared" si="3"/>
        <v>0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>+G91+E92-F92</f>
        <v>0</v>
      </c>
      <c r="H92" s="240"/>
      <c r="I92" s="240"/>
      <c r="J92" s="240"/>
      <c r="K92" s="7" t="s">
        <v>14</v>
      </c>
      <c r="N92" s="199"/>
      <c r="S92" s="199"/>
    </row>
    <row r="93" spans="1:19" s="179" customFormat="1" ht="18" customHeight="1" x14ac:dyDescent="0.25">
      <c r="A93" s="241">
        <f t="shared" si="2"/>
        <v>85</v>
      </c>
      <c r="B93" s="242"/>
      <c r="C93" s="243"/>
      <c r="D93" s="214" t="s">
        <v>214</v>
      </c>
      <c r="E93" s="245"/>
      <c r="F93" s="52"/>
      <c r="G93" s="246">
        <f>+G92+E93-F93</f>
        <v>0</v>
      </c>
      <c r="H93" s="240"/>
      <c r="I93" s="240"/>
      <c r="J93" s="240"/>
      <c r="K93" s="247" t="s">
        <v>14</v>
      </c>
      <c r="L93" s="179" t="s">
        <v>43</v>
      </c>
      <c r="N93" s="248"/>
      <c r="S93" s="248"/>
    </row>
    <row r="94" spans="1:19" s="179" customFormat="1" ht="18" customHeight="1" x14ac:dyDescent="0.25">
      <c r="A94" s="241"/>
      <c r="B94" s="242"/>
      <c r="C94" s="243"/>
      <c r="D94" s="214" t="s">
        <v>214</v>
      </c>
      <c r="E94" s="245"/>
      <c r="F94" s="52"/>
      <c r="G94" s="246">
        <f t="shared" ref="G94:G106" si="4">+G93+E94-F94</f>
        <v>0</v>
      </c>
      <c r="H94" s="240"/>
      <c r="I94" s="240"/>
      <c r="J94" s="240"/>
      <c r="K94" s="247" t="s">
        <v>14</v>
      </c>
      <c r="N94" s="248"/>
      <c r="S94" s="248"/>
    </row>
    <row r="95" spans="1:19" s="179" customFormat="1" ht="18" customHeight="1" x14ac:dyDescent="0.25">
      <c r="A95" s="241"/>
      <c r="B95" s="242"/>
      <c r="C95" s="243"/>
      <c r="D95" s="214" t="s">
        <v>214</v>
      </c>
      <c r="E95" s="245"/>
      <c r="F95" s="52"/>
      <c r="G95" s="246">
        <f t="shared" si="4"/>
        <v>0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241"/>
      <c r="B96" s="242"/>
      <c r="C96" s="243"/>
      <c r="D96" s="214" t="s">
        <v>214</v>
      </c>
      <c r="E96" s="245"/>
      <c r="F96" s="52"/>
      <c r="G96" s="246">
        <f t="shared" si="4"/>
        <v>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241"/>
      <c r="B97" s="242"/>
      <c r="C97" s="243"/>
      <c r="D97" s="214" t="s">
        <v>214</v>
      </c>
      <c r="E97" s="245"/>
      <c r="F97" s="52"/>
      <c r="G97" s="246">
        <f t="shared" si="4"/>
        <v>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241"/>
      <c r="B98" s="242"/>
      <c r="C98" s="243"/>
      <c r="D98" s="214" t="s">
        <v>214</v>
      </c>
      <c r="E98" s="245"/>
      <c r="F98" s="52"/>
      <c r="G98" s="246">
        <f t="shared" si="4"/>
        <v>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241"/>
      <c r="B99" s="242"/>
      <c r="C99" s="243"/>
      <c r="D99" s="214" t="s">
        <v>214</v>
      </c>
      <c r="E99" s="245"/>
      <c r="F99" s="52"/>
      <c r="G99" s="246">
        <f t="shared" si="4"/>
        <v>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241"/>
      <c r="B100" s="242"/>
      <c r="C100" s="243"/>
      <c r="D100" s="214" t="s">
        <v>214</v>
      </c>
      <c r="E100" s="245"/>
      <c r="F100" s="52"/>
      <c r="G100" s="246">
        <f t="shared" si="4"/>
        <v>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241"/>
      <c r="B101" s="242"/>
      <c r="C101" s="243"/>
      <c r="D101" s="214" t="s">
        <v>214</v>
      </c>
      <c r="E101" s="245"/>
      <c r="F101" s="52"/>
      <c r="G101" s="246">
        <f t="shared" si="4"/>
        <v>0</v>
      </c>
      <c r="H101" s="240"/>
      <c r="I101" s="240"/>
      <c r="J101" s="240"/>
      <c r="K101" s="247"/>
      <c r="N101" s="248"/>
      <c r="S101" s="248"/>
    </row>
    <row r="102" spans="1:19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0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0</v>
      </c>
      <c r="H104" s="240"/>
      <c r="I104" s="240"/>
      <c r="J104" s="240"/>
      <c r="K104" s="247"/>
      <c r="N104" s="248"/>
      <c r="S104" s="248"/>
    </row>
    <row r="105" spans="1:19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0</v>
      </c>
      <c r="H105" s="28"/>
      <c r="I105" s="28"/>
      <c r="J105" s="28"/>
      <c r="K105" s="7"/>
      <c r="N105" s="199"/>
      <c r="S105" s="199"/>
    </row>
    <row r="106" spans="1:19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0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7"/>
      <c r="B108" s="7"/>
      <c r="C108" s="34" t="s">
        <v>13</v>
      </c>
      <c r="D108" s="14"/>
      <c r="E108" s="35">
        <f>SUM(E8:E107)</f>
        <v>1242</v>
      </c>
      <c r="F108" s="35">
        <f>SUM(F8:F107)</f>
        <v>1242</v>
      </c>
      <c r="G108" s="35">
        <f>+E108-F108+G8</f>
        <v>0</v>
      </c>
      <c r="H108" s="35"/>
      <c r="I108" s="35"/>
      <c r="J108" s="35">
        <f>SUM(J9:J107)</f>
        <v>369</v>
      </c>
      <c r="K108" s="36"/>
    </row>
    <row r="109" spans="1:19" ht="18" customHeight="1" x14ac:dyDescent="0.25"/>
    <row r="112" spans="1:19" x14ac:dyDescent="0.25">
      <c r="E112" s="201"/>
      <c r="F112" s="201"/>
      <c r="G112" s="201"/>
      <c r="H112" s="201"/>
      <c r="I112" s="201"/>
      <c r="J112" s="201"/>
    </row>
    <row r="113" spans="5:11" x14ac:dyDescent="0.25">
      <c r="F113" s="26"/>
    </row>
    <row r="114" spans="5:11" x14ac:dyDescent="0.25">
      <c r="E114" s="26"/>
      <c r="F114" s="26"/>
      <c r="G114" s="26"/>
      <c r="H114" s="26"/>
      <c r="I114" s="26"/>
      <c r="J114" s="26"/>
      <c r="K114" s="26"/>
    </row>
    <row r="115" spans="5:11" x14ac:dyDescent="0.25">
      <c r="K115" s="202"/>
    </row>
    <row r="116" spans="5:11" x14ac:dyDescent="0.25">
      <c r="E116" s="199"/>
    </row>
    <row r="117" spans="5:11" x14ac:dyDescent="0.25">
      <c r="E117" s="26"/>
      <c r="F117" s="26"/>
    </row>
    <row r="118" spans="5:11" x14ac:dyDescent="0.25">
      <c r="E118" s="203"/>
      <c r="F118" s="204"/>
      <c r="G118" s="203"/>
      <c r="H118" s="203"/>
      <c r="I118" s="203"/>
      <c r="J118" s="203"/>
    </row>
    <row r="119" spans="5:11" x14ac:dyDescent="0.25">
      <c r="F119" s="26"/>
    </row>
  </sheetData>
  <mergeCells count="1">
    <mergeCell ref="A4:K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A078-853B-410E-B7BB-72DC04B2B733}">
  <sheetPr codeName="Sheet105"/>
  <dimension ref="A1:S119"/>
  <sheetViews>
    <sheetView topLeftCell="C1" workbookViewId="0">
      <selection activeCell="O27" sqref="O27"/>
    </sheetView>
  </sheetViews>
  <sheetFormatPr defaultRowHeight="15" x14ac:dyDescent="0.25"/>
  <cols>
    <col min="1" max="1" width="6" customWidth="1"/>
    <col min="2" max="2" width="11.5703125" customWidth="1"/>
    <col min="3" max="3" width="61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6.42578125" customWidth="1"/>
    <col min="10" max="10" width="6.8554687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3" x14ac:dyDescent="0.25">
      <c r="A6" t="s">
        <v>167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329</v>
      </c>
      <c r="J7" s="6" t="s">
        <v>330</v>
      </c>
      <c r="K7" s="4" t="s">
        <v>10</v>
      </c>
    </row>
    <row r="8" spans="1:13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534</v>
      </c>
      <c r="H8" s="7"/>
      <c r="I8" s="7"/>
      <c r="J8" s="7"/>
      <c r="K8" s="7"/>
      <c r="M8">
        <f>221/817</f>
        <v>0.27050183598531213</v>
      </c>
    </row>
    <row r="9" spans="1:13" ht="17.25" customHeight="1" x14ac:dyDescent="0.25">
      <c r="A9" s="14">
        <v>1</v>
      </c>
      <c r="B9" s="174">
        <v>45840</v>
      </c>
      <c r="C9" s="236" t="s">
        <v>221</v>
      </c>
      <c r="D9" s="237" t="s">
        <v>214</v>
      </c>
      <c r="E9" s="367"/>
      <c r="F9" s="31">
        <v>45</v>
      </c>
      <c r="G9" s="238">
        <f>+G8+E9-F9</f>
        <v>489</v>
      </c>
      <c r="H9" s="28" t="s">
        <v>91</v>
      </c>
      <c r="I9" s="28"/>
      <c r="J9" s="28"/>
      <c r="K9" s="7"/>
    </row>
    <row r="10" spans="1:13" ht="27" customHeight="1" x14ac:dyDescent="0.25">
      <c r="A10" s="14">
        <f t="shared" ref="A10:A73" si="0">+A9+1</f>
        <v>2</v>
      </c>
      <c r="B10" s="8">
        <v>45841</v>
      </c>
      <c r="C10" s="366" t="s">
        <v>272</v>
      </c>
      <c r="D10" s="214" t="s">
        <v>214</v>
      </c>
      <c r="E10" s="30"/>
      <c r="F10" s="27">
        <v>305</v>
      </c>
      <c r="G10" s="18">
        <f t="shared" ref="G10:G73" si="1">+G9+E10-F10</f>
        <v>184</v>
      </c>
      <c r="H10" s="28" t="s">
        <v>91</v>
      </c>
      <c r="I10" s="28"/>
      <c r="J10" s="28"/>
      <c r="K10" s="7" t="s">
        <v>90</v>
      </c>
    </row>
    <row r="11" spans="1:13" ht="27.75" customHeight="1" x14ac:dyDescent="0.25">
      <c r="A11" s="14">
        <f t="shared" si="0"/>
        <v>3</v>
      </c>
      <c r="B11" s="8"/>
      <c r="C11" s="366" t="s">
        <v>272</v>
      </c>
      <c r="D11" s="214" t="s">
        <v>214</v>
      </c>
      <c r="E11" s="16"/>
      <c r="F11" s="27"/>
      <c r="G11" s="18">
        <f t="shared" si="1"/>
        <v>184</v>
      </c>
      <c r="H11" s="28" t="s">
        <v>91</v>
      </c>
      <c r="I11" s="28"/>
      <c r="J11" s="382"/>
      <c r="K11" s="7" t="s">
        <v>90</v>
      </c>
      <c r="L11" s="26"/>
    </row>
    <row r="12" spans="1:13" ht="18" customHeight="1" x14ac:dyDescent="0.25">
      <c r="A12" s="14">
        <f t="shared" si="0"/>
        <v>4</v>
      </c>
      <c r="B12" s="8"/>
      <c r="C12" s="46"/>
      <c r="D12" s="214" t="s">
        <v>214</v>
      </c>
      <c r="E12" s="16"/>
      <c r="F12" s="17"/>
      <c r="G12" s="18">
        <f t="shared" si="1"/>
        <v>184</v>
      </c>
      <c r="H12" s="28" t="s">
        <v>91</v>
      </c>
      <c r="I12" s="28">
        <f>+F12*M8</f>
        <v>0</v>
      </c>
      <c r="J12" s="28"/>
      <c r="K12" s="7" t="s">
        <v>90</v>
      </c>
      <c r="L12" s="26"/>
    </row>
    <row r="13" spans="1:13" ht="18" customHeight="1" x14ac:dyDescent="0.25">
      <c r="A13" s="14">
        <f t="shared" si="0"/>
        <v>5</v>
      </c>
      <c r="B13" s="205"/>
      <c r="C13" s="46"/>
      <c r="D13" s="214" t="s">
        <v>214</v>
      </c>
      <c r="E13" s="16"/>
      <c r="F13" s="17"/>
      <c r="G13" s="18">
        <f t="shared" si="1"/>
        <v>184</v>
      </c>
      <c r="H13" s="28" t="s">
        <v>91</v>
      </c>
      <c r="I13" s="28"/>
      <c r="J13" s="28"/>
      <c r="K13" s="7" t="s">
        <v>90</v>
      </c>
      <c r="L13" s="26"/>
    </row>
    <row r="14" spans="1:13" ht="18" customHeight="1" x14ac:dyDescent="0.25">
      <c r="A14" s="14">
        <f t="shared" si="0"/>
        <v>6</v>
      </c>
      <c r="B14" s="8"/>
      <c r="C14" s="46"/>
      <c r="D14" s="214" t="s">
        <v>214</v>
      </c>
      <c r="E14" s="16"/>
      <c r="F14" s="27"/>
      <c r="G14" s="18">
        <f t="shared" si="1"/>
        <v>184</v>
      </c>
      <c r="H14" s="28" t="s">
        <v>91</v>
      </c>
      <c r="I14" s="28">
        <f>+F14*M8</f>
        <v>0</v>
      </c>
      <c r="J14" s="28"/>
      <c r="K14" s="7" t="s">
        <v>90</v>
      </c>
    </row>
    <row r="15" spans="1:13" ht="18" customHeight="1" x14ac:dyDescent="0.25">
      <c r="A15" s="14">
        <f t="shared" si="0"/>
        <v>7</v>
      </c>
      <c r="B15" s="8"/>
      <c r="C15" s="46"/>
      <c r="D15" s="214" t="s">
        <v>214</v>
      </c>
      <c r="E15" s="16"/>
      <c r="F15" s="27"/>
      <c r="G15" s="18">
        <f t="shared" si="1"/>
        <v>184</v>
      </c>
      <c r="H15" s="28" t="s">
        <v>91</v>
      </c>
      <c r="I15" s="28"/>
      <c r="J15" s="28"/>
      <c r="K15" s="7" t="s">
        <v>90</v>
      </c>
      <c r="L15" s="26"/>
    </row>
    <row r="16" spans="1:13" ht="18" customHeight="1" x14ac:dyDescent="0.25">
      <c r="A16" s="14">
        <f t="shared" si="0"/>
        <v>8</v>
      </c>
      <c r="B16" s="8"/>
      <c r="C16" s="46"/>
      <c r="D16" s="214" t="s">
        <v>214</v>
      </c>
      <c r="E16" s="16"/>
      <c r="F16" s="27"/>
      <c r="G16" s="18">
        <f t="shared" si="1"/>
        <v>184</v>
      </c>
      <c r="H16" s="28" t="s">
        <v>91</v>
      </c>
      <c r="I16" s="28"/>
      <c r="J16" s="28"/>
      <c r="K16" s="7" t="s">
        <v>90</v>
      </c>
    </row>
    <row r="17" spans="1:16" ht="18" customHeight="1" x14ac:dyDescent="0.25">
      <c r="A17" s="14">
        <f t="shared" si="0"/>
        <v>9</v>
      </c>
      <c r="B17" s="8"/>
      <c r="C17" s="46"/>
      <c r="D17" s="214" t="s">
        <v>214</v>
      </c>
      <c r="E17" s="30"/>
      <c r="F17" s="27"/>
      <c r="G17" s="18">
        <f t="shared" si="1"/>
        <v>184</v>
      </c>
      <c r="H17" s="28" t="s">
        <v>91</v>
      </c>
      <c r="I17" s="28"/>
      <c r="J17" s="28"/>
      <c r="K17" s="7" t="s">
        <v>90</v>
      </c>
    </row>
    <row r="18" spans="1:16" s="230" customFormat="1" ht="18" customHeight="1" x14ac:dyDescent="0.25">
      <c r="A18" s="223">
        <f>+A17+1</f>
        <v>10</v>
      </c>
      <c r="B18" s="224"/>
      <c r="C18" s="225"/>
      <c r="D18" s="214" t="s">
        <v>214</v>
      </c>
      <c r="E18" s="227"/>
      <c r="F18" s="228"/>
      <c r="G18" s="229">
        <f t="shared" si="1"/>
        <v>184</v>
      </c>
      <c r="H18" s="28" t="s">
        <v>91</v>
      </c>
      <c r="I18" s="28"/>
      <c r="J18" s="28"/>
      <c r="K18" s="7" t="s">
        <v>90</v>
      </c>
    </row>
    <row r="19" spans="1:16" s="230" customFormat="1" ht="18" customHeight="1" x14ac:dyDescent="0.25">
      <c r="A19" s="223">
        <f t="shared" si="0"/>
        <v>11</v>
      </c>
      <c r="B19" s="224"/>
      <c r="C19" s="225"/>
      <c r="D19" s="214" t="s">
        <v>214</v>
      </c>
      <c r="E19" s="231"/>
      <c r="F19" s="228"/>
      <c r="G19" s="229">
        <f t="shared" si="1"/>
        <v>184</v>
      </c>
      <c r="H19" s="28" t="s">
        <v>91</v>
      </c>
      <c r="I19" s="28"/>
      <c r="J19" s="28"/>
      <c r="K19" s="7" t="s">
        <v>90</v>
      </c>
    </row>
    <row r="20" spans="1:16" ht="18" customHeight="1" x14ac:dyDescent="0.25">
      <c r="A20" s="14">
        <f t="shared" si="0"/>
        <v>12</v>
      </c>
      <c r="B20" s="8"/>
      <c r="C20" s="46"/>
      <c r="D20" s="214" t="s">
        <v>214</v>
      </c>
      <c r="E20" s="32"/>
      <c r="F20" s="17"/>
      <c r="G20" s="18">
        <f t="shared" si="1"/>
        <v>184</v>
      </c>
      <c r="H20" s="28" t="s">
        <v>91</v>
      </c>
      <c r="I20" s="28"/>
      <c r="J20" s="28"/>
      <c r="K20" s="7" t="s">
        <v>90</v>
      </c>
      <c r="P20" s="26"/>
    </row>
    <row r="21" spans="1:16" ht="18" customHeight="1" x14ac:dyDescent="0.25">
      <c r="A21" s="14">
        <f t="shared" si="0"/>
        <v>13</v>
      </c>
      <c r="B21" s="8"/>
      <c r="C21" s="46"/>
      <c r="D21" s="214" t="s">
        <v>214</v>
      </c>
      <c r="E21" s="32"/>
      <c r="F21" s="27"/>
      <c r="G21" s="18">
        <f t="shared" si="1"/>
        <v>184</v>
      </c>
      <c r="H21" s="28" t="s">
        <v>91</v>
      </c>
      <c r="I21" s="28"/>
      <c r="J21" s="28"/>
      <c r="K21" s="7" t="s">
        <v>90</v>
      </c>
    </row>
    <row r="22" spans="1:16" ht="18" customHeight="1" x14ac:dyDescent="0.25">
      <c r="A22" s="14">
        <f t="shared" si="0"/>
        <v>14</v>
      </c>
      <c r="B22" s="232"/>
      <c r="C22" s="233"/>
      <c r="D22" s="214" t="s">
        <v>214</v>
      </c>
      <c r="E22" s="235"/>
      <c r="F22" s="172"/>
      <c r="G22" s="18">
        <f t="shared" si="1"/>
        <v>184</v>
      </c>
      <c r="H22" s="28" t="s">
        <v>129</v>
      </c>
      <c r="I22" s="28"/>
      <c r="J22" s="28"/>
      <c r="K22" s="7" t="s">
        <v>90</v>
      </c>
    </row>
    <row r="23" spans="1:16" ht="18" customHeight="1" x14ac:dyDescent="0.25">
      <c r="A23" s="14">
        <f t="shared" si="0"/>
        <v>15</v>
      </c>
      <c r="B23" s="8"/>
      <c r="C23" s="46"/>
      <c r="D23" s="214" t="s">
        <v>214</v>
      </c>
      <c r="E23" s="32"/>
      <c r="F23" s="17"/>
      <c r="G23" s="18">
        <f t="shared" si="1"/>
        <v>184</v>
      </c>
      <c r="H23" s="28" t="s">
        <v>129</v>
      </c>
      <c r="I23" s="28"/>
      <c r="J23" s="28"/>
      <c r="K23" s="7" t="s">
        <v>142</v>
      </c>
    </row>
    <row r="24" spans="1:16" ht="18" customHeight="1" x14ac:dyDescent="0.25">
      <c r="A24" s="14">
        <f t="shared" si="0"/>
        <v>16</v>
      </c>
      <c r="B24" s="8"/>
      <c r="C24" s="46"/>
      <c r="D24" s="214" t="s">
        <v>214</v>
      </c>
      <c r="E24" s="32"/>
      <c r="F24" s="17"/>
      <c r="G24" s="18">
        <f t="shared" si="1"/>
        <v>184</v>
      </c>
      <c r="H24" s="28" t="s">
        <v>91</v>
      </c>
      <c r="I24" s="28"/>
      <c r="J24" s="28"/>
      <c r="K24" s="7" t="s">
        <v>90</v>
      </c>
    </row>
    <row r="25" spans="1:16" ht="18" customHeight="1" x14ac:dyDescent="0.25">
      <c r="A25" s="14">
        <f t="shared" si="0"/>
        <v>17</v>
      </c>
      <c r="B25" s="8"/>
      <c r="C25" s="46"/>
      <c r="D25" s="214" t="s">
        <v>214</v>
      </c>
      <c r="E25" s="32"/>
      <c r="F25" s="17"/>
      <c r="G25" s="18">
        <f t="shared" si="1"/>
        <v>184</v>
      </c>
      <c r="H25" s="28" t="s">
        <v>91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18</v>
      </c>
      <c r="B26" s="8"/>
      <c r="C26" s="46"/>
      <c r="D26" s="214" t="s">
        <v>214</v>
      </c>
      <c r="E26" s="32"/>
      <c r="F26" s="17"/>
      <c r="G26" s="18">
        <f t="shared" si="1"/>
        <v>184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>+A26+1</f>
        <v>19</v>
      </c>
      <c r="B27" s="8"/>
      <c r="C27" s="46"/>
      <c r="D27" s="214" t="s">
        <v>214</v>
      </c>
      <c r="E27" s="32"/>
      <c r="F27" s="17"/>
      <c r="G27" s="18">
        <f t="shared" si="1"/>
        <v>184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0"/>
        <v>20</v>
      </c>
      <c r="B28" s="8"/>
      <c r="C28" s="46"/>
      <c r="D28" s="214" t="s">
        <v>214</v>
      </c>
      <c r="E28" s="129"/>
      <c r="F28" s="17"/>
      <c r="G28" s="18">
        <f t="shared" si="1"/>
        <v>184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 t="s">
        <v>214</v>
      </c>
      <c r="E29" s="32"/>
      <c r="F29" s="172"/>
      <c r="G29" s="18">
        <f t="shared" si="1"/>
        <v>184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0"/>
        <v>22</v>
      </c>
      <c r="B30" s="8"/>
      <c r="C30" s="46"/>
      <c r="D30" s="214" t="s">
        <v>214</v>
      </c>
      <c r="E30" s="32"/>
      <c r="F30" s="17"/>
      <c r="G30" s="18">
        <f t="shared" si="1"/>
        <v>184</v>
      </c>
      <c r="H30" s="28" t="s">
        <v>91</v>
      </c>
      <c r="I30" s="28"/>
      <c r="J30" s="28"/>
      <c r="K30" s="7" t="s">
        <v>90</v>
      </c>
    </row>
    <row r="31" spans="1:16" ht="18" customHeight="1" x14ac:dyDescent="0.25">
      <c r="A31" s="14">
        <f t="shared" si="0"/>
        <v>23</v>
      </c>
      <c r="B31" s="8"/>
      <c r="C31" s="46"/>
      <c r="D31" s="214" t="s">
        <v>214</v>
      </c>
      <c r="E31" s="32"/>
      <c r="F31" s="17"/>
      <c r="G31" s="18">
        <f t="shared" si="1"/>
        <v>184</v>
      </c>
      <c r="H31" s="28" t="s">
        <v>91</v>
      </c>
      <c r="I31" s="28"/>
      <c r="J31" s="28"/>
      <c r="K31" s="7" t="s">
        <v>90</v>
      </c>
    </row>
    <row r="32" spans="1:16" ht="17.25" customHeight="1" x14ac:dyDescent="0.25">
      <c r="A32" s="14">
        <f t="shared" si="0"/>
        <v>24</v>
      </c>
      <c r="B32" s="8"/>
      <c r="C32" s="46"/>
      <c r="D32" s="214" t="s">
        <v>214</v>
      </c>
      <c r="E32" s="13"/>
      <c r="F32" s="17"/>
      <c r="G32" s="18">
        <f t="shared" si="1"/>
        <v>184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44"/>
      <c r="C33" s="46"/>
      <c r="D33" s="214" t="s">
        <v>214</v>
      </c>
      <c r="E33" s="13"/>
      <c r="F33" s="17"/>
      <c r="G33" s="18">
        <f t="shared" si="1"/>
        <v>184</v>
      </c>
      <c r="H33" s="178"/>
      <c r="I33" s="178"/>
      <c r="J33" s="178"/>
      <c r="K33" s="7"/>
    </row>
    <row r="34" spans="1:18" ht="18" customHeight="1" x14ac:dyDescent="0.25">
      <c r="A34" s="14">
        <f t="shared" si="0"/>
        <v>26</v>
      </c>
      <c r="B34" s="8"/>
      <c r="C34" s="46"/>
      <c r="D34" s="214" t="s">
        <v>214</v>
      </c>
      <c r="E34" s="32"/>
      <c r="F34" s="40"/>
      <c r="G34" s="18">
        <f t="shared" si="1"/>
        <v>184</v>
      </c>
      <c r="H34" s="178"/>
      <c r="I34" s="178"/>
      <c r="J34" s="178"/>
      <c r="K34" s="7"/>
    </row>
    <row r="35" spans="1:18" ht="18" customHeight="1" x14ac:dyDescent="0.25">
      <c r="A35" s="14">
        <f t="shared" si="0"/>
        <v>27</v>
      </c>
      <c r="B35" s="45"/>
      <c r="C35" s="46"/>
      <c r="D35" s="214" t="s">
        <v>214</v>
      </c>
      <c r="E35" s="32"/>
      <c r="F35" s="40"/>
      <c r="G35" s="18">
        <f t="shared" si="1"/>
        <v>184</v>
      </c>
      <c r="H35" s="178"/>
      <c r="I35" s="178"/>
      <c r="J35" s="178"/>
      <c r="K35" s="7"/>
    </row>
    <row r="36" spans="1:18" ht="18" customHeight="1" x14ac:dyDescent="0.25">
      <c r="A36" s="14">
        <f t="shared" si="0"/>
        <v>28</v>
      </c>
      <c r="B36" s="8"/>
      <c r="C36" s="46"/>
      <c r="D36" s="214" t="s">
        <v>214</v>
      </c>
      <c r="E36" s="32"/>
      <c r="F36" s="40"/>
      <c r="G36" s="18">
        <f t="shared" si="1"/>
        <v>184</v>
      </c>
      <c r="H36" s="178"/>
      <c r="I36" s="178"/>
      <c r="J36" s="178"/>
      <c r="K36" s="7"/>
    </row>
    <row r="37" spans="1:18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17"/>
      <c r="G37" s="18">
        <f t="shared" si="1"/>
        <v>184</v>
      </c>
      <c r="H37" s="178"/>
      <c r="I37" s="178"/>
      <c r="J37" s="178"/>
      <c r="K37" s="7"/>
      <c r="M37">
        <f>911-338</f>
        <v>573</v>
      </c>
    </row>
    <row r="38" spans="1:18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184</v>
      </c>
      <c r="H38" s="178"/>
      <c r="I38" s="178"/>
      <c r="J38" s="178"/>
      <c r="K38" s="7"/>
      <c r="M38">
        <f>+M37-314</f>
        <v>259</v>
      </c>
    </row>
    <row r="39" spans="1:18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184</v>
      </c>
      <c r="H39" s="178"/>
      <c r="I39" s="178"/>
      <c r="J39" s="178"/>
      <c r="K39" s="7"/>
    </row>
    <row r="40" spans="1:18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184</v>
      </c>
      <c r="H40" s="178"/>
      <c r="I40" s="178"/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2"/>
      <c r="G41" s="18">
        <f t="shared" si="1"/>
        <v>184</v>
      </c>
      <c r="H41" s="178"/>
      <c r="I41" s="178"/>
      <c r="J41" s="178"/>
      <c r="K41" s="7"/>
      <c r="R41" s="162"/>
    </row>
    <row r="42" spans="1:18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"/>
      <c r="G42" s="18">
        <f t="shared" si="1"/>
        <v>184</v>
      </c>
      <c r="H42" s="178"/>
      <c r="I42" s="178"/>
      <c r="J42" s="178"/>
      <c r="K42" s="7"/>
    </row>
    <row r="43" spans="1:18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184</v>
      </c>
      <c r="H43" s="178"/>
      <c r="I43" s="178"/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184</v>
      </c>
      <c r="H44" s="178"/>
      <c r="I44" s="178"/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184</v>
      </c>
      <c r="H45" s="178"/>
      <c r="I45" s="178"/>
      <c r="J45" s="178"/>
      <c r="K45" s="29"/>
    </row>
    <row r="46" spans="1:18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184</v>
      </c>
      <c r="H46" s="178"/>
      <c r="I46" s="178"/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184</v>
      </c>
      <c r="H47" s="178"/>
      <c r="I47" s="178"/>
      <c r="J47" s="178"/>
      <c r="K47" s="29"/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184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184</v>
      </c>
      <c r="H49" s="178"/>
      <c r="I49" s="178"/>
      <c r="J49" s="178"/>
      <c r="K49" s="7"/>
    </row>
    <row r="50" spans="1:18" s="162" customFormat="1" ht="18" customHeight="1" x14ac:dyDescent="0.25">
      <c r="A50" s="158">
        <f t="shared" si="0"/>
        <v>42</v>
      </c>
      <c r="B50" s="174"/>
      <c r="C50" s="236"/>
      <c r="D50" s="214" t="s">
        <v>214</v>
      </c>
      <c r="E50" s="175"/>
      <c r="F50" s="172"/>
      <c r="G50" s="238">
        <f t="shared" si="1"/>
        <v>184</v>
      </c>
      <c r="H50" s="178"/>
      <c r="I50" s="178"/>
      <c r="J50" s="178"/>
      <c r="K50" s="7"/>
      <c r="R50"/>
    </row>
    <row r="51" spans="1:18" ht="18" customHeight="1" x14ac:dyDescent="0.25">
      <c r="A51" s="14">
        <f t="shared" si="0"/>
        <v>43</v>
      </c>
      <c r="B51" s="8"/>
      <c r="C51" s="46"/>
      <c r="D51" s="214" t="s">
        <v>214</v>
      </c>
      <c r="E51" s="32"/>
      <c r="F51" s="17"/>
      <c r="G51" s="18">
        <f t="shared" si="1"/>
        <v>184</v>
      </c>
      <c r="H51" s="239"/>
      <c r="I51" s="239"/>
      <c r="J51" s="239"/>
      <c r="K51" s="7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184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184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184</v>
      </c>
      <c r="H54" s="28"/>
      <c r="I54" s="28"/>
      <c r="J54" s="28"/>
      <c r="K54" s="7"/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184</v>
      </c>
      <c r="H55" s="240"/>
      <c r="I55" s="240"/>
      <c r="J55" s="240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184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184</v>
      </c>
      <c r="H57" s="240"/>
      <c r="I57" s="240"/>
      <c r="J57" s="240"/>
      <c r="K57" s="7" t="s">
        <v>14</v>
      </c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184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184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184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184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184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184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184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184</v>
      </c>
      <c r="H65" s="240"/>
      <c r="I65" s="240"/>
      <c r="J65" s="240"/>
      <c r="K65" s="7" t="s">
        <v>14</v>
      </c>
      <c r="L65" s="26"/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184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>+G66+E67-F67</f>
        <v>184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>+G67+E68-F68</f>
        <v>184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>+G68+E69-F69</f>
        <v>184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184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184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>+A71+1</f>
        <v>64</v>
      </c>
      <c r="B72" s="8"/>
      <c r="C72" s="46"/>
      <c r="D72" s="214" t="s">
        <v>214</v>
      </c>
      <c r="E72" s="32"/>
      <c r="F72" s="17"/>
      <c r="G72" s="18">
        <f t="shared" si="1"/>
        <v>184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184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7" si="2">+A73+1</f>
        <v>66</v>
      </c>
      <c r="B74" s="8"/>
      <c r="C74" s="46"/>
      <c r="D74" s="214" t="s">
        <v>214</v>
      </c>
      <c r="E74" s="32"/>
      <c r="F74" s="17"/>
      <c r="G74" s="18">
        <f t="shared" ref="G74:G91" si="3">+G73+E74-F74</f>
        <v>184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67</v>
      </c>
      <c r="B75" s="8"/>
      <c r="C75" s="46"/>
      <c r="D75" s="214" t="s">
        <v>214</v>
      </c>
      <c r="E75" s="32"/>
      <c r="F75" s="17"/>
      <c r="G75" s="18">
        <f t="shared" si="3"/>
        <v>184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184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184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184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184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184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184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184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27"/>
      <c r="G83" s="18">
        <f t="shared" si="3"/>
        <v>184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17"/>
      <c r="G84" s="18">
        <f t="shared" si="3"/>
        <v>184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184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184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184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184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184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184</v>
      </c>
      <c r="H90" s="240"/>
      <c r="I90" s="240"/>
      <c r="J90" s="240"/>
      <c r="K90" s="7" t="s">
        <v>14</v>
      </c>
      <c r="N90" s="199"/>
      <c r="S90" s="199"/>
    </row>
    <row r="91" spans="1:19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27"/>
      <c r="G91" s="18">
        <f t="shared" si="3"/>
        <v>184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>+G91+E92-F92</f>
        <v>184</v>
      </c>
      <c r="H92" s="240"/>
      <c r="I92" s="240"/>
      <c r="J92" s="240"/>
      <c r="K92" s="7" t="s">
        <v>14</v>
      </c>
      <c r="N92" s="199"/>
      <c r="S92" s="199"/>
    </row>
    <row r="93" spans="1:19" s="179" customFormat="1" ht="18" customHeight="1" x14ac:dyDescent="0.25">
      <c r="A93" s="241">
        <f t="shared" si="2"/>
        <v>85</v>
      </c>
      <c r="B93" s="242"/>
      <c r="C93" s="243"/>
      <c r="D93" s="214" t="s">
        <v>214</v>
      </c>
      <c r="E93" s="245"/>
      <c r="F93" s="52"/>
      <c r="G93" s="246">
        <f>+G92+E93-F93</f>
        <v>184</v>
      </c>
      <c r="H93" s="240"/>
      <c r="I93" s="240"/>
      <c r="J93" s="240"/>
      <c r="K93" s="247" t="s">
        <v>14</v>
      </c>
      <c r="L93" s="179" t="s">
        <v>43</v>
      </c>
      <c r="N93" s="248"/>
      <c r="S93" s="248"/>
    </row>
    <row r="94" spans="1:19" s="179" customFormat="1" ht="18" customHeight="1" x14ac:dyDescent="0.25">
      <c r="A94" s="241"/>
      <c r="B94" s="242"/>
      <c r="C94" s="243"/>
      <c r="D94" s="214" t="s">
        <v>214</v>
      </c>
      <c r="E94" s="245"/>
      <c r="F94" s="52"/>
      <c r="G94" s="246">
        <f t="shared" ref="G94:G106" si="4">+G93+E94-F94</f>
        <v>184</v>
      </c>
      <c r="H94" s="240"/>
      <c r="I94" s="240"/>
      <c r="J94" s="240"/>
      <c r="K94" s="247" t="s">
        <v>14</v>
      </c>
      <c r="N94" s="248"/>
      <c r="S94" s="248"/>
    </row>
    <row r="95" spans="1:19" s="179" customFormat="1" ht="18" customHeight="1" x14ac:dyDescent="0.25">
      <c r="A95" s="241"/>
      <c r="B95" s="242"/>
      <c r="C95" s="243"/>
      <c r="D95" s="214" t="s">
        <v>214</v>
      </c>
      <c r="E95" s="245"/>
      <c r="F95" s="52"/>
      <c r="G95" s="246">
        <f t="shared" si="4"/>
        <v>184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241"/>
      <c r="B96" s="242"/>
      <c r="C96" s="243"/>
      <c r="D96" s="214" t="s">
        <v>214</v>
      </c>
      <c r="E96" s="245"/>
      <c r="F96" s="52"/>
      <c r="G96" s="246">
        <f t="shared" si="4"/>
        <v>184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241"/>
      <c r="B97" s="242"/>
      <c r="C97" s="243"/>
      <c r="D97" s="214" t="s">
        <v>214</v>
      </c>
      <c r="E97" s="245"/>
      <c r="F97" s="52"/>
      <c r="G97" s="246">
        <f t="shared" si="4"/>
        <v>184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241"/>
      <c r="B98" s="242"/>
      <c r="C98" s="243"/>
      <c r="D98" s="214" t="s">
        <v>214</v>
      </c>
      <c r="E98" s="245"/>
      <c r="F98" s="52"/>
      <c r="G98" s="246">
        <f t="shared" si="4"/>
        <v>184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241"/>
      <c r="B99" s="242"/>
      <c r="C99" s="243"/>
      <c r="D99" s="214" t="s">
        <v>214</v>
      </c>
      <c r="E99" s="245"/>
      <c r="F99" s="52"/>
      <c r="G99" s="246">
        <f t="shared" si="4"/>
        <v>184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241"/>
      <c r="B100" s="242"/>
      <c r="C100" s="243"/>
      <c r="D100" s="214" t="s">
        <v>214</v>
      </c>
      <c r="E100" s="245"/>
      <c r="F100" s="52"/>
      <c r="G100" s="246">
        <f t="shared" si="4"/>
        <v>184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241"/>
      <c r="B101" s="242"/>
      <c r="C101" s="243"/>
      <c r="D101" s="214" t="s">
        <v>214</v>
      </c>
      <c r="E101" s="245"/>
      <c r="F101" s="52"/>
      <c r="G101" s="246">
        <f t="shared" si="4"/>
        <v>184</v>
      </c>
      <c r="H101" s="240"/>
      <c r="I101" s="240"/>
      <c r="J101" s="240"/>
      <c r="K101" s="247"/>
      <c r="N101" s="248"/>
      <c r="S101" s="248"/>
    </row>
    <row r="102" spans="1:19" s="179" customFormat="1" ht="18" customHeight="1" x14ac:dyDescent="0.25">
      <c r="A102" s="241"/>
      <c r="B102" s="242"/>
      <c r="C102" s="243"/>
      <c r="D102" s="244"/>
      <c r="E102" s="245"/>
      <c r="F102" s="52"/>
      <c r="G102" s="246">
        <f t="shared" si="4"/>
        <v>184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241"/>
      <c r="B103" s="242"/>
      <c r="C103" s="243"/>
      <c r="D103" s="244"/>
      <c r="E103" s="245"/>
      <c r="F103" s="52"/>
      <c r="G103" s="246">
        <f t="shared" si="4"/>
        <v>184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241"/>
      <c r="B104" s="242"/>
      <c r="C104" s="243"/>
      <c r="D104" s="244"/>
      <c r="E104" s="245"/>
      <c r="F104" s="52"/>
      <c r="G104" s="246">
        <f t="shared" si="4"/>
        <v>184</v>
      </c>
      <c r="H104" s="240"/>
      <c r="I104" s="240"/>
      <c r="J104" s="240"/>
      <c r="K104" s="247"/>
      <c r="N104" s="248"/>
      <c r="S104" s="248"/>
    </row>
    <row r="105" spans="1:19" ht="18" customHeight="1" x14ac:dyDescent="0.25">
      <c r="A105" s="14">
        <f>+A93+1</f>
        <v>86</v>
      </c>
      <c r="B105" s="8"/>
      <c r="C105" s="46"/>
      <c r="D105" s="214"/>
      <c r="E105" s="32"/>
      <c r="F105" s="27"/>
      <c r="G105" s="246">
        <f t="shared" si="4"/>
        <v>184</v>
      </c>
      <c r="H105" s="28"/>
      <c r="I105" s="28"/>
      <c r="J105" s="28"/>
      <c r="K105" s="7"/>
      <c r="N105" s="199"/>
      <c r="S105" s="199"/>
    </row>
    <row r="106" spans="1:19" ht="18" customHeight="1" x14ac:dyDescent="0.25">
      <c r="A106" s="14">
        <f t="shared" si="2"/>
        <v>87</v>
      </c>
      <c r="B106" s="8"/>
      <c r="C106" s="46"/>
      <c r="D106" s="214"/>
      <c r="E106" s="32"/>
      <c r="F106" s="27"/>
      <c r="G106" s="246">
        <f t="shared" si="4"/>
        <v>184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88</v>
      </c>
      <c r="B107" s="37"/>
      <c r="C107" s="46"/>
      <c r="D107" s="10"/>
      <c r="E107" s="32"/>
      <c r="F107" s="27"/>
      <c r="G107" s="18">
        <f>+G106+E107-F107</f>
        <v>184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7"/>
      <c r="B108" s="7"/>
      <c r="C108" s="34" t="s">
        <v>13</v>
      </c>
      <c r="D108" s="14"/>
      <c r="E108" s="35">
        <f>SUM(E8:E107)</f>
        <v>0</v>
      </c>
      <c r="F108" s="35">
        <f>SUM(F8:F107)</f>
        <v>350</v>
      </c>
      <c r="G108" s="35">
        <f>+E108-F108+G8</f>
        <v>184</v>
      </c>
      <c r="H108" s="35"/>
      <c r="I108" s="35"/>
      <c r="J108" s="35">
        <f>SUM(J9:J107)</f>
        <v>0</v>
      </c>
      <c r="K108" s="36"/>
    </row>
    <row r="109" spans="1:19" ht="18" customHeight="1" x14ac:dyDescent="0.25"/>
    <row r="112" spans="1:19" x14ac:dyDescent="0.25">
      <c r="E112" s="201"/>
      <c r="F112" s="201"/>
      <c r="G112" s="201"/>
      <c r="H112" s="201"/>
      <c r="I112" s="201"/>
      <c r="J112" s="201"/>
    </row>
    <row r="113" spans="5:11" x14ac:dyDescent="0.25">
      <c r="F113" s="26"/>
    </row>
    <row r="114" spans="5:11" x14ac:dyDescent="0.25">
      <c r="E114" s="26"/>
      <c r="F114" s="26"/>
      <c r="G114" s="26"/>
      <c r="H114" s="26"/>
      <c r="I114" s="26"/>
      <c r="J114" s="26"/>
      <c r="K114" s="26"/>
    </row>
    <row r="115" spans="5:11" x14ac:dyDescent="0.25">
      <c r="K115" s="202"/>
    </row>
    <row r="116" spans="5:11" x14ac:dyDescent="0.25">
      <c r="E116" s="199"/>
    </row>
    <row r="117" spans="5:11" x14ac:dyDescent="0.25">
      <c r="E117" s="26"/>
      <c r="F117" s="26"/>
    </row>
    <row r="118" spans="5:11" x14ac:dyDescent="0.25">
      <c r="E118" s="203"/>
      <c r="F118" s="204"/>
      <c r="G118" s="203"/>
      <c r="H118" s="203"/>
      <c r="I118" s="203"/>
      <c r="J118" s="203"/>
    </row>
    <row r="119" spans="5:11" x14ac:dyDescent="0.25">
      <c r="F119" s="26"/>
    </row>
  </sheetData>
  <mergeCells count="1">
    <mergeCell ref="A4:K5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F027-2DF3-46BD-925C-3EA54B488EE0}">
  <sheetPr codeName="Sheet106"/>
  <dimension ref="A1:S120"/>
  <sheetViews>
    <sheetView topLeftCell="A28" workbookViewId="0">
      <selection activeCell="A41" sqref="A41:XFD41"/>
    </sheetView>
  </sheetViews>
  <sheetFormatPr defaultRowHeight="15" x14ac:dyDescent="0.25"/>
  <cols>
    <col min="1" max="1" width="6" customWidth="1"/>
    <col min="2" max="2" width="11.5703125" customWidth="1"/>
    <col min="3" max="3" width="48.5703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8.28515625" customWidth="1"/>
    <col min="9" max="9" width="8.5703125" customWidth="1"/>
    <col min="10" max="10" width="11.42578125" customWidth="1"/>
    <col min="11" max="11" width="14.85546875" customWidth="1"/>
    <col min="13" max="13" width="9.85546875" bestFit="1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323</v>
      </c>
      <c r="J7" s="6" t="s">
        <v>321</v>
      </c>
      <c r="K7" s="4" t="s">
        <v>10</v>
      </c>
    </row>
    <row r="8" spans="1:12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2" ht="17.25" customHeight="1" x14ac:dyDescent="0.25">
      <c r="A9" s="14">
        <v>1</v>
      </c>
      <c r="B9" s="8">
        <v>45461</v>
      </c>
      <c r="C9" s="46" t="s">
        <v>221</v>
      </c>
      <c r="D9" s="214" t="s">
        <v>214</v>
      </c>
      <c r="E9" s="30">
        <v>100</v>
      </c>
      <c r="F9" s="27">
        <v>100</v>
      </c>
      <c r="G9" s="18">
        <f>+G8+E9-F9</f>
        <v>0</v>
      </c>
      <c r="H9" s="28" t="s">
        <v>129</v>
      </c>
      <c r="I9" s="28"/>
      <c r="J9" s="28">
        <v>26.4</v>
      </c>
      <c r="K9" s="7"/>
    </row>
    <row r="10" spans="1:12" ht="17.25" customHeight="1" x14ac:dyDescent="0.25">
      <c r="A10" s="14">
        <f t="shared" ref="A10:A74" si="0">+A9+1</f>
        <v>2</v>
      </c>
      <c r="B10" s="8" t="s">
        <v>222</v>
      </c>
      <c r="C10" s="46" t="s">
        <v>168</v>
      </c>
      <c r="D10" s="214" t="s">
        <v>214</v>
      </c>
      <c r="E10" s="30">
        <v>100</v>
      </c>
      <c r="F10" s="27">
        <v>100</v>
      </c>
      <c r="G10" s="18">
        <f t="shared" ref="G10:G74" si="1">+G9+E10-F10</f>
        <v>0</v>
      </c>
      <c r="H10" s="28" t="s">
        <v>129</v>
      </c>
      <c r="I10" s="28"/>
      <c r="J10" s="28">
        <v>44</v>
      </c>
      <c r="K10" s="7" t="s">
        <v>90</v>
      </c>
    </row>
    <row r="11" spans="1:12" ht="18" customHeight="1" x14ac:dyDescent="0.25">
      <c r="A11" s="14">
        <f t="shared" si="0"/>
        <v>3</v>
      </c>
      <c r="B11" s="8" t="s">
        <v>223</v>
      </c>
      <c r="C11" s="46" t="s">
        <v>168</v>
      </c>
      <c r="D11" s="214" t="s">
        <v>214</v>
      </c>
      <c r="E11" s="16">
        <v>480</v>
      </c>
      <c r="F11" s="27">
        <v>70</v>
      </c>
      <c r="G11" s="18">
        <f t="shared" si="1"/>
        <v>410</v>
      </c>
      <c r="H11" s="28" t="s">
        <v>129</v>
      </c>
      <c r="I11" s="28"/>
      <c r="J11" s="28">
        <v>211.2</v>
      </c>
      <c r="K11" s="7" t="s">
        <v>90</v>
      </c>
      <c r="L11" s="26"/>
    </row>
    <row r="12" spans="1:12" ht="18" customHeight="1" x14ac:dyDescent="0.25">
      <c r="A12" s="14">
        <f t="shared" si="0"/>
        <v>4</v>
      </c>
      <c r="B12" s="8" t="s">
        <v>224</v>
      </c>
      <c r="C12" s="46" t="s">
        <v>168</v>
      </c>
      <c r="D12" s="214" t="s">
        <v>214</v>
      </c>
      <c r="E12" s="16"/>
      <c r="F12" s="17">
        <v>160</v>
      </c>
      <c r="G12" s="18">
        <f t="shared" si="1"/>
        <v>250</v>
      </c>
      <c r="H12" s="28" t="s">
        <v>129</v>
      </c>
      <c r="I12" s="28"/>
      <c r="J12" s="28"/>
      <c r="K12" s="7" t="s">
        <v>90</v>
      </c>
      <c r="L12" s="26"/>
    </row>
    <row r="13" spans="1:12" ht="18" customHeight="1" x14ac:dyDescent="0.25">
      <c r="A13" s="14">
        <f t="shared" si="0"/>
        <v>5</v>
      </c>
      <c r="B13" s="205" t="s">
        <v>225</v>
      </c>
      <c r="C13" s="46" t="s">
        <v>168</v>
      </c>
      <c r="D13" s="214" t="s">
        <v>214</v>
      </c>
      <c r="E13" s="16">
        <f>620-33</f>
        <v>587</v>
      </c>
      <c r="F13" s="17"/>
      <c r="G13" s="18">
        <f t="shared" si="1"/>
        <v>837</v>
      </c>
      <c r="H13" s="28" t="s">
        <v>91</v>
      </c>
      <c r="I13" s="28"/>
      <c r="J13" s="28">
        <f>272.8-14.52</f>
        <v>258.28000000000003</v>
      </c>
      <c r="K13" s="7" t="s">
        <v>90</v>
      </c>
      <c r="L13" s="26"/>
    </row>
    <row r="14" spans="1:12" ht="18" customHeight="1" x14ac:dyDescent="0.25">
      <c r="A14" s="14">
        <f t="shared" si="0"/>
        <v>6</v>
      </c>
      <c r="B14" s="8">
        <v>45389</v>
      </c>
      <c r="C14" s="46" t="s">
        <v>168</v>
      </c>
      <c r="D14" s="214" t="s">
        <v>214</v>
      </c>
      <c r="E14" s="16"/>
      <c r="F14" s="27">
        <v>40</v>
      </c>
      <c r="G14" s="18">
        <f t="shared" si="1"/>
        <v>797</v>
      </c>
      <c r="H14" s="28" t="s">
        <v>91</v>
      </c>
      <c r="I14" s="28"/>
      <c r="J14" s="28"/>
      <c r="K14" s="7" t="s">
        <v>90</v>
      </c>
    </row>
    <row r="15" spans="1:12" ht="18" customHeight="1" x14ac:dyDescent="0.25">
      <c r="A15" s="14">
        <f t="shared" si="0"/>
        <v>7</v>
      </c>
      <c r="B15" s="8">
        <v>45419</v>
      </c>
      <c r="C15" s="46" t="s">
        <v>168</v>
      </c>
      <c r="D15" s="214" t="s">
        <v>214</v>
      </c>
      <c r="E15" s="16"/>
      <c r="F15" s="27">
        <v>160</v>
      </c>
      <c r="G15" s="18">
        <f t="shared" si="1"/>
        <v>637</v>
      </c>
      <c r="H15" s="28" t="s">
        <v>91</v>
      </c>
      <c r="I15" s="28"/>
      <c r="J15" s="28"/>
      <c r="K15" s="7" t="s">
        <v>90</v>
      </c>
      <c r="L15" s="26"/>
    </row>
    <row r="16" spans="1:12" ht="18" customHeight="1" x14ac:dyDescent="0.25">
      <c r="A16" s="14">
        <f t="shared" si="0"/>
        <v>8</v>
      </c>
      <c r="B16" s="8">
        <v>45479</v>
      </c>
      <c r="C16" s="46" t="s">
        <v>168</v>
      </c>
      <c r="D16" s="214" t="s">
        <v>214</v>
      </c>
      <c r="E16" s="16"/>
      <c r="F16" s="27">
        <v>60</v>
      </c>
      <c r="G16" s="18">
        <f t="shared" si="1"/>
        <v>577</v>
      </c>
      <c r="H16" s="28" t="s">
        <v>91</v>
      </c>
      <c r="I16" s="28"/>
      <c r="J16" s="28"/>
      <c r="K16" s="7"/>
      <c r="L16" s="26"/>
    </row>
    <row r="17" spans="1:17" ht="18" customHeight="1" x14ac:dyDescent="0.25">
      <c r="A17" s="14">
        <f t="shared" si="0"/>
        <v>9</v>
      </c>
      <c r="B17" s="8" t="s">
        <v>242</v>
      </c>
      <c r="C17" s="46" t="s">
        <v>168</v>
      </c>
      <c r="D17" s="214" t="s">
        <v>214</v>
      </c>
      <c r="E17" s="16"/>
      <c r="F17" s="27">
        <v>139</v>
      </c>
      <c r="G17" s="18">
        <f t="shared" si="1"/>
        <v>438</v>
      </c>
      <c r="H17" s="28" t="s">
        <v>91</v>
      </c>
      <c r="I17" s="28"/>
      <c r="J17" s="28"/>
      <c r="K17" s="7" t="s">
        <v>90</v>
      </c>
    </row>
    <row r="18" spans="1:17" ht="18" customHeight="1" x14ac:dyDescent="0.25">
      <c r="A18" s="14">
        <f t="shared" si="0"/>
        <v>10</v>
      </c>
      <c r="B18" s="8">
        <v>45507</v>
      </c>
      <c r="C18" s="46" t="s">
        <v>168</v>
      </c>
      <c r="D18" s="214" t="s">
        <v>214</v>
      </c>
      <c r="E18" s="30"/>
      <c r="F18" s="27">
        <f>13*20</f>
        <v>260</v>
      </c>
      <c r="G18" s="18">
        <f t="shared" si="1"/>
        <v>178</v>
      </c>
      <c r="H18" s="28" t="s">
        <v>91</v>
      </c>
      <c r="I18" s="28"/>
      <c r="J18" s="28"/>
      <c r="K18" s="7" t="s">
        <v>90</v>
      </c>
    </row>
    <row r="19" spans="1:17" s="230" customFormat="1" ht="18" customHeight="1" x14ac:dyDescent="0.25">
      <c r="A19" s="14">
        <f t="shared" si="0"/>
        <v>11</v>
      </c>
      <c r="B19" s="224">
        <v>45509</v>
      </c>
      <c r="C19" s="46" t="s">
        <v>168</v>
      </c>
      <c r="D19" s="214" t="s">
        <v>214</v>
      </c>
      <c r="E19" s="227"/>
      <c r="F19" s="228">
        <v>178</v>
      </c>
      <c r="G19" s="18">
        <f t="shared" si="1"/>
        <v>0</v>
      </c>
      <c r="H19" s="28" t="s">
        <v>91</v>
      </c>
      <c r="I19" s="28"/>
      <c r="J19" s="28"/>
      <c r="K19" s="7" t="s">
        <v>90</v>
      </c>
      <c r="M19" s="230">
        <f>8*20+15*20+40+23</f>
        <v>523</v>
      </c>
    </row>
    <row r="20" spans="1:17" s="230" customFormat="1" ht="51" x14ac:dyDescent="0.25">
      <c r="A20" s="14">
        <f t="shared" si="0"/>
        <v>12</v>
      </c>
      <c r="B20" s="224">
        <v>45568</v>
      </c>
      <c r="C20" s="366" t="s">
        <v>280</v>
      </c>
      <c r="D20" s="214" t="s">
        <v>214</v>
      </c>
      <c r="E20" s="231">
        <v>198</v>
      </c>
      <c r="F20" s="228"/>
      <c r="G20" s="18">
        <f t="shared" si="1"/>
        <v>198</v>
      </c>
      <c r="H20" s="28" t="s">
        <v>91</v>
      </c>
      <c r="I20" s="28"/>
      <c r="J20" s="28">
        <v>63.36</v>
      </c>
      <c r="K20" s="7" t="s">
        <v>90</v>
      </c>
    </row>
    <row r="21" spans="1:17" ht="27.75" customHeight="1" x14ac:dyDescent="0.25">
      <c r="A21" s="14">
        <f t="shared" si="0"/>
        <v>13</v>
      </c>
      <c r="B21" s="8">
        <v>45577</v>
      </c>
      <c r="C21" s="366" t="s">
        <v>280</v>
      </c>
      <c r="D21" s="214" t="s">
        <v>214</v>
      </c>
      <c r="E21" s="32">
        <v>191</v>
      </c>
      <c r="F21" s="17"/>
      <c r="G21" s="18">
        <f t="shared" si="1"/>
        <v>389</v>
      </c>
      <c r="H21" s="28" t="s">
        <v>91</v>
      </c>
      <c r="I21" s="28"/>
      <c r="J21" s="28">
        <v>64.94</v>
      </c>
      <c r="K21" s="7" t="s">
        <v>90</v>
      </c>
      <c r="N21">
        <f>271-33</f>
        <v>238</v>
      </c>
      <c r="P21" s="26"/>
    </row>
    <row r="22" spans="1:17" ht="27" customHeight="1" x14ac:dyDescent="0.25">
      <c r="A22" s="14">
        <f t="shared" si="0"/>
        <v>14</v>
      </c>
      <c r="B22" s="8">
        <v>45582</v>
      </c>
      <c r="C22" s="366" t="s">
        <v>280</v>
      </c>
      <c r="D22" s="214" t="s">
        <v>214</v>
      </c>
      <c r="E22" s="32">
        <v>492</v>
      </c>
      <c r="F22" s="27"/>
      <c r="G22" s="18">
        <f t="shared" si="1"/>
        <v>881</v>
      </c>
      <c r="H22" s="28" t="s">
        <v>91</v>
      </c>
      <c r="I22" s="28"/>
      <c r="J22" s="28">
        <v>167.28</v>
      </c>
      <c r="K22" s="7" t="s">
        <v>90</v>
      </c>
      <c r="N22">
        <f>62-33</f>
        <v>29</v>
      </c>
    </row>
    <row r="23" spans="1:17" ht="18" customHeight="1" x14ac:dyDescent="0.25">
      <c r="A23" s="14">
        <f t="shared" si="0"/>
        <v>15</v>
      </c>
      <c r="B23" s="232">
        <v>45600</v>
      </c>
      <c r="C23" s="233"/>
      <c r="D23" s="214" t="s">
        <v>214</v>
      </c>
      <c r="E23" s="235"/>
      <c r="F23" s="172">
        <v>192</v>
      </c>
      <c r="G23" s="18">
        <f t="shared" si="1"/>
        <v>689</v>
      </c>
      <c r="H23" s="28" t="s">
        <v>129</v>
      </c>
      <c r="I23" s="28"/>
      <c r="J23" s="28"/>
      <c r="K23" s="7" t="s">
        <v>90</v>
      </c>
      <c r="L23">
        <f>167/492</f>
        <v>0.33943089430894308</v>
      </c>
    </row>
    <row r="24" spans="1:17" ht="18" customHeight="1" x14ac:dyDescent="0.25">
      <c r="A24" s="14">
        <f t="shared" si="0"/>
        <v>16</v>
      </c>
      <c r="B24" s="8">
        <v>45601</v>
      </c>
      <c r="C24" s="46"/>
      <c r="D24" s="214" t="s">
        <v>214</v>
      </c>
      <c r="E24" s="32"/>
      <c r="F24" s="17">
        <v>315</v>
      </c>
      <c r="G24" s="18">
        <f t="shared" si="1"/>
        <v>374</v>
      </c>
      <c r="H24" s="28" t="s">
        <v>129</v>
      </c>
      <c r="I24" s="28"/>
      <c r="J24" s="28"/>
      <c r="K24" s="7" t="s">
        <v>142</v>
      </c>
      <c r="N24">
        <f>211-33</f>
        <v>178</v>
      </c>
    </row>
    <row r="25" spans="1:17" ht="18" customHeight="1" x14ac:dyDescent="0.25">
      <c r="A25" s="14">
        <f t="shared" si="0"/>
        <v>17</v>
      </c>
      <c r="B25" s="8">
        <v>45602</v>
      </c>
      <c r="C25" s="46"/>
      <c r="D25" s="214" t="s">
        <v>214</v>
      </c>
      <c r="E25" s="32"/>
      <c r="F25" s="17">
        <v>191</v>
      </c>
      <c r="G25" s="238">
        <f t="shared" si="1"/>
        <v>183</v>
      </c>
      <c r="H25" s="28" t="s">
        <v>91</v>
      </c>
      <c r="I25" s="28"/>
      <c r="J25" s="28"/>
      <c r="K25" s="7" t="s">
        <v>90</v>
      </c>
    </row>
    <row r="26" spans="1:17" ht="18" customHeight="1" x14ac:dyDescent="0.25">
      <c r="A26" s="14">
        <f t="shared" si="0"/>
        <v>18</v>
      </c>
      <c r="B26" s="8">
        <v>45611</v>
      </c>
      <c r="C26" s="46"/>
      <c r="D26" s="214" t="s">
        <v>214</v>
      </c>
      <c r="E26" s="32"/>
      <c r="F26" s="17">
        <v>121</v>
      </c>
      <c r="G26" s="18">
        <f t="shared" si="1"/>
        <v>62</v>
      </c>
      <c r="H26" s="28" t="s">
        <v>91</v>
      </c>
      <c r="I26" s="28"/>
      <c r="J26" s="28"/>
      <c r="K26" s="7" t="s">
        <v>90</v>
      </c>
      <c r="M26">
        <v>881</v>
      </c>
    </row>
    <row r="27" spans="1:17" ht="18" customHeight="1" x14ac:dyDescent="0.25">
      <c r="A27" s="14">
        <f t="shared" si="0"/>
        <v>19</v>
      </c>
      <c r="B27" s="8">
        <v>45612</v>
      </c>
      <c r="C27" s="46"/>
      <c r="D27" s="214" t="s">
        <v>214</v>
      </c>
      <c r="E27" s="32"/>
      <c r="F27" s="17">
        <v>19</v>
      </c>
      <c r="G27" s="18">
        <f t="shared" si="1"/>
        <v>43</v>
      </c>
      <c r="H27" s="28" t="s">
        <v>91</v>
      </c>
      <c r="I27" s="28"/>
      <c r="J27" s="28"/>
      <c r="K27" s="7" t="s">
        <v>90</v>
      </c>
      <c r="M27">
        <f>296/M26</f>
        <v>0.33598183881952326</v>
      </c>
    </row>
    <row r="28" spans="1:17" ht="18" customHeight="1" x14ac:dyDescent="0.25">
      <c r="A28" s="14">
        <f t="shared" si="0"/>
        <v>20</v>
      </c>
      <c r="B28" s="8">
        <v>45614</v>
      </c>
      <c r="C28" s="46"/>
      <c r="D28" s="214" t="s">
        <v>214</v>
      </c>
      <c r="E28" s="32">
        <v>230</v>
      </c>
      <c r="F28" s="17"/>
      <c r="G28" s="18">
        <f t="shared" si="1"/>
        <v>273</v>
      </c>
      <c r="H28" s="28" t="s">
        <v>91</v>
      </c>
      <c r="I28" s="28"/>
      <c r="J28" s="28">
        <v>94</v>
      </c>
      <c r="K28" s="7" t="s">
        <v>90</v>
      </c>
      <c r="M28">
        <f>+M27*838</f>
        <v>281.55278093076049</v>
      </c>
      <c r="Q28">
        <f>492-43</f>
        <v>449</v>
      </c>
    </row>
    <row r="29" spans="1:17" ht="18" customHeight="1" x14ac:dyDescent="0.25">
      <c r="A29" s="14">
        <f t="shared" si="0"/>
        <v>21</v>
      </c>
      <c r="B29" s="8">
        <v>45616</v>
      </c>
      <c r="C29" s="46"/>
      <c r="D29" s="214" t="s">
        <v>214</v>
      </c>
      <c r="E29" s="129"/>
      <c r="F29" s="17">
        <v>145</v>
      </c>
      <c r="G29" s="18">
        <f t="shared" si="1"/>
        <v>128</v>
      </c>
      <c r="H29" s="28" t="s">
        <v>91</v>
      </c>
      <c r="I29" s="28">
        <f>+F29*M31</f>
        <v>59.260869565217398</v>
      </c>
      <c r="J29" s="28"/>
      <c r="K29" s="7" t="s">
        <v>90</v>
      </c>
      <c r="M29" s="1">
        <v>45577</v>
      </c>
      <c r="Q29">
        <f>+L23*449</f>
        <v>152.40447154471545</v>
      </c>
    </row>
    <row r="30" spans="1:17" ht="18" customHeight="1" x14ac:dyDescent="0.25">
      <c r="A30" s="14">
        <f t="shared" si="0"/>
        <v>22</v>
      </c>
      <c r="B30" s="8">
        <v>45617</v>
      </c>
      <c r="C30" s="46"/>
      <c r="D30" s="214" t="s">
        <v>214</v>
      </c>
      <c r="E30" s="32"/>
      <c r="F30" s="172">
        <v>85</v>
      </c>
      <c r="G30" s="18">
        <f t="shared" si="1"/>
        <v>43</v>
      </c>
      <c r="H30" s="28" t="s">
        <v>91</v>
      </c>
      <c r="I30" s="28">
        <f>+F29*0.4</f>
        <v>58</v>
      </c>
      <c r="J30" s="28"/>
      <c r="K30" s="7" t="s">
        <v>90</v>
      </c>
    </row>
    <row r="31" spans="1:17" ht="18" customHeight="1" x14ac:dyDescent="0.25">
      <c r="A31" s="14">
        <f t="shared" si="0"/>
        <v>23</v>
      </c>
      <c r="B31" s="8">
        <v>45617</v>
      </c>
      <c r="C31" s="46"/>
      <c r="D31" s="214" t="s">
        <v>214</v>
      </c>
      <c r="E31" s="32">
        <v>300</v>
      </c>
      <c r="F31" s="17"/>
      <c r="G31" s="18">
        <f t="shared" si="1"/>
        <v>343</v>
      </c>
      <c r="H31" s="28" t="s">
        <v>91</v>
      </c>
      <c r="I31" s="28"/>
      <c r="J31" s="28">
        <v>123</v>
      </c>
      <c r="K31" s="7" t="s">
        <v>90</v>
      </c>
      <c r="M31" s="387">
        <f>94/230</f>
        <v>0.40869565217391307</v>
      </c>
      <c r="O31">
        <f>159+160</f>
        <v>319</v>
      </c>
    </row>
    <row r="32" spans="1:17" ht="18" customHeight="1" x14ac:dyDescent="0.25">
      <c r="A32" s="14">
        <f t="shared" si="0"/>
        <v>24</v>
      </c>
      <c r="B32" s="8">
        <v>45618</v>
      </c>
      <c r="C32" s="46"/>
      <c r="D32" s="214" t="s">
        <v>214</v>
      </c>
      <c r="E32" s="32"/>
      <c r="F32" s="17">
        <f>318-6</f>
        <v>312</v>
      </c>
      <c r="G32" s="18">
        <f t="shared" si="1"/>
        <v>31</v>
      </c>
      <c r="H32" s="28" t="s">
        <v>91</v>
      </c>
      <c r="I32" s="28">
        <f>+(0.41)*312</f>
        <v>127.91999999999999</v>
      </c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8">
        <v>45618</v>
      </c>
      <c r="C33" s="46"/>
      <c r="D33" s="214" t="s">
        <v>214</v>
      </c>
      <c r="E33" s="13"/>
      <c r="F33" s="17"/>
      <c r="G33" s="18">
        <f t="shared" si="1"/>
        <v>31</v>
      </c>
      <c r="H33" s="28" t="s">
        <v>91</v>
      </c>
      <c r="I33" s="28"/>
      <c r="J33" s="28"/>
      <c r="K33" s="7" t="s">
        <v>90</v>
      </c>
    </row>
    <row r="34" spans="1:18" ht="27" customHeight="1" x14ac:dyDescent="0.25">
      <c r="A34" s="14">
        <f t="shared" si="0"/>
        <v>26</v>
      </c>
      <c r="B34" s="44">
        <v>45618</v>
      </c>
      <c r="C34" s="366" t="s">
        <v>331</v>
      </c>
      <c r="D34" s="214" t="s">
        <v>214</v>
      </c>
      <c r="E34" s="13">
        <v>319</v>
      </c>
      <c r="F34" s="17"/>
      <c r="G34" s="18">
        <f t="shared" si="1"/>
        <v>350</v>
      </c>
      <c r="H34" s="178"/>
      <c r="I34" s="178"/>
      <c r="J34" s="178">
        <v>108</v>
      </c>
      <c r="K34" s="7"/>
      <c r="L34" s="392">
        <f>+J34/E34</f>
        <v>0.33855799373040751</v>
      </c>
    </row>
    <row r="35" spans="1:18" ht="30.75" customHeight="1" x14ac:dyDescent="0.25">
      <c r="A35" s="14">
        <f t="shared" si="0"/>
        <v>27</v>
      </c>
      <c r="B35" s="44">
        <v>45618</v>
      </c>
      <c r="C35" s="366" t="s">
        <v>325</v>
      </c>
      <c r="D35" s="214" t="s">
        <v>214</v>
      </c>
      <c r="E35" s="32">
        <v>360</v>
      </c>
      <c r="F35" s="40"/>
      <c r="G35" s="18">
        <f t="shared" si="1"/>
        <v>710</v>
      </c>
      <c r="H35" s="178"/>
      <c r="I35" s="178"/>
      <c r="J35" s="178">
        <v>154</v>
      </c>
      <c r="K35" s="7"/>
    </row>
    <row r="36" spans="1:18" ht="31.5" customHeight="1" x14ac:dyDescent="0.25">
      <c r="A36" s="14">
        <f t="shared" si="0"/>
        <v>28</v>
      </c>
      <c r="B36" s="45">
        <v>45621</v>
      </c>
      <c r="C36" s="366" t="s">
        <v>280</v>
      </c>
      <c r="D36" s="214" t="s">
        <v>214</v>
      </c>
      <c r="E36" s="32"/>
      <c r="F36" s="40">
        <v>140</v>
      </c>
      <c r="G36" s="18">
        <f t="shared" si="1"/>
        <v>570</v>
      </c>
      <c r="H36" s="178"/>
      <c r="I36" s="178">
        <f>140*L34</f>
        <v>47.39811912225705</v>
      </c>
      <c r="J36" s="178"/>
      <c r="K36" s="7"/>
    </row>
    <row r="37" spans="1:18" ht="28.5" customHeight="1" x14ac:dyDescent="0.25">
      <c r="A37" s="14">
        <f t="shared" si="0"/>
        <v>29</v>
      </c>
      <c r="B37" s="8">
        <v>45623</v>
      </c>
      <c r="C37" s="366" t="s">
        <v>331</v>
      </c>
      <c r="D37" s="214" t="s">
        <v>214</v>
      </c>
      <c r="E37" s="32"/>
      <c r="F37" s="40">
        <v>45</v>
      </c>
      <c r="G37" s="18">
        <f t="shared" si="1"/>
        <v>525</v>
      </c>
      <c r="H37" s="178"/>
      <c r="I37" s="178">
        <f>45*L34</f>
        <v>15.235109717868339</v>
      </c>
      <c r="J37" s="178"/>
      <c r="K37" s="7"/>
    </row>
    <row r="38" spans="1:18" ht="28.5" customHeight="1" x14ac:dyDescent="0.25">
      <c r="A38" s="14">
        <f t="shared" si="0"/>
        <v>30</v>
      </c>
      <c r="B38" s="8">
        <v>45624</v>
      </c>
      <c r="C38" s="366" t="s">
        <v>331</v>
      </c>
      <c r="D38" s="214" t="s">
        <v>214</v>
      </c>
      <c r="E38" s="32"/>
      <c r="F38" s="17">
        <v>29</v>
      </c>
      <c r="G38" s="18">
        <f t="shared" si="1"/>
        <v>496</v>
      </c>
      <c r="H38" s="178"/>
      <c r="I38" s="178">
        <f>29*L34</f>
        <v>9.8181818181818183</v>
      </c>
      <c r="J38" s="178"/>
      <c r="K38" s="7"/>
      <c r="M38">
        <f>911-338</f>
        <v>573</v>
      </c>
    </row>
    <row r="39" spans="1:18" ht="32.25" customHeight="1" x14ac:dyDescent="0.25">
      <c r="A39" s="14">
        <f t="shared" si="0"/>
        <v>31</v>
      </c>
      <c r="B39" s="8">
        <v>45636</v>
      </c>
      <c r="C39" s="366" t="s">
        <v>325</v>
      </c>
      <c r="D39" s="214" t="s">
        <v>214</v>
      </c>
      <c r="E39" s="32"/>
      <c r="F39" s="17">
        <v>211</v>
      </c>
      <c r="G39" s="18">
        <f t="shared" si="1"/>
        <v>285</v>
      </c>
      <c r="H39" s="178"/>
      <c r="I39" s="178">
        <f>+F39*L34</f>
        <v>71.435736677115983</v>
      </c>
      <c r="J39" s="178"/>
      <c r="K39" s="7"/>
      <c r="M39">
        <f>+M38-314</f>
        <v>259</v>
      </c>
    </row>
    <row r="40" spans="1:18" ht="18" customHeight="1" x14ac:dyDescent="0.25">
      <c r="A40" s="14">
        <f t="shared" si="0"/>
        <v>32</v>
      </c>
      <c r="B40" s="8">
        <v>45679</v>
      </c>
      <c r="C40" s="46"/>
      <c r="D40" s="214" t="s">
        <v>214</v>
      </c>
      <c r="E40" s="32"/>
      <c r="F40" s="17">
        <v>83</v>
      </c>
      <c r="G40" s="18">
        <f t="shared" si="1"/>
        <v>202</v>
      </c>
      <c r="H40" s="178"/>
      <c r="I40" s="178">
        <f>+F40*L34</f>
        <v>28.100313479623825</v>
      </c>
      <c r="J40" s="178"/>
      <c r="K40" s="7"/>
    </row>
    <row r="41" spans="1:18" ht="18" customHeight="1" x14ac:dyDescent="0.25">
      <c r="A41" s="14">
        <f t="shared" si="0"/>
        <v>33</v>
      </c>
      <c r="B41" s="8">
        <v>45680</v>
      </c>
      <c r="C41" s="46"/>
      <c r="D41" s="214" t="s">
        <v>214</v>
      </c>
      <c r="E41" s="32"/>
      <c r="F41" s="17">
        <v>124</v>
      </c>
      <c r="G41" s="18">
        <f t="shared" si="1"/>
        <v>78</v>
      </c>
      <c r="H41" s="178"/>
      <c r="I41" s="178">
        <f>+F41*L34</f>
        <v>41.98119122257053</v>
      </c>
      <c r="J41" s="178"/>
      <c r="K41" s="7"/>
    </row>
    <row r="42" spans="1:18" ht="18" customHeight="1" x14ac:dyDescent="0.25">
      <c r="A42" s="14">
        <f t="shared" si="0"/>
        <v>34</v>
      </c>
      <c r="B42" s="8">
        <v>45681</v>
      </c>
      <c r="C42" s="46"/>
      <c r="D42" s="214" t="s">
        <v>214</v>
      </c>
      <c r="E42" s="32"/>
      <c r="F42" s="172">
        <v>21</v>
      </c>
      <c r="G42" s="18">
        <f t="shared" si="1"/>
        <v>57</v>
      </c>
      <c r="H42" s="178"/>
      <c r="I42" s="178">
        <f>+F42*L34</f>
        <v>7.1097178683385582</v>
      </c>
      <c r="J42" s="178"/>
      <c r="K42" s="7"/>
      <c r="L42" s="162">
        <v>3</v>
      </c>
      <c r="R42" s="162"/>
    </row>
    <row r="43" spans="1:18" ht="18" customHeight="1" x14ac:dyDescent="0.25">
      <c r="A43" s="14">
        <f t="shared" si="0"/>
        <v>35</v>
      </c>
      <c r="B43" s="8">
        <v>45737</v>
      </c>
      <c r="C43" s="46"/>
      <c r="D43" s="214" t="s">
        <v>214</v>
      </c>
      <c r="E43" s="32">
        <v>500</v>
      </c>
      <c r="F43" s="17"/>
      <c r="G43" s="18">
        <f t="shared" si="1"/>
        <v>557</v>
      </c>
      <c r="H43" s="178"/>
      <c r="I43" s="178"/>
      <c r="J43" s="178">
        <v>250</v>
      </c>
      <c r="K43" s="7"/>
      <c r="L43" s="404">
        <f>+J43/E43</f>
        <v>0.5</v>
      </c>
    </row>
    <row r="44" spans="1:18" ht="18" customHeight="1" x14ac:dyDescent="0.25">
      <c r="A44" s="14">
        <f t="shared" si="0"/>
        <v>36</v>
      </c>
      <c r="B44" s="8">
        <v>45828</v>
      </c>
      <c r="C44" s="46"/>
      <c r="D44" s="214" t="s">
        <v>214</v>
      </c>
      <c r="E44" s="32"/>
      <c r="F44" s="17">
        <v>38</v>
      </c>
      <c r="G44" s="18">
        <f t="shared" si="1"/>
        <v>519</v>
      </c>
      <c r="H44" s="178"/>
      <c r="I44" s="178">
        <f>+F44*L43</f>
        <v>19</v>
      </c>
      <c r="J44" s="178"/>
      <c r="K44" s="7" t="s">
        <v>408</v>
      </c>
    </row>
    <row r="45" spans="1:18" ht="18" customHeight="1" x14ac:dyDescent="0.25">
      <c r="A45" s="14">
        <f t="shared" si="0"/>
        <v>37</v>
      </c>
      <c r="B45" s="8">
        <v>45833</v>
      </c>
      <c r="C45" s="46"/>
      <c r="D45" s="214" t="s">
        <v>214</v>
      </c>
      <c r="E45" s="32"/>
      <c r="F45" s="17">
        <v>215</v>
      </c>
      <c r="G45" s="18">
        <f t="shared" si="1"/>
        <v>304</v>
      </c>
      <c r="H45" s="178"/>
      <c r="I45" s="178">
        <f>+F45*L43</f>
        <v>107.5</v>
      </c>
      <c r="J45" s="178"/>
      <c r="K45" s="7"/>
    </row>
    <row r="46" spans="1:18" ht="18" customHeight="1" x14ac:dyDescent="0.25">
      <c r="A46" s="14">
        <f t="shared" si="0"/>
        <v>38</v>
      </c>
      <c r="B46" s="8">
        <v>45834</v>
      </c>
      <c r="C46" s="46"/>
      <c r="D46" s="214" t="s">
        <v>214</v>
      </c>
      <c r="E46" s="32"/>
      <c r="F46" s="17">
        <v>304</v>
      </c>
      <c r="G46" s="18">
        <f t="shared" si="1"/>
        <v>0</v>
      </c>
      <c r="H46" s="178"/>
      <c r="I46" s="178">
        <f>+F46*L43</f>
        <v>152</v>
      </c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0</v>
      </c>
      <c r="H47" s="178"/>
      <c r="I47" s="178"/>
      <c r="J47" s="178"/>
      <c r="K47" s="29"/>
      <c r="O47">
        <f>680*98</f>
        <v>66640</v>
      </c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0</v>
      </c>
      <c r="H48" s="178"/>
      <c r="I48" s="178"/>
      <c r="J48" s="178"/>
      <c r="K48" s="29"/>
      <c r="O48">
        <f>680*10</f>
        <v>6800</v>
      </c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0</v>
      </c>
      <c r="H49" s="178"/>
      <c r="I49" s="178"/>
      <c r="J49" s="178"/>
      <c r="K49" s="29"/>
      <c r="O49">
        <f>+O48*98</f>
        <v>666400</v>
      </c>
    </row>
    <row r="50" spans="1:18" ht="18" customHeight="1" x14ac:dyDescent="0.25">
      <c r="A50" s="14">
        <f t="shared" si="0"/>
        <v>42</v>
      </c>
      <c r="B50" s="8"/>
      <c r="C50" s="46"/>
      <c r="D50" s="214" t="s">
        <v>214</v>
      </c>
      <c r="E50" s="32"/>
      <c r="F50" s="17"/>
      <c r="G50" s="18">
        <f t="shared" si="1"/>
        <v>0</v>
      </c>
      <c r="H50" s="178"/>
      <c r="I50" s="178"/>
      <c r="J50" s="178"/>
      <c r="K50" s="7"/>
      <c r="O50">
        <f>+O49/2842</f>
        <v>234.48275862068965</v>
      </c>
    </row>
    <row r="51" spans="1:18" s="162" customFormat="1" ht="18" customHeight="1" x14ac:dyDescent="0.25">
      <c r="A51" s="14">
        <f t="shared" si="0"/>
        <v>43</v>
      </c>
      <c r="B51" s="174"/>
      <c r="C51" s="236"/>
      <c r="D51" s="214" t="s">
        <v>214</v>
      </c>
      <c r="E51" s="175"/>
      <c r="F51" s="172"/>
      <c r="G51" s="18">
        <f t="shared" si="1"/>
        <v>0</v>
      </c>
      <c r="H51" s="178"/>
      <c r="I51" s="178"/>
      <c r="J51" s="178"/>
      <c r="K51" s="7"/>
      <c r="R51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0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0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0</v>
      </c>
      <c r="H54" s="239"/>
      <c r="I54" s="239"/>
      <c r="J54" s="239"/>
      <c r="K54" s="7"/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0</v>
      </c>
      <c r="H55" s="28"/>
      <c r="I55" s="28"/>
      <c r="J55" s="28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0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0</v>
      </c>
      <c r="H57" s="240"/>
      <c r="I57" s="240"/>
      <c r="J57" s="240"/>
      <c r="K57" s="7"/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0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0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0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0</v>
      </c>
      <c r="H66" s="240"/>
      <c r="I66" s="240"/>
      <c r="J66" s="240"/>
      <c r="K66" s="7" t="s">
        <v>14</v>
      </c>
      <c r="L66" s="26"/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 t="shared" si="1"/>
        <v>0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 t="shared" si="1"/>
        <v>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 t="shared" si="1"/>
        <v>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64</v>
      </c>
      <c r="B72" s="8"/>
      <c r="C72" s="46"/>
      <c r="D72" s="214" t="s">
        <v>214</v>
      </c>
      <c r="E72" s="32"/>
      <c r="F72" s="17"/>
      <c r="G72" s="18">
        <f t="shared" si="1"/>
        <v>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si="0"/>
        <v>66</v>
      </c>
      <c r="B74" s="8"/>
      <c r="C74" s="46"/>
      <c r="D74" s="214" t="s">
        <v>214</v>
      </c>
      <c r="E74" s="32"/>
      <c r="F74" s="17"/>
      <c r="G74" s="18">
        <f t="shared" si="1"/>
        <v>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ref="A75:A108" si="2">+A74+1</f>
        <v>67</v>
      </c>
      <c r="B75" s="8"/>
      <c r="C75" s="46"/>
      <c r="D75" s="214" t="s">
        <v>214</v>
      </c>
      <c r="E75" s="32"/>
      <c r="F75" s="17"/>
      <c r="G75" s="18">
        <f t="shared" ref="G75:G108" si="3">+G74+E75-F75</f>
        <v>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17"/>
      <c r="G83" s="18">
        <f t="shared" si="3"/>
        <v>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27"/>
      <c r="G84" s="18">
        <f t="shared" si="3"/>
        <v>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0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17"/>
      <c r="G91" s="18">
        <f t="shared" si="3"/>
        <v>0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 t="shared" si="3"/>
        <v>0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2"/>
        <v>85</v>
      </c>
      <c r="B93" s="8"/>
      <c r="C93" s="46"/>
      <c r="D93" s="214" t="s">
        <v>214</v>
      </c>
      <c r="E93" s="32"/>
      <c r="F93" s="27"/>
      <c r="G93" s="18">
        <f t="shared" si="3"/>
        <v>0</v>
      </c>
      <c r="H93" s="240"/>
      <c r="I93" s="240"/>
      <c r="J93" s="240"/>
      <c r="K93" s="7" t="s">
        <v>14</v>
      </c>
      <c r="N93" s="199"/>
      <c r="S93" s="199"/>
    </row>
    <row r="94" spans="1:19" s="179" customFormat="1" ht="18" customHeight="1" x14ac:dyDescent="0.25">
      <c r="A94" s="14">
        <f t="shared" si="2"/>
        <v>86</v>
      </c>
      <c r="B94" s="242"/>
      <c r="C94" s="243"/>
      <c r="D94" s="214" t="s">
        <v>214</v>
      </c>
      <c r="E94" s="245"/>
      <c r="F94" s="52"/>
      <c r="G94" s="18">
        <f t="shared" si="3"/>
        <v>0</v>
      </c>
      <c r="H94" s="240"/>
      <c r="I94" s="240"/>
      <c r="J94" s="240"/>
      <c r="K94" s="247" t="s">
        <v>14</v>
      </c>
      <c r="L94" s="179" t="s">
        <v>43</v>
      </c>
      <c r="N94" s="248"/>
      <c r="S94" s="248"/>
    </row>
    <row r="95" spans="1:19" s="179" customFormat="1" ht="18" customHeight="1" x14ac:dyDescent="0.25">
      <c r="A95" s="14">
        <f t="shared" si="2"/>
        <v>87</v>
      </c>
      <c r="B95" s="242"/>
      <c r="C95" s="243"/>
      <c r="D95" s="214" t="s">
        <v>214</v>
      </c>
      <c r="E95" s="245"/>
      <c r="F95" s="52"/>
      <c r="G95" s="18">
        <f t="shared" si="3"/>
        <v>0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14">
        <f t="shared" si="2"/>
        <v>88</v>
      </c>
      <c r="B96" s="242"/>
      <c r="C96" s="243"/>
      <c r="D96" s="214" t="s">
        <v>214</v>
      </c>
      <c r="E96" s="245"/>
      <c r="F96" s="52"/>
      <c r="G96" s="18">
        <f t="shared" si="3"/>
        <v>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2"/>
        <v>89</v>
      </c>
      <c r="B97" s="242"/>
      <c r="C97" s="243"/>
      <c r="D97" s="214" t="s">
        <v>214</v>
      </c>
      <c r="E97" s="245"/>
      <c r="F97" s="52"/>
      <c r="G97" s="18">
        <f t="shared" si="3"/>
        <v>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2"/>
        <v>90</v>
      </c>
      <c r="B98" s="242"/>
      <c r="C98" s="243"/>
      <c r="D98" s="214" t="s">
        <v>214</v>
      </c>
      <c r="E98" s="245"/>
      <c r="F98" s="52"/>
      <c r="G98" s="18">
        <f t="shared" si="3"/>
        <v>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2"/>
        <v>91</v>
      </c>
      <c r="B99" s="242"/>
      <c r="C99" s="243"/>
      <c r="D99" s="214" t="s">
        <v>214</v>
      </c>
      <c r="E99" s="245"/>
      <c r="F99" s="52"/>
      <c r="G99" s="18">
        <f t="shared" si="3"/>
        <v>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2"/>
        <v>92</v>
      </c>
      <c r="B100" s="242"/>
      <c r="C100" s="243"/>
      <c r="D100" s="214" t="s">
        <v>214</v>
      </c>
      <c r="E100" s="245"/>
      <c r="F100" s="52"/>
      <c r="G100" s="18">
        <f t="shared" si="3"/>
        <v>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2"/>
        <v>93</v>
      </c>
      <c r="B101" s="242"/>
      <c r="C101" s="243"/>
      <c r="D101" s="214" t="s">
        <v>214</v>
      </c>
      <c r="E101" s="245"/>
      <c r="F101" s="52"/>
      <c r="G101" s="18">
        <f t="shared" si="3"/>
        <v>0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2"/>
        <v>94</v>
      </c>
      <c r="B102" s="242"/>
      <c r="C102" s="243"/>
      <c r="D102" s="214" t="s">
        <v>214</v>
      </c>
      <c r="E102" s="245"/>
      <c r="F102" s="52"/>
      <c r="G102" s="18">
        <f t="shared" si="3"/>
        <v>0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0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0</v>
      </c>
      <c r="H105" s="240"/>
      <c r="I105" s="240"/>
      <c r="J105" s="240"/>
      <c r="K105" s="247"/>
      <c r="N105" s="248"/>
      <c r="S105" s="248"/>
    </row>
    <row r="106" spans="1:19" ht="18" customHeight="1" x14ac:dyDescent="0.25">
      <c r="A106" s="14">
        <f t="shared" si="2"/>
        <v>98</v>
      </c>
      <c r="B106" s="8"/>
      <c r="C106" s="46"/>
      <c r="D106" s="214"/>
      <c r="E106" s="32"/>
      <c r="F106" s="27"/>
      <c r="G106" s="18">
        <f t="shared" si="3"/>
        <v>0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99</v>
      </c>
      <c r="B107" s="8"/>
      <c r="C107" s="46"/>
      <c r="D107" s="214"/>
      <c r="E107" s="32"/>
      <c r="F107" s="27"/>
      <c r="G107" s="18">
        <f t="shared" si="3"/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2"/>
        <v>100</v>
      </c>
      <c r="B108" s="37"/>
      <c r="C108" s="46"/>
      <c r="D108" s="10"/>
      <c r="E108" s="32"/>
      <c r="F108" s="27"/>
      <c r="G108" s="18">
        <f t="shared" si="3"/>
        <v>0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7"/>
      <c r="B109" s="7"/>
      <c r="C109" s="34" t="s">
        <v>13</v>
      </c>
      <c r="D109" s="14"/>
      <c r="E109" s="35">
        <f>SUM(E8:E108)</f>
        <v>3857</v>
      </c>
      <c r="F109" s="35">
        <f>SUM(F8:F108)</f>
        <v>3857</v>
      </c>
      <c r="G109" s="35">
        <f>+E109-F109+G8</f>
        <v>0</v>
      </c>
      <c r="H109" s="35"/>
      <c r="I109" s="35"/>
      <c r="J109" s="35">
        <f>SUM(J9:J108)</f>
        <v>1564.46</v>
      </c>
      <c r="K109" s="36"/>
    </row>
    <row r="110" spans="1:19" ht="18" customHeight="1" x14ac:dyDescent="0.25"/>
    <row r="113" spans="5:11" x14ac:dyDescent="0.25">
      <c r="E113" s="201"/>
      <c r="F113" s="201"/>
      <c r="G113" s="201"/>
      <c r="H113" s="201"/>
      <c r="I113" s="201"/>
      <c r="J113" s="201"/>
    </row>
    <row r="114" spans="5:11" x14ac:dyDescent="0.25">
      <c r="F114" s="26"/>
    </row>
    <row r="115" spans="5:11" x14ac:dyDescent="0.25">
      <c r="E115" s="26"/>
      <c r="F115" s="26"/>
      <c r="G115" s="26"/>
      <c r="H115" s="26"/>
      <c r="I115" s="26"/>
      <c r="J115" s="26"/>
      <c r="K115" s="26"/>
    </row>
    <row r="116" spans="5:11" x14ac:dyDescent="0.25">
      <c r="K116" s="202"/>
    </row>
    <row r="117" spans="5:11" x14ac:dyDescent="0.25">
      <c r="E117" s="199"/>
    </row>
    <row r="118" spans="5:11" x14ac:dyDescent="0.25">
      <c r="E118" s="26"/>
      <c r="F118" s="26"/>
    </row>
    <row r="119" spans="5:11" x14ac:dyDescent="0.25">
      <c r="E119" s="203"/>
      <c r="F119" s="204"/>
      <c r="G119" s="203"/>
      <c r="H119" s="203"/>
      <c r="I119" s="203"/>
      <c r="J119" s="203"/>
    </row>
    <row r="120" spans="5:11" x14ac:dyDescent="0.25">
      <c r="F120" s="26"/>
    </row>
  </sheetData>
  <mergeCells count="1">
    <mergeCell ref="A4:K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EBDE-3057-4A60-B2B0-CDBB2CAA3A81}">
  <sheetPr codeName="Sheet107"/>
  <dimension ref="A1:S121"/>
  <sheetViews>
    <sheetView topLeftCell="A92" workbookViewId="0">
      <selection activeCell="H113" sqref="H113"/>
    </sheetView>
  </sheetViews>
  <sheetFormatPr defaultRowHeight="15" x14ac:dyDescent="0.25"/>
  <cols>
    <col min="1" max="1" width="6" customWidth="1"/>
    <col min="2" max="2" width="11.5703125" customWidth="1"/>
    <col min="3" max="3" width="62.140625" customWidth="1"/>
    <col min="4" max="4" width="6.5703125" customWidth="1"/>
    <col min="5" max="6" width="11.42578125" customWidth="1"/>
    <col min="7" max="7" width="11.7109375" customWidth="1"/>
    <col min="8" max="8" width="21.140625" customWidth="1"/>
    <col min="9" max="9" width="8.5703125" customWidth="1"/>
    <col min="10" max="10" width="11.42578125" customWidth="1"/>
    <col min="11" max="11" width="14.85546875" customWidth="1"/>
    <col min="13" max="13" width="9.85546875" bestFit="1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323</v>
      </c>
      <c r="J7" s="6" t="s">
        <v>321</v>
      </c>
      <c r="K7" s="4" t="s">
        <v>10</v>
      </c>
    </row>
    <row r="8" spans="1:12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2" ht="17.25" customHeight="1" x14ac:dyDescent="0.25">
      <c r="A9" s="14">
        <v>1</v>
      </c>
      <c r="B9" s="8">
        <v>45617</v>
      </c>
      <c r="C9" s="46" t="s">
        <v>324</v>
      </c>
      <c r="D9" s="214" t="s">
        <v>214</v>
      </c>
      <c r="E9" s="30">
        <v>860</v>
      </c>
      <c r="F9" s="27"/>
      <c r="G9" s="18">
        <f>+G8+E9-F9</f>
        <v>860</v>
      </c>
      <c r="H9" s="28" t="s">
        <v>129</v>
      </c>
      <c r="I9" s="28"/>
      <c r="J9" s="28">
        <v>338</v>
      </c>
      <c r="K9" s="7"/>
      <c r="L9" s="392">
        <f>+J9/E9</f>
        <v>0.39302325581395348</v>
      </c>
    </row>
    <row r="10" spans="1:12" ht="17.25" customHeight="1" x14ac:dyDescent="0.25">
      <c r="A10" s="14">
        <f t="shared" ref="A10:A74" si="0">+A9+1</f>
        <v>2</v>
      </c>
      <c r="B10" s="8">
        <v>45630</v>
      </c>
      <c r="C10" s="46" t="s">
        <v>324</v>
      </c>
      <c r="D10" s="214" t="s">
        <v>214</v>
      </c>
      <c r="E10" s="30"/>
      <c r="F10" s="27">
        <v>15</v>
      </c>
      <c r="G10" s="18">
        <f t="shared" ref="G10:G74" si="1">+G9+E10-F10</f>
        <v>845</v>
      </c>
      <c r="H10" s="28" t="s">
        <v>129</v>
      </c>
      <c r="I10" s="347">
        <f>+F10*L9</f>
        <v>5.8953488372093021</v>
      </c>
      <c r="J10" s="28"/>
      <c r="K10" s="7" t="s">
        <v>90</v>
      </c>
    </row>
    <row r="11" spans="1:12" ht="17.25" customHeight="1" x14ac:dyDescent="0.25">
      <c r="A11" s="14"/>
      <c r="B11" s="8">
        <v>45631</v>
      </c>
      <c r="C11" s="46" t="s">
        <v>332</v>
      </c>
      <c r="D11" s="214" t="s">
        <v>214</v>
      </c>
      <c r="E11" s="30">
        <v>200</v>
      </c>
      <c r="F11" s="27">
        <v>78</v>
      </c>
      <c r="G11" s="18">
        <f t="shared" si="1"/>
        <v>967</v>
      </c>
      <c r="H11" s="28" t="s">
        <v>129</v>
      </c>
      <c r="I11" s="347">
        <f>+F11*L11</f>
        <v>37.44</v>
      </c>
      <c r="J11" s="382">
        <v>96</v>
      </c>
      <c r="K11" s="7"/>
      <c r="L11" s="400">
        <f>+J11/E11</f>
        <v>0.48</v>
      </c>
    </row>
    <row r="12" spans="1:12" ht="18" customHeight="1" x14ac:dyDescent="0.25">
      <c r="A12" s="14">
        <f>+A10+1</f>
        <v>3</v>
      </c>
      <c r="B12" s="8">
        <v>45632</v>
      </c>
      <c r="C12" s="46" t="s">
        <v>324</v>
      </c>
      <c r="D12" s="214" t="s">
        <v>214</v>
      </c>
      <c r="E12" s="16">
        <v>45</v>
      </c>
      <c r="F12" s="27"/>
      <c r="G12" s="18">
        <f t="shared" si="1"/>
        <v>1012</v>
      </c>
      <c r="H12" s="28" t="s">
        <v>129</v>
      </c>
      <c r="I12" s="28"/>
      <c r="J12" s="28">
        <v>20.5</v>
      </c>
      <c r="K12" s="7" t="s">
        <v>90</v>
      </c>
      <c r="L12" s="26"/>
    </row>
    <row r="13" spans="1:12" ht="18" customHeight="1" x14ac:dyDescent="0.25">
      <c r="A13" s="14">
        <f t="shared" si="0"/>
        <v>4</v>
      </c>
      <c r="B13" s="8">
        <v>45632</v>
      </c>
      <c r="C13" s="46" t="s">
        <v>332</v>
      </c>
      <c r="D13" s="214" t="s">
        <v>214</v>
      </c>
      <c r="E13" s="16">
        <f>13*20</f>
        <v>260</v>
      </c>
      <c r="F13" s="17"/>
      <c r="G13" s="18">
        <f t="shared" si="1"/>
        <v>1272</v>
      </c>
      <c r="H13" s="28" t="s">
        <v>129</v>
      </c>
      <c r="I13" s="28"/>
      <c r="J13" s="28">
        <v>104</v>
      </c>
      <c r="K13" s="7" t="s">
        <v>90</v>
      </c>
      <c r="L13" s="26"/>
    </row>
    <row r="14" spans="1:12" ht="18" customHeight="1" x14ac:dyDescent="0.25">
      <c r="A14" s="14">
        <f t="shared" si="0"/>
        <v>5</v>
      </c>
      <c r="B14" s="205">
        <v>45632</v>
      </c>
      <c r="C14" s="46" t="s">
        <v>332</v>
      </c>
      <c r="D14" s="214" t="s">
        <v>214</v>
      </c>
      <c r="E14" s="16"/>
      <c r="F14" s="17">
        <v>109</v>
      </c>
      <c r="G14" s="18">
        <f t="shared" si="1"/>
        <v>1163</v>
      </c>
      <c r="H14" s="28" t="s">
        <v>91</v>
      </c>
      <c r="I14" s="28">
        <f>+F14*L11</f>
        <v>52.32</v>
      </c>
      <c r="J14" s="28"/>
      <c r="K14" s="7" t="s">
        <v>90</v>
      </c>
      <c r="L14" s="26"/>
    </row>
    <row r="15" spans="1:12" ht="18" customHeight="1" x14ac:dyDescent="0.25">
      <c r="A15" s="14">
        <f t="shared" si="0"/>
        <v>6</v>
      </c>
      <c r="B15" s="8">
        <v>45642</v>
      </c>
      <c r="C15" s="46" t="s">
        <v>332</v>
      </c>
      <c r="D15" s="214" t="s">
        <v>214</v>
      </c>
      <c r="E15" s="16"/>
      <c r="F15" s="27">
        <v>30</v>
      </c>
      <c r="G15" s="18">
        <f t="shared" si="1"/>
        <v>1133</v>
      </c>
      <c r="H15" s="28" t="s">
        <v>91</v>
      </c>
      <c r="I15" s="28">
        <f>+F15*L11</f>
        <v>14.399999999999999</v>
      </c>
      <c r="J15" s="28"/>
      <c r="K15" s="7" t="s">
        <v>90</v>
      </c>
    </row>
    <row r="16" spans="1:12" ht="18" customHeight="1" x14ac:dyDescent="0.25">
      <c r="A16" s="14">
        <f t="shared" si="0"/>
        <v>7</v>
      </c>
      <c r="B16" s="8">
        <v>45643</v>
      </c>
      <c r="C16" s="46" t="s">
        <v>332</v>
      </c>
      <c r="D16" s="214" t="s">
        <v>214</v>
      </c>
      <c r="E16" s="16"/>
      <c r="F16" s="27">
        <v>64</v>
      </c>
      <c r="G16" s="18">
        <f t="shared" si="1"/>
        <v>1069</v>
      </c>
      <c r="H16" s="28" t="s">
        <v>91</v>
      </c>
      <c r="I16" s="28">
        <f>+F16*L11</f>
        <v>30.72</v>
      </c>
      <c r="J16" s="28"/>
      <c r="K16" s="7" t="s">
        <v>90</v>
      </c>
      <c r="L16" s="26"/>
    </row>
    <row r="17" spans="1:16" ht="18" customHeight="1" x14ac:dyDescent="0.25">
      <c r="A17" s="14">
        <f t="shared" si="0"/>
        <v>8</v>
      </c>
      <c r="B17" s="8">
        <v>45644</v>
      </c>
      <c r="C17" s="46" t="s">
        <v>332</v>
      </c>
      <c r="D17" s="214" t="s">
        <v>214</v>
      </c>
      <c r="E17" s="16"/>
      <c r="F17" s="27">
        <v>35</v>
      </c>
      <c r="G17" s="18">
        <f t="shared" si="1"/>
        <v>1034</v>
      </c>
      <c r="H17" s="28" t="s">
        <v>91</v>
      </c>
      <c r="I17" s="28">
        <f>35*L11</f>
        <v>16.8</v>
      </c>
      <c r="J17" s="28"/>
      <c r="K17" s="7"/>
      <c r="L17" s="26"/>
    </row>
    <row r="18" spans="1:16" ht="18" customHeight="1" x14ac:dyDescent="0.25">
      <c r="A18" s="14">
        <f t="shared" si="0"/>
        <v>9</v>
      </c>
      <c r="B18" s="8">
        <v>45653</v>
      </c>
      <c r="C18" s="46" t="s">
        <v>324</v>
      </c>
      <c r="D18" s="214" t="s">
        <v>214</v>
      </c>
      <c r="E18" s="16"/>
      <c r="F18" s="27">
        <v>9</v>
      </c>
      <c r="G18" s="18">
        <f t="shared" si="1"/>
        <v>1025</v>
      </c>
      <c r="H18" s="28" t="s">
        <v>91</v>
      </c>
      <c r="I18" s="28">
        <f>+F18*L11</f>
        <v>4.32</v>
      </c>
      <c r="J18" s="28"/>
      <c r="K18" s="7" t="s">
        <v>90</v>
      </c>
    </row>
    <row r="19" spans="1:16" ht="18" customHeight="1" x14ac:dyDescent="0.25">
      <c r="A19" s="14">
        <f t="shared" si="0"/>
        <v>10</v>
      </c>
      <c r="B19" s="8">
        <v>45654</v>
      </c>
      <c r="C19" s="46" t="s">
        <v>324</v>
      </c>
      <c r="D19" s="214" t="s">
        <v>214</v>
      </c>
      <c r="E19" s="30"/>
      <c r="F19" s="27">
        <v>55</v>
      </c>
      <c r="G19" s="18">
        <f t="shared" si="1"/>
        <v>970</v>
      </c>
      <c r="H19" s="28" t="s">
        <v>91</v>
      </c>
      <c r="I19" s="28">
        <f>+F19*L11</f>
        <v>26.4</v>
      </c>
      <c r="J19" s="28"/>
      <c r="K19" s="7" t="s">
        <v>90</v>
      </c>
    </row>
    <row r="20" spans="1:16" s="230" customFormat="1" ht="18" customHeight="1" x14ac:dyDescent="0.25">
      <c r="A20" s="14">
        <f t="shared" si="0"/>
        <v>11</v>
      </c>
      <c r="B20" s="224">
        <v>45656</v>
      </c>
      <c r="C20" s="46" t="s">
        <v>324</v>
      </c>
      <c r="D20" s="214" t="s">
        <v>214</v>
      </c>
      <c r="E20" s="227"/>
      <c r="F20" s="228">
        <v>10</v>
      </c>
      <c r="G20" s="18">
        <f t="shared" si="1"/>
        <v>960</v>
      </c>
      <c r="H20" s="28" t="s">
        <v>91</v>
      </c>
      <c r="I20" s="28">
        <f>+F20*L11</f>
        <v>4.8</v>
      </c>
      <c r="J20" s="28"/>
      <c r="K20" s="7" t="s">
        <v>90</v>
      </c>
    </row>
    <row r="21" spans="1:16" s="230" customFormat="1" x14ac:dyDescent="0.25">
      <c r="A21" s="14">
        <f t="shared" si="0"/>
        <v>12</v>
      </c>
      <c r="B21" s="394">
        <v>45693</v>
      </c>
      <c r="C21" s="46" t="s">
        <v>348</v>
      </c>
      <c r="D21" s="214" t="s">
        <v>214</v>
      </c>
      <c r="E21" s="231"/>
      <c r="F21" s="228">
        <v>129</v>
      </c>
      <c r="G21" s="18">
        <f t="shared" si="1"/>
        <v>831</v>
      </c>
      <c r="H21" s="28" t="s">
        <v>91</v>
      </c>
      <c r="I21" s="28">
        <f>+F21*L11</f>
        <v>61.919999999999995</v>
      </c>
      <c r="J21" s="28"/>
      <c r="K21" s="7" t="s">
        <v>90</v>
      </c>
    </row>
    <row r="22" spans="1:16" ht="27.75" customHeight="1" x14ac:dyDescent="0.25">
      <c r="A22" s="14">
        <f t="shared" si="0"/>
        <v>13</v>
      </c>
      <c r="B22" s="394">
        <v>45694</v>
      </c>
      <c r="C22" s="46" t="s">
        <v>349</v>
      </c>
      <c r="D22" s="214" t="s">
        <v>214</v>
      </c>
      <c r="E22" s="32"/>
      <c r="F22" s="17">
        <v>177</v>
      </c>
      <c r="G22" s="18">
        <f t="shared" si="1"/>
        <v>654</v>
      </c>
      <c r="H22" s="28" t="s">
        <v>91</v>
      </c>
      <c r="I22" s="28">
        <f>+F22*L11</f>
        <v>84.96</v>
      </c>
      <c r="J22" s="28"/>
      <c r="K22" s="7" t="s">
        <v>90</v>
      </c>
      <c r="P22" s="26"/>
    </row>
    <row r="23" spans="1:16" ht="27" customHeight="1" x14ac:dyDescent="0.25">
      <c r="A23" s="14">
        <f t="shared" si="0"/>
        <v>14</v>
      </c>
      <c r="B23" s="8">
        <v>45695</v>
      </c>
      <c r="C23" s="46" t="s">
        <v>349</v>
      </c>
      <c r="D23" s="214" t="s">
        <v>214</v>
      </c>
      <c r="E23" s="32"/>
      <c r="F23" s="27">
        <v>133</v>
      </c>
      <c r="G23" s="18">
        <f t="shared" si="1"/>
        <v>521</v>
      </c>
      <c r="H23" s="28" t="s">
        <v>91</v>
      </c>
      <c r="I23" s="28">
        <f>+F23*L11</f>
        <v>63.839999999999996</v>
      </c>
      <c r="J23" s="28"/>
      <c r="K23" s="7" t="s">
        <v>90</v>
      </c>
    </row>
    <row r="24" spans="1:16" ht="18" customHeight="1" x14ac:dyDescent="0.25">
      <c r="A24" s="14">
        <f t="shared" si="0"/>
        <v>15</v>
      </c>
      <c r="B24" s="232"/>
      <c r="C24" s="46"/>
      <c r="D24" s="214" t="s">
        <v>214</v>
      </c>
      <c r="E24" s="235"/>
      <c r="F24" s="172"/>
      <c r="G24" s="18">
        <f t="shared" si="1"/>
        <v>521</v>
      </c>
      <c r="H24" s="28" t="s">
        <v>129</v>
      </c>
      <c r="I24" s="28"/>
      <c r="J24" s="28"/>
      <c r="K24" s="7" t="s">
        <v>90</v>
      </c>
      <c r="L24">
        <f>167/492</f>
        <v>0.33943089430894308</v>
      </c>
    </row>
    <row r="25" spans="1:16" ht="18" customHeight="1" x14ac:dyDescent="0.25">
      <c r="A25" s="14">
        <f t="shared" si="0"/>
        <v>16</v>
      </c>
      <c r="B25" s="8"/>
      <c r="C25" s="46"/>
      <c r="D25" s="214" t="s">
        <v>214</v>
      </c>
      <c r="E25" s="32"/>
      <c r="F25" s="17"/>
      <c r="G25" s="18">
        <f t="shared" si="1"/>
        <v>521</v>
      </c>
      <c r="H25" s="28" t="s">
        <v>129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17</v>
      </c>
      <c r="B26" s="8"/>
      <c r="C26" s="46"/>
      <c r="D26" s="214" t="s">
        <v>214</v>
      </c>
      <c r="E26" s="32"/>
      <c r="F26" s="17"/>
      <c r="G26" s="18">
        <f t="shared" si="1"/>
        <v>521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 t="shared" si="0"/>
        <v>18</v>
      </c>
      <c r="B27" s="8"/>
      <c r="C27" s="46"/>
      <c r="D27" s="214" t="s">
        <v>214</v>
      </c>
      <c r="E27" s="32"/>
      <c r="F27" s="17"/>
      <c r="G27" s="18">
        <f t="shared" si="1"/>
        <v>521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0"/>
        <v>19</v>
      </c>
      <c r="B28" s="8"/>
      <c r="C28" s="46"/>
      <c r="D28" s="214" t="s">
        <v>214</v>
      </c>
      <c r="E28" s="32"/>
      <c r="F28" s="17"/>
      <c r="G28" s="18">
        <f t="shared" si="1"/>
        <v>521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20</v>
      </c>
      <c r="B29" s="8"/>
      <c r="C29" s="46"/>
      <c r="D29" s="214" t="s">
        <v>214</v>
      </c>
      <c r="E29" s="32"/>
      <c r="F29" s="17"/>
      <c r="G29" s="18">
        <f t="shared" si="1"/>
        <v>521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0"/>
        <v>21</v>
      </c>
      <c r="B30" s="8"/>
      <c r="C30" s="46"/>
      <c r="D30" s="214" t="s">
        <v>214</v>
      </c>
      <c r="E30" s="129"/>
      <c r="F30" s="17"/>
      <c r="G30" s="18">
        <f t="shared" si="1"/>
        <v>521</v>
      </c>
      <c r="H30" s="28" t="s">
        <v>91</v>
      </c>
      <c r="I30" s="28">
        <f>+F30*M32</f>
        <v>0</v>
      </c>
      <c r="J30" s="28"/>
      <c r="K30" s="7" t="s">
        <v>90</v>
      </c>
      <c r="M30" s="1"/>
    </row>
    <row r="31" spans="1:16" ht="18" customHeight="1" x14ac:dyDescent="0.25">
      <c r="A31" s="14">
        <f t="shared" si="0"/>
        <v>22</v>
      </c>
      <c r="B31" s="8"/>
      <c r="C31" s="46"/>
      <c r="D31" s="214" t="s">
        <v>214</v>
      </c>
      <c r="E31" s="32"/>
      <c r="F31" s="172"/>
      <c r="G31" s="18">
        <f t="shared" si="1"/>
        <v>521</v>
      </c>
      <c r="H31" s="28" t="s">
        <v>91</v>
      </c>
      <c r="I31" s="28">
        <f>+F30*0.4</f>
        <v>0</v>
      </c>
      <c r="J31" s="28"/>
      <c r="K31" s="7" t="s">
        <v>90</v>
      </c>
    </row>
    <row r="32" spans="1:16" ht="18" customHeight="1" x14ac:dyDescent="0.25">
      <c r="A32" s="14">
        <f t="shared" si="0"/>
        <v>23</v>
      </c>
      <c r="B32" s="8"/>
      <c r="C32" s="46"/>
      <c r="D32" s="214" t="s">
        <v>214</v>
      </c>
      <c r="E32" s="32"/>
      <c r="F32" s="17"/>
      <c r="G32" s="18">
        <f t="shared" si="1"/>
        <v>521</v>
      </c>
      <c r="H32" s="28" t="s">
        <v>91</v>
      </c>
      <c r="I32" s="28"/>
      <c r="J32" s="28"/>
      <c r="K32" s="7" t="s">
        <v>90</v>
      </c>
      <c r="M32" s="387"/>
    </row>
    <row r="33" spans="1:18" ht="18" customHeight="1" x14ac:dyDescent="0.25">
      <c r="A33" s="14">
        <f t="shared" si="0"/>
        <v>24</v>
      </c>
      <c r="B33" s="8"/>
      <c r="C33" s="46"/>
      <c r="D33" s="214" t="s">
        <v>214</v>
      </c>
      <c r="E33" s="32"/>
      <c r="F33" s="17"/>
      <c r="G33" s="18">
        <f t="shared" si="1"/>
        <v>521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0"/>
        <v>25</v>
      </c>
      <c r="B34" s="8"/>
      <c r="C34" s="46"/>
      <c r="D34" s="214" t="s">
        <v>214</v>
      </c>
      <c r="E34" s="13"/>
      <c r="F34" s="17"/>
      <c r="G34" s="18">
        <f t="shared" si="1"/>
        <v>521</v>
      </c>
      <c r="H34" s="28" t="s">
        <v>91</v>
      </c>
      <c r="I34" s="28"/>
      <c r="J34" s="28"/>
      <c r="K34" s="7" t="s">
        <v>90</v>
      </c>
    </row>
    <row r="35" spans="1:18" ht="17.25" customHeight="1" x14ac:dyDescent="0.25">
      <c r="A35" s="14">
        <f t="shared" si="0"/>
        <v>26</v>
      </c>
      <c r="B35" s="44"/>
      <c r="C35" s="46"/>
      <c r="D35" s="214" t="s">
        <v>214</v>
      </c>
      <c r="E35" s="13"/>
      <c r="F35" s="17"/>
      <c r="G35" s="18">
        <f t="shared" si="1"/>
        <v>521</v>
      </c>
      <c r="H35" s="178"/>
      <c r="I35" s="178"/>
      <c r="J35" s="178"/>
      <c r="K35" s="7"/>
    </row>
    <row r="36" spans="1:18" ht="18" customHeight="1" x14ac:dyDescent="0.25">
      <c r="A36" s="14">
        <f t="shared" si="0"/>
        <v>27</v>
      </c>
      <c r="B36" s="8"/>
      <c r="C36" s="46"/>
      <c r="D36" s="214" t="s">
        <v>214</v>
      </c>
      <c r="E36" s="32"/>
      <c r="F36" s="40"/>
      <c r="G36" s="18">
        <f t="shared" si="1"/>
        <v>521</v>
      </c>
      <c r="H36" s="178"/>
      <c r="I36" s="178"/>
      <c r="J36" s="178"/>
      <c r="K36" s="7"/>
    </row>
    <row r="37" spans="1:18" ht="18" customHeight="1" x14ac:dyDescent="0.25">
      <c r="A37" s="14">
        <f t="shared" si="0"/>
        <v>28</v>
      </c>
      <c r="B37" s="45"/>
      <c r="C37" s="46"/>
      <c r="D37" s="214" t="s">
        <v>214</v>
      </c>
      <c r="E37" s="32"/>
      <c r="F37" s="40"/>
      <c r="G37" s="18">
        <f t="shared" si="1"/>
        <v>521</v>
      </c>
      <c r="H37" s="178"/>
      <c r="I37" s="178"/>
      <c r="J37" s="178"/>
      <c r="K37" s="7"/>
    </row>
    <row r="38" spans="1:18" ht="18" customHeight="1" x14ac:dyDescent="0.25">
      <c r="A38" s="14">
        <f t="shared" si="0"/>
        <v>29</v>
      </c>
      <c r="B38" s="8"/>
      <c r="C38" s="46"/>
      <c r="D38" s="214" t="s">
        <v>214</v>
      </c>
      <c r="E38" s="32"/>
      <c r="F38" s="40"/>
      <c r="G38" s="18">
        <f t="shared" si="1"/>
        <v>521</v>
      </c>
      <c r="H38" s="178"/>
      <c r="I38" s="178"/>
      <c r="J38" s="178"/>
      <c r="K38" s="7"/>
    </row>
    <row r="39" spans="1:18" ht="18" customHeight="1" x14ac:dyDescent="0.25">
      <c r="A39" s="14">
        <f t="shared" si="0"/>
        <v>30</v>
      </c>
      <c r="B39" s="8"/>
      <c r="C39" s="46"/>
      <c r="D39" s="214" t="s">
        <v>214</v>
      </c>
      <c r="E39" s="32"/>
      <c r="F39" s="17"/>
      <c r="G39" s="18">
        <f t="shared" si="1"/>
        <v>521</v>
      </c>
      <c r="H39" s="178"/>
      <c r="I39" s="178"/>
      <c r="J39" s="178"/>
      <c r="K39" s="7"/>
      <c r="M39">
        <f>911-338</f>
        <v>573</v>
      </c>
    </row>
    <row r="40" spans="1:18" ht="18" customHeight="1" x14ac:dyDescent="0.25">
      <c r="A40" s="14">
        <f t="shared" si="0"/>
        <v>31</v>
      </c>
      <c r="B40" s="8"/>
      <c r="C40" s="46"/>
      <c r="D40" s="214" t="s">
        <v>214</v>
      </c>
      <c r="E40" s="32"/>
      <c r="F40" s="17"/>
      <c r="G40" s="18">
        <f t="shared" si="1"/>
        <v>521</v>
      </c>
      <c r="H40" s="178"/>
      <c r="I40" s="178"/>
      <c r="J40" s="178"/>
      <c r="K40" s="7"/>
      <c r="M40">
        <f>+M39-314</f>
        <v>259</v>
      </c>
    </row>
    <row r="41" spans="1:18" ht="18" customHeight="1" x14ac:dyDescent="0.25">
      <c r="A41" s="14">
        <f t="shared" si="0"/>
        <v>32</v>
      </c>
      <c r="B41" s="8"/>
      <c r="C41" s="46"/>
      <c r="D41" s="214" t="s">
        <v>214</v>
      </c>
      <c r="E41" s="32"/>
      <c r="F41" s="17"/>
      <c r="G41" s="18">
        <f t="shared" si="1"/>
        <v>521</v>
      </c>
      <c r="H41" s="178"/>
      <c r="I41" s="178"/>
      <c r="J41" s="178"/>
      <c r="K41" s="7"/>
    </row>
    <row r="42" spans="1:18" ht="18" customHeight="1" x14ac:dyDescent="0.25">
      <c r="A42" s="14">
        <f t="shared" si="0"/>
        <v>33</v>
      </c>
      <c r="B42" s="8"/>
      <c r="C42" s="46"/>
      <c r="D42" s="214" t="s">
        <v>214</v>
      </c>
      <c r="E42" s="32"/>
      <c r="F42" s="17"/>
      <c r="G42" s="18">
        <f t="shared" si="1"/>
        <v>521</v>
      </c>
      <c r="H42" s="178"/>
      <c r="I42" s="178"/>
      <c r="J42" s="178"/>
      <c r="K42" s="7"/>
    </row>
    <row r="43" spans="1:18" ht="18" customHeight="1" x14ac:dyDescent="0.25">
      <c r="A43" s="14">
        <f t="shared" si="0"/>
        <v>34</v>
      </c>
      <c r="B43" s="8"/>
      <c r="C43" s="46"/>
      <c r="D43" s="214" t="s">
        <v>214</v>
      </c>
      <c r="E43" s="32"/>
      <c r="F43" s="172"/>
      <c r="G43" s="18">
        <f t="shared" si="1"/>
        <v>521</v>
      </c>
      <c r="H43" s="178"/>
      <c r="I43" s="178"/>
      <c r="J43" s="178"/>
      <c r="K43" s="7"/>
      <c r="R43" s="162"/>
    </row>
    <row r="44" spans="1:18" ht="18" customHeight="1" x14ac:dyDescent="0.25">
      <c r="A44" s="14">
        <f t="shared" si="0"/>
        <v>35</v>
      </c>
      <c r="B44" s="8"/>
      <c r="C44" s="46"/>
      <c r="D44" s="214" t="s">
        <v>214</v>
      </c>
      <c r="E44" s="32"/>
      <c r="F44" s="17"/>
      <c r="G44" s="18">
        <f t="shared" si="1"/>
        <v>521</v>
      </c>
      <c r="H44" s="178"/>
      <c r="I44" s="178"/>
      <c r="J44" s="178"/>
      <c r="K44" s="7"/>
    </row>
    <row r="45" spans="1:18" ht="18" customHeight="1" x14ac:dyDescent="0.25">
      <c r="A45" s="14">
        <f t="shared" si="0"/>
        <v>36</v>
      </c>
      <c r="B45" s="8"/>
      <c r="C45" s="46"/>
      <c r="D45" s="214" t="s">
        <v>214</v>
      </c>
      <c r="E45" s="32"/>
      <c r="F45" s="17"/>
      <c r="G45" s="18">
        <f t="shared" si="1"/>
        <v>521</v>
      </c>
      <c r="H45" s="178"/>
      <c r="I45" s="178"/>
      <c r="J45" s="178"/>
      <c r="K45" s="7"/>
    </row>
    <row r="46" spans="1:18" ht="18" customHeight="1" x14ac:dyDescent="0.25">
      <c r="A46" s="14">
        <f t="shared" si="0"/>
        <v>37</v>
      </c>
      <c r="B46" s="8"/>
      <c r="C46" s="46"/>
      <c r="D46" s="214" t="s">
        <v>214</v>
      </c>
      <c r="E46" s="32"/>
      <c r="F46" s="17"/>
      <c r="G46" s="18">
        <f t="shared" si="1"/>
        <v>521</v>
      </c>
      <c r="H46" s="178"/>
      <c r="I46" s="178"/>
      <c r="J46" s="178"/>
      <c r="K46" s="7"/>
    </row>
    <row r="47" spans="1:18" ht="18" customHeight="1" x14ac:dyDescent="0.25">
      <c r="A47" s="14">
        <f t="shared" si="0"/>
        <v>38</v>
      </c>
      <c r="B47" s="8"/>
      <c r="C47" s="46"/>
      <c r="D47" s="214" t="s">
        <v>214</v>
      </c>
      <c r="E47" s="32"/>
      <c r="F47" s="17"/>
      <c r="G47" s="18">
        <f t="shared" si="1"/>
        <v>521</v>
      </c>
      <c r="H47" s="178"/>
      <c r="I47" s="178"/>
      <c r="J47" s="178"/>
      <c r="K47" s="29"/>
    </row>
    <row r="48" spans="1:18" ht="18" customHeight="1" x14ac:dyDescent="0.25">
      <c r="A48" s="14">
        <f t="shared" si="0"/>
        <v>39</v>
      </c>
      <c r="B48" s="8"/>
      <c r="C48" s="46"/>
      <c r="D48" s="214" t="s">
        <v>214</v>
      </c>
      <c r="E48" s="32"/>
      <c r="F48" s="17"/>
      <c r="G48" s="18">
        <f t="shared" si="1"/>
        <v>521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40</v>
      </c>
      <c r="B49" s="8"/>
      <c r="C49" s="46"/>
      <c r="D49" s="214" t="s">
        <v>214</v>
      </c>
      <c r="E49" s="32"/>
      <c r="F49" s="17"/>
      <c r="G49" s="18">
        <f t="shared" si="1"/>
        <v>521</v>
      </c>
      <c r="H49" s="178"/>
      <c r="I49" s="178"/>
      <c r="J49" s="178"/>
      <c r="K49" s="29"/>
    </row>
    <row r="50" spans="1:18" ht="18" customHeight="1" x14ac:dyDescent="0.25">
      <c r="A50" s="14">
        <f t="shared" si="0"/>
        <v>41</v>
      </c>
      <c r="B50" s="8"/>
      <c r="C50" s="46"/>
      <c r="D50" s="214" t="s">
        <v>214</v>
      </c>
      <c r="E50" s="32"/>
      <c r="F50" s="17"/>
      <c r="G50" s="18">
        <f t="shared" si="1"/>
        <v>521</v>
      </c>
      <c r="H50" s="178"/>
      <c r="I50" s="178"/>
      <c r="J50" s="178"/>
      <c r="K50" s="29"/>
    </row>
    <row r="51" spans="1:18" ht="18" customHeight="1" x14ac:dyDescent="0.25">
      <c r="A51" s="14">
        <f t="shared" si="0"/>
        <v>42</v>
      </c>
      <c r="B51" s="8"/>
      <c r="C51" s="46"/>
      <c r="D51" s="214" t="s">
        <v>214</v>
      </c>
      <c r="E51" s="32"/>
      <c r="F51" s="17"/>
      <c r="G51" s="18">
        <f t="shared" si="1"/>
        <v>521</v>
      </c>
      <c r="H51" s="178"/>
      <c r="I51" s="178"/>
      <c r="J51" s="178"/>
      <c r="K51" s="7"/>
    </row>
    <row r="52" spans="1:18" s="162" customFormat="1" ht="18" customHeight="1" x14ac:dyDescent="0.25">
      <c r="A52" s="14">
        <f t="shared" si="0"/>
        <v>43</v>
      </c>
      <c r="B52" s="174"/>
      <c r="C52" s="236"/>
      <c r="D52" s="214" t="s">
        <v>214</v>
      </c>
      <c r="E52" s="175"/>
      <c r="F52" s="172"/>
      <c r="G52" s="18">
        <f t="shared" si="1"/>
        <v>521</v>
      </c>
      <c r="H52" s="178"/>
      <c r="I52" s="178"/>
      <c r="J52" s="178"/>
      <c r="K52" s="7"/>
      <c r="R52"/>
    </row>
    <row r="53" spans="1:18" ht="18" customHeight="1" x14ac:dyDescent="0.25">
      <c r="A53" s="14">
        <f t="shared" si="0"/>
        <v>44</v>
      </c>
      <c r="B53" s="8"/>
      <c r="C53" s="46"/>
      <c r="D53" s="214" t="s">
        <v>214</v>
      </c>
      <c r="E53" s="32"/>
      <c r="F53" s="17"/>
      <c r="G53" s="18">
        <f t="shared" si="1"/>
        <v>521</v>
      </c>
      <c r="H53" s="239"/>
      <c r="I53" s="239"/>
      <c r="J53" s="239"/>
      <c r="K53" s="7"/>
    </row>
    <row r="54" spans="1:18" ht="18" customHeight="1" x14ac:dyDescent="0.25">
      <c r="A54" s="14">
        <f t="shared" si="0"/>
        <v>45</v>
      </c>
      <c r="B54" s="8"/>
      <c r="C54" s="46"/>
      <c r="D54" s="214" t="s">
        <v>214</v>
      </c>
      <c r="E54" s="32"/>
      <c r="F54" s="17"/>
      <c r="G54" s="18">
        <f t="shared" si="1"/>
        <v>521</v>
      </c>
      <c r="H54" s="239"/>
      <c r="I54" s="239"/>
      <c r="J54" s="239"/>
      <c r="K54" s="7"/>
    </row>
    <row r="55" spans="1:18" ht="18" customHeight="1" x14ac:dyDescent="0.25">
      <c r="A55" s="14">
        <f t="shared" si="0"/>
        <v>46</v>
      </c>
      <c r="B55" s="8"/>
      <c r="C55" s="46"/>
      <c r="D55" s="214" t="s">
        <v>214</v>
      </c>
      <c r="E55" s="32"/>
      <c r="F55" s="17"/>
      <c r="G55" s="18">
        <f t="shared" si="1"/>
        <v>521</v>
      </c>
      <c r="H55" s="239"/>
      <c r="I55" s="239"/>
      <c r="J55" s="239"/>
      <c r="K55" s="7"/>
    </row>
    <row r="56" spans="1:18" ht="18" customHeight="1" x14ac:dyDescent="0.25">
      <c r="A56" s="14">
        <f t="shared" si="0"/>
        <v>47</v>
      </c>
      <c r="B56" s="8"/>
      <c r="C56" s="46"/>
      <c r="D56" s="214" t="s">
        <v>214</v>
      </c>
      <c r="E56" s="32"/>
      <c r="F56" s="17"/>
      <c r="G56" s="18">
        <f t="shared" si="1"/>
        <v>521</v>
      </c>
      <c r="H56" s="28"/>
      <c r="I56" s="28"/>
      <c r="J56" s="28"/>
      <c r="K56" s="7"/>
    </row>
    <row r="57" spans="1:18" ht="18" customHeight="1" x14ac:dyDescent="0.25">
      <c r="A57" s="14">
        <f t="shared" si="0"/>
        <v>48</v>
      </c>
      <c r="B57" s="8"/>
      <c r="C57" s="46"/>
      <c r="D57" s="214" t="s">
        <v>214</v>
      </c>
      <c r="E57" s="32"/>
      <c r="F57" s="17"/>
      <c r="G57" s="18">
        <f t="shared" si="1"/>
        <v>521</v>
      </c>
      <c r="H57" s="240"/>
      <c r="I57" s="240"/>
      <c r="J57" s="240"/>
      <c r="K57" s="7"/>
    </row>
    <row r="58" spans="1:18" ht="18" customHeight="1" x14ac:dyDescent="0.25">
      <c r="A58" s="14">
        <f t="shared" si="0"/>
        <v>49</v>
      </c>
      <c r="B58" s="8"/>
      <c r="C58" s="46"/>
      <c r="D58" s="214" t="s">
        <v>214</v>
      </c>
      <c r="E58" s="32"/>
      <c r="F58" s="17"/>
      <c r="G58" s="18">
        <f t="shared" si="1"/>
        <v>521</v>
      </c>
      <c r="H58" s="240"/>
      <c r="I58" s="240"/>
      <c r="J58" s="240"/>
      <c r="K58" s="7"/>
    </row>
    <row r="59" spans="1:18" ht="18" customHeight="1" x14ac:dyDescent="0.25">
      <c r="A59" s="14">
        <f t="shared" si="0"/>
        <v>50</v>
      </c>
      <c r="B59" s="8"/>
      <c r="C59" s="46"/>
      <c r="D59" s="214" t="s">
        <v>214</v>
      </c>
      <c r="E59" s="32"/>
      <c r="F59" s="17"/>
      <c r="G59" s="18">
        <f t="shared" si="1"/>
        <v>521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51</v>
      </c>
      <c r="B60" s="8"/>
      <c r="C60" s="46"/>
      <c r="D60" s="214" t="s">
        <v>214</v>
      </c>
      <c r="E60" s="32"/>
      <c r="F60" s="17"/>
      <c r="G60" s="18">
        <f t="shared" si="1"/>
        <v>521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52</v>
      </c>
      <c r="B61" s="8"/>
      <c r="C61" s="46"/>
      <c r="D61" s="214" t="s">
        <v>214</v>
      </c>
      <c r="E61" s="32"/>
      <c r="F61" s="17"/>
      <c r="G61" s="18">
        <f t="shared" si="1"/>
        <v>521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53</v>
      </c>
      <c r="B62" s="8"/>
      <c r="C62" s="46"/>
      <c r="D62" s="214" t="s">
        <v>214</v>
      </c>
      <c r="E62" s="32"/>
      <c r="F62" s="17"/>
      <c r="G62" s="18">
        <f t="shared" si="1"/>
        <v>521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54</v>
      </c>
      <c r="B63" s="8"/>
      <c r="C63" s="46"/>
      <c r="D63" s="214" t="s">
        <v>214</v>
      </c>
      <c r="E63" s="32"/>
      <c r="F63" s="17"/>
      <c r="G63" s="18">
        <f t="shared" si="1"/>
        <v>521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55</v>
      </c>
      <c r="B64" s="8"/>
      <c r="C64" s="46"/>
      <c r="D64" s="214" t="s">
        <v>214</v>
      </c>
      <c r="E64" s="32"/>
      <c r="F64" s="17"/>
      <c r="G64" s="18">
        <f t="shared" si="1"/>
        <v>521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56</v>
      </c>
      <c r="B65" s="8"/>
      <c r="C65" s="46"/>
      <c r="D65" s="214" t="s">
        <v>214</v>
      </c>
      <c r="E65" s="32"/>
      <c r="F65" s="17"/>
      <c r="G65" s="18">
        <f t="shared" si="1"/>
        <v>521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57</v>
      </c>
      <c r="B66" s="8"/>
      <c r="C66" s="46"/>
      <c r="D66" s="214" t="s">
        <v>214</v>
      </c>
      <c r="E66" s="32"/>
      <c r="F66" s="17"/>
      <c r="G66" s="18">
        <f t="shared" si="1"/>
        <v>521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58</v>
      </c>
      <c r="B67" s="8"/>
      <c r="C67" s="46"/>
      <c r="D67" s="214" t="s">
        <v>214</v>
      </c>
      <c r="E67" s="32"/>
      <c r="F67" s="17"/>
      <c r="G67" s="18">
        <f t="shared" si="1"/>
        <v>521</v>
      </c>
      <c r="H67" s="240"/>
      <c r="I67" s="240"/>
      <c r="J67" s="240"/>
      <c r="K67" s="7" t="s">
        <v>14</v>
      </c>
      <c r="L67" s="26"/>
    </row>
    <row r="68" spans="1:12" ht="18" customHeight="1" x14ac:dyDescent="0.25">
      <c r="A68" s="14">
        <f t="shared" si="0"/>
        <v>59</v>
      </c>
      <c r="B68" s="8"/>
      <c r="C68" s="46"/>
      <c r="D68" s="214" t="s">
        <v>214</v>
      </c>
      <c r="E68" s="32"/>
      <c r="F68" s="17"/>
      <c r="G68" s="18">
        <f t="shared" si="1"/>
        <v>521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60</v>
      </c>
      <c r="B69" s="8"/>
      <c r="C69" s="46"/>
      <c r="D69" s="214" t="s">
        <v>214</v>
      </c>
      <c r="E69" s="32"/>
      <c r="F69" s="17"/>
      <c r="G69" s="18">
        <f t="shared" si="1"/>
        <v>521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61</v>
      </c>
      <c r="B70" s="8"/>
      <c r="C70" s="46"/>
      <c r="D70" s="214" t="s">
        <v>214</v>
      </c>
      <c r="E70" s="32"/>
      <c r="F70" s="17"/>
      <c r="G70" s="18">
        <f t="shared" si="1"/>
        <v>521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62</v>
      </c>
      <c r="B71" s="8"/>
      <c r="C71" s="46"/>
      <c r="D71" s="214" t="s">
        <v>214</v>
      </c>
      <c r="E71" s="32"/>
      <c r="F71" s="17"/>
      <c r="G71" s="18">
        <f t="shared" si="1"/>
        <v>521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63</v>
      </c>
      <c r="B72" s="8"/>
      <c r="C72" s="46"/>
      <c r="D72" s="214" t="s">
        <v>214</v>
      </c>
      <c r="E72" s="32"/>
      <c r="F72" s="17"/>
      <c r="G72" s="18">
        <f t="shared" si="1"/>
        <v>521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64</v>
      </c>
      <c r="B73" s="8"/>
      <c r="C73" s="46"/>
      <c r="D73" s="214" t="s">
        <v>214</v>
      </c>
      <c r="E73" s="32"/>
      <c r="F73" s="17"/>
      <c r="G73" s="18">
        <f t="shared" si="1"/>
        <v>521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si="0"/>
        <v>65</v>
      </c>
      <c r="B74" s="8"/>
      <c r="C74" s="46"/>
      <c r="D74" s="214" t="s">
        <v>214</v>
      </c>
      <c r="E74" s="32"/>
      <c r="F74" s="17"/>
      <c r="G74" s="18">
        <f t="shared" si="1"/>
        <v>521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ref="A75:A109" si="2">+A74+1</f>
        <v>66</v>
      </c>
      <c r="B75" s="8"/>
      <c r="C75" s="46"/>
      <c r="D75" s="214" t="s">
        <v>214</v>
      </c>
      <c r="E75" s="32"/>
      <c r="F75" s="17"/>
      <c r="G75" s="18">
        <f t="shared" ref="G75:G109" si="3">+G74+E75-F75</f>
        <v>521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67</v>
      </c>
      <c r="B76" s="8"/>
      <c r="C76" s="46"/>
      <c r="D76" s="214" t="s">
        <v>214</v>
      </c>
      <c r="E76" s="32"/>
      <c r="F76" s="17"/>
      <c r="G76" s="18">
        <f t="shared" si="3"/>
        <v>521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68</v>
      </c>
      <c r="B77" s="8"/>
      <c r="C77" s="46"/>
      <c r="D77" s="214" t="s">
        <v>214</v>
      </c>
      <c r="E77" s="32"/>
      <c r="F77" s="17"/>
      <c r="G77" s="18">
        <f t="shared" si="3"/>
        <v>521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69</v>
      </c>
      <c r="B78" s="8"/>
      <c r="C78" s="46"/>
      <c r="D78" s="214" t="s">
        <v>214</v>
      </c>
      <c r="E78" s="32"/>
      <c r="F78" s="17"/>
      <c r="G78" s="18">
        <f t="shared" si="3"/>
        <v>521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70</v>
      </c>
      <c r="B79" s="8"/>
      <c r="C79" s="46"/>
      <c r="D79" s="214" t="s">
        <v>214</v>
      </c>
      <c r="E79" s="32"/>
      <c r="F79" s="17"/>
      <c r="G79" s="18">
        <f t="shared" si="3"/>
        <v>521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71</v>
      </c>
      <c r="B80" s="8"/>
      <c r="C80" s="46"/>
      <c r="D80" s="214" t="s">
        <v>214</v>
      </c>
      <c r="E80" s="32"/>
      <c r="F80" s="17"/>
      <c r="G80" s="18">
        <f t="shared" si="3"/>
        <v>521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72</v>
      </c>
      <c r="B81" s="8"/>
      <c r="C81" s="46"/>
      <c r="D81" s="214" t="s">
        <v>214</v>
      </c>
      <c r="E81" s="32"/>
      <c r="F81" s="17"/>
      <c r="G81" s="18">
        <f t="shared" si="3"/>
        <v>521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73</v>
      </c>
      <c r="B82" s="8"/>
      <c r="C82" s="46"/>
      <c r="D82" s="214" t="s">
        <v>214</v>
      </c>
      <c r="E82" s="32"/>
      <c r="F82" s="17"/>
      <c r="G82" s="18">
        <f t="shared" si="3"/>
        <v>521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74</v>
      </c>
      <c r="B83" s="8"/>
      <c r="C83" s="46"/>
      <c r="D83" s="214" t="s">
        <v>214</v>
      </c>
      <c r="E83" s="32"/>
      <c r="F83" s="17"/>
      <c r="G83" s="18">
        <f t="shared" si="3"/>
        <v>521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75</v>
      </c>
      <c r="B84" s="8"/>
      <c r="C84" s="46"/>
      <c r="D84" s="214" t="s">
        <v>214</v>
      </c>
      <c r="E84" s="32"/>
      <c r="F84" s="17"/>
      <c r="G84" s="18">
        <f t="shared" si="3"/>
        <v>521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76</v>
      </c>
      <c r="B85" s="8"/>
      <c r="C85" s="46"/>
      <c r="D85" s="214" t="s">
        <v>214</v>
      </c>
      <c r="E85" s="32"/>
      <c r="F85" s="27"/>
      <c r="G85" s="18">
        <f t="shared" si="3"/>
        <v>521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77</v>
      </c>
      <c r="B86" s="8"/>
      <c r="C86" s="46"/>
      <c r="D86" s="214" t="s">
        <v>214</v>
      </c>
      <c r="E86" s="32"/>
      <c r="F86" s="17"/>
      <c r="G86" s="18">
        <f t="shared" si="3"/>
        <v>521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78</v>
      </c>
      <c r="B87" s="8"/>
      <c r="C87" s="46"/>
      <c r="D87" s="214" t="s">
        <v>214</v>
      </c>
      <c r="E87" s="32"/>
      <c r="F87" s="17"/>
      <c r="G87" s="18">
        <f t="shared" si="3"/>
        <v>521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79</v>
      </c>
      <c r="B88" s="8"/>
      <c r="C88" s="46"/>
      <c r="D88" s="214" t="s">
        <v>214</v>
      </c>
      <c r="E88" s="32"/>
      <c r="F88" s="17"/>
      <c r="G88" s="18">
        <f t="shared" si="3"/>
        <v>521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80</v>
      </c>
      <c r="B89" s="8"/>
      <c r="C89" s="46"/>
      <c r="D89" s="214" t="s">
        <v>214</v>
      </c>
      <c r="E89" s="32"/>
      <c r="F89" s="17"/>
      <c r="G89" s="18">
        <f t="shared" si="3"/>
        <v>521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81</v>
      </c>
      <c r="B90" s="8"/>
      <c r="C90" s="46"/>
      <c r="D90" s="214" t="s">
        <v>214</v>
      </c>
      <c r="E90" s="32"/>
      <c r="F90" s="17"/>
      <c r="G90" s="18">
        <f t="shared" si="3"/>
        <v>521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2"/>
        <v>82</v>
      </c>
      <c r="B91" s="8"/>
      <c r="C91" s="46"/>
      <c r="D91" s="214" t="s">
        <v>214</v>
      </c>
      <c r="E91" s="32"/>
      <c r="F91" s="17"/>
      <c r="G91" s="18">
        <f t="shared" si="3"/>
        <v>521</v>
      </c>
      <c r="H91" s="240"/>
      <c r="I91" s="240"/>
      <c r="J91" s="240"/>
      <c r="K91" s="7" t="s">
        <v>14</v>
      </c>
    </row>
    <row r="92" spans="1:19" ht="18" customHeight="1" x14ac:dyDescent="0.25">
      <c r="A92" s="14">
        <f t="shared" si="2"/>
        <v>83</v>
      </c>
      <c r="B92" s="8"/>
      <c r="C92" s="46"/>
      <c r="D92" s="214" t="s">
        <v>214</v>
      </c>
      <c r="E92" s="32"/>
      <c r="F92" s="17"/>
      <c r="G92" s="18">
        <f t="shared" si="3"/>
        <v>521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2"/>
        <v>84</v>
      </c>
      <c r="B93" s="8"/>
      <c r="C93" s="46"/>
      <c r="D93" s="214" t="s">
        <v>214</v>
      </c>
      <c r="E93" s="32"/>
      <c r="F93" s="27"/>
      <c r="G93" s="18">
        <f t="shared" si="3"/>
        <v>521</v>
      </c>
      <c r="H93" s="240"/>
      <c r="I93" s="240"/>
      <c r="J93" s="240"/>
      <c r="K93" s="7" t="s">
        <v>14</v>
      </c>
      <c r="N93" s="199"/>
      <c r="S93" s="199"/>
    </row>
    <row r="94" spans="1:19" ht="18" customHeight="1" x14ac:dyDescent="0.25">
      <c r="A94" s="14">
        <f t="shared" si="2"/>
        <v>85</v>
      </c>
      <c r="B94" s="8"/>
      <c r="C94" s="46"/>
      <c r="D94" s="214" t="s">
        <v>214</v>
      </c>
      <c r="E94" s="32"/>
      <c r="F94" s="27"/>
      <c r="G94" s="18">
        <f t="shared" si="3"/>
        <v>521</v>
      </c>
      <c r="H94" s="240"/>
      <c r="I94" s="240"/>
      <c r="J94" s="240"/>
      <c r="K94" s="7" t="s">
        <v>14</v>
      </c>
      <c r="N94" s="199"/>
      <c r="S94" s="199"/>
    </row>
    <row r="95" spans="1:19" s="179" customFormat="1" ht="18" customHeight="1" x14ac:dyDescent="0.25">
      <c r="A95" s="14">
        <f t="shared" si="2"/>
        <v>86</v>
      </c>
      <c r="B95" s="242"/>
      <c r="C95" s="243"/>
      <c r="D95" s="214" t="s">
        <v>214</v>
      </c>
      <c r="E95" s="245"/>
      <c r="F95" s="52"/>
      <c r="G95" s="18">
        <f t="shared" si="3"/>
        <v>521</v>
      </c>
      <c r="H95" s="240"/>
      <c r="I95" s="240"/>
      <c r="J95" s="240"/>
      <c r="K95" s="247" t="s">
        <v>14</v>
      </c>
      <c r="L95" s="179" t="s">
        <v>43</v>
      </c>
      <c r="N95" s="248"/>
      <c r="S95" s="248"/>
    </row>
    <row r="96" spans="1:19" s="179" customFormat="1" ht="18" customHeight="1" x14ac:dyDescent="0.25">
      <c r="A96" s="14">
        <f t="shared" si="2"/>
        <v>87</v>
      </c>
      <c r="B96" s="242"/>
      <c r="C96" s="243"/>
      <c r="D96" s="214" t="s">
        <v>214</v>
      </c>
      <c r="E96" s="245"/>
      <c r="F96" s="52"/>
      <c r="G96" s="18">
        <f t="shared" si="3"/>
        <v>521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2"/>
        <v>88</v>
      </c>
      <c r="B97" s="242"/>
      <c r="C97" s="243"/>
      <c r="D97" s="214" t="s">
        <v>214</v>
      </c>
      <c r="E97" s="245"/>
      <c r="F97" s="52"/>
      <c r="G97" s="18">
        <f t="shared" si="3"/>
        <v>521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2"/>
        <v>89</v>
      </c>
      <c r="B98" s="242"/>
      <c r="C98" s="243"/>
      <c r="D98" s="214" t="s">
        <v>214</v>
      </c>
      <c r="E98" s="245"/>
      <c r="F98" s="52"/>
      <c r="G98" s="18">
        <f t="shared" si="3"/>
        <v>521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2"/>
        <v>90</v>
      </c>
      <c r="B99" s="242"/>
      <c r="C99" s="243"/>
      <c r="D99" s="214" t="s">
        <v>214</v>
      </c>
      <c r="E99" s="245"/>
      <c r="F99" s="52"/>
      <c r="G99" s="18">
        <f t="shared" si="3"/>
        <v>521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2"/>
        <v>91</v>
      </c>
      <c r="B100" s="242"/>
      <c r="C100" s="243"/>
      <c r="D100" s="214" t="s">
        <v>214</v>
      </c>
      <c r="E100" s="245"/>
      <c r="F100" s="52"/>
      <c r="G100" s="18">
        <f t="shared" si="3"/>
        <v>521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2"/>
        <v>92</v>
      </c>
      <c r="B101" s="242"/>
      <c r="C101" s="243"/>
      <c r="D101" s="214" t="s">
        <v>214</v>
      </c>
      <c r="E101" s="245"/>
      <c r="F101" s="52"/>
      <c r="G101" s="18">
        <f t="shared" si="3"/>
        <v>521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2"/>
        <v>93</v>
      </c>
      <c r="B102" s="242"/>
      <c r="C102" s="243"/>
      <c r="D102" s="214" t="s">
        <v>214</v>
      </c>
      <c r="E102" s="245"/>
      <c r="F102" s="52"/>
      <c r="G102" s="18">
        <f t="shared" si="3"/>
        <v>521</v>
      </c>
      <c r="H102" s="240"/>
      <c r="I102" s="240"/>
      <c r="J102" s="240"/>
      <c r="K102" s="247" t="s">
        <v>14</v>
      </c>
      <c r="N102" s="248"/>
      <c r="S102" s="248"/>
    </row>
    <row r="103" spans="1:19" s="179" customFormat="1" ht="18" customHeight="1" x14ac:dyDescent="0.25">
      <c r="A103" s="14">
        <f t="shared" si="2"/>
        <v>94</v>
      </c>
      <c r="B103" s="242"/>
      <c r="C103" s="243"/>
      <c r="D103" s="214" t="s">
        <v>214</v>
      </c>
      <c r="E103" s="245"/>
      <c r="F103" s="52"/>
      <c r="G103" s="18">
        <f t="shared" si="3"/>
        <v>521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2"/>
        <v>95</v>
      </c>
      <c r="B104" s="242"/>
      <c r="C104" s="243"/>
      <c r="D104" s="244"/>
      <c r="E104" s="245"/>
      <c r="F104" s="52"/>
      <c r="G104" s="18">
        <f t="shared" si="3"/>
        <v>521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2"/>
        <v>96</v>
      </c>
      <c r="B105" s="242"/>
      <c r="C105" s="243"/>
      <c r="D105" s="244"/>
      <c r="E105" s="245"/>
      <c r="F105" s="52"/>
      <c r="G105" s="18">
        <f t="shared" si="3"/>
        <v>521</v>
      </c>
      <c r="H105" s="240"/>
      <c r="I105" s="240"/>
      <c r="J105" s="240"/>
      <c r="K105" s="247"/>
      <c r="N105" s="248"/>
      <c r="S105" s="248"/>
    </row>
    <row r="106" spans="1:19" s="179" customFormat="1" ht="18" customHeight="1" x14ac:dyDescent="0.25">
      <c r="A106" s="14">
        <f t="shared" si="2"/>
        <v>97</v>
      </c>
      <c r="B106" s="242"/>
      <c r="C106" s="243"/>
      <c r="D106" s="244"/>
      <c r="E106" s="245"/>
      <c r="F106" s="52"/>
      <c r="G106" s="18">
        <f t="shared" si="3"/>
        <v>521</v>
      </c>
      <c r="H106" s="240"/>
      <c r="I106" s="240"/>
      <c r="J106" s="240"/>
      <c r="K106" s="247"/>
      <c r="N106" s="248"/>
      <c r="S106" s="248"/>
    </row>
    <row r="107" spans="1:19" ht="18" customHeight="1" x14ac:dyDescent="0.25">
      <c r="A107" s="14">
        <f t="shared" si="2"/>
        <v>98</v>
      </c>
      <c r="B107" s="8"/>
      <c r="C107" s="46"/>
      <c r="D107" s="214"/>
      <c r="E107" s="32"/>
      <c r="F107" s="27"/>
      <c r="G107" s="18">
        <f t="shared" si="3"/>
        <v>521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2"/>
        <v>99</v>
      </c>
      <c r="B108" s="8"/>
      <c r="C108" s="46"/>
      <c r="D108" s="214"/>
      <c r="E108" s="32"/>
      <c r="F108" s="27"/>
      <c r="G108" s="18">
        <f t="shared" si="3"/>
        <v>521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14">
        <f t="shared" si="2"/>
        <v>100</v>
      </c>
      <c r="B109" s="37"/>
      <c r="C109" s="46"/>
      <c r="D109" s="10"/>
      <c r="E109" s="32"/>
      <c r="F109" s="27"/>
      <c r="G109" s="18">
        <f t="shared" si="3"/>
        <v>521</v>
      </c>
      <c r="H109" s="28"/>
      <c r="I109" s="28"/>
      <c r="J109" s="28"/>
      <c r="K109" s="7"/>
      <c r="N109" s="199"/>
      <c r="S109" s="199"/>
    </row>
    <row r="110" spans="1:19" ht="18" customHeight="1" x14ac:dyDescent="0.25">
      <c r="A110" s="7"/>
      <c r="B110" s="7"/>
      <c r="C110" s="34" t="s">
        <v>13</v>
      </c>
      <c r="D110" s="14"/>
      <c r="E110" s="35">
        <f>SUM(E8:E109)</f>
        <v>1365</v>
      </c>
      <c r="F110" s="35">
        <f>SUM(F8:F109)</f>
        <v>844</v>
      </c>
      <c r="G110" s="35">
        <f>+E110-F110+G8</f>
        <v>521</v>
      </c>
      <c r="H110" s="35"/>
      <c r="I110" s="35"/>
      <c r="J110" s="35">
        <f>SUM(J9:J109)</f>
        <v>558.5</v>
      </c>
      <c r="K110" s="36"/>
    </row>
    <row r="111" spans="1:19" ht="18" customHeight="1" x14ac:dyDescent="0.25"/>
    <row r="114" spans="5:11" x14ac:dyDescent="0.25">
      <c r="E114" s="201"/>
      <c r="F114" s="201"/>
      <c r="G114" s="201"/>
      <c r="H114" s="201"/>
      <c r="I114" s="201"/>
      <c r="J114" s="201"/>
    </row>
    <row r="115" spans="5:11" x14ac:dyDescent="0.25">
      <c r="F115" s="26"/>
    </row>
    <row r="116" spans="5:11" x14ac:dyDescent="0.25">
      <c r="E116" s="26"/>
      <c r="F116" s="26"/>
      <c r="G116" s="26"/>
      <c r="H116" s="26"/>
      <c r="I116" s="26"/>
      <c r="J116" s="26"/>
      <c r="K116" s="26"/>
    </row>
    <row r="117" spans="5:11" x14ac:dyDescent="0.25">
      <c r="K117" s="202"/>
    </row>
    <row r="118" spans="5:11" x14ac:dyDescent="0.25">
      <c r="E118" s="199"/>
    </row>
    <row r="119" spans="5:11" x14ac:dyDescent="0.25">
      <c r="E119" s="26"/>
      <c r="F119" s="26"/>
    </row>
    <row r="120" spans="5:11" x14ac:dyDescent="0.25">
      <c r="E120" s="203"/>
      <c r="F120" s="204"/>
      <c r="G120" s="203"/>
      <c r="H120" s="203"/>
      <c r="I120" s="203"/>
      <c r="J120" s="203"/>
    </row>
    <row r="121" spans="5:11" x14ac:dyDescent="0.25">
      <c r="F121" s="26"/>
    </row>
  </sheetData>
  <mergeCells count="1">
    <mergeCell ref="A4:K5"/>
  </mergeCells>
  <phoneticPr fontId="35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D5D8-6581-4383-A600-07B17B458B9A}">
  <sheetPr codeName="Sheet108"/>
  <dimension ref="A1:S121"/>
  <sheetViews>
    <sheetView topLeftCell="C1" workbookViewId="0">
      <selection activeCell="G8" sqref="G8"/>
    </sheetView>
  </sheetViews>
  <sheetFormatPr defaultRowHeight="15" x14ac:dyDescent="0.25"/>
  <cols>
    <col min="1" max="1" width="6" customWidth="1"/>
    <col min="2" max="2" width="11.5703125" customWidth="1"/>
    <col min="3" max="3" width="62.140625" customWidth="1"/>
    <col min="4" max="4" width="6.5703125" customWidth="1"/>
    <col min="5" max="6" width="11.42578125" customWidth="1"/>
    <col min="7" max="7" width="11.7109375" customWidth="1"/>
    <col min="8" max="8" width="21.140625" customWidth="1"/>
    <col min="9" max="9" width="8.5703125" customWidth="1"/>
    <col min="10" max="10" width="11.42578125" customWidth="1"/>
    <col min="11" max="11" width="14.85546875" customWidth="1"/>
    <col min="13" max="13" width="9.85546875" bestFit="1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2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2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323</v>
      </c>
      <c r="J7" s="6" t="s">
        <v>321</v>
      </c>
      <c r="K7" s="4" t="s">
        <v>10</v>
      </c>
    </row>
    <row r="8" spans="1:12" ht="18" customHeight="1" x14ac:dyDescent="0.25">
      <c r="A8" s="7"/>
      <c r="B8" s="8"/>
      <c r="C8" s="9" t="s">
        <v>15</v>
      </c>
      <c r="D8" s="10"/>
      <c r="E8" s="11"/>
      <c r="F8" s="12"/>
      <c r="G8" s="13">
        <v>219</v>
      </c>
      <c r="H8" s="7"/>
      <c r="I8" s="7"/>
      <c r="J8" s="7"/>
      <c r="K8" s="7"/>
    </row>
    <row r="9" spans="1:12" ht="17.25" customHeight="1" x14ac:dyDescent="0.25">
      <c r="A9" s="14">
        <v>1</v>
      </c>
      <c r="B9" s="8">
        <v>45719</v>
      </c>
      <c r="C9" s="46" t="s">
        <v>324</v>
      </c>
      <c r="D9" s="214" t="s">
        <v>214</v>
      </c>
      <c r="E9" s="30"/>
      <c r="F9" s="27">
        <f>71-37</f>
        <v>34</v>
      </c>
      <c r="G9" s="18">
        <f>+G8+E9-F9</f>
        <v>185</v>
      </c>
      <c r="H9" s="28" t="s">
        <v>129</v>
      </c>
      <c r="I9" s="28"/>
      <c r="J9" s="28">
        <v>338</v>
      </c>
      <c r="K9" s="7"/>
      <c r="L9" s="392" t="e">
        <f>+J9/E9</f>
        <v>#DIV/0!</v>
      </c>
    </row>
    <row r="10" spans="1:12" ht="17.25" customHeight="1" x14ac:dyDescent="0.25">
      <c r="A10" s="14">
        <f t="shared" ref="A10:A73" si="0">+A9+1</f>
        <v>2</v>
      </c>
      <c r="B10" s="8">
        <v>45786</v>
      </c>
      <c r="C10" s="46" t="s">
        <v>324</v>
      </c>
      <c r="D10" s="214" t="s">
        <v>214</v>
      </c>
      <c r="E10" s="30"/>
      <c r="F10" s="27">
        <v>185</v>
      </c>
      <c r="G10" s="18">
        <f t="shared" ref="G10:G73" si="1">+G9+E10-F10</f>
        <v>0</v>
      </c>
      <c r="H10" s="28" t="s">
        <v>129</v>
      </c>
      <c r="I10" s="347" t="e">
        <f>+F10*L9</f>
        <v>#DIV/0!</v>
      </c>
      <c r="J10" s="28"/>
      <c r="K10" s="7" t="s">
        <v>90</v>
      </c>
    </row>
    <row r="11" spans="1:12" ht="17.25" customHeight="1" x14ac:dyDescent="0.25">
      <c r="A11" s="14"/>
      <c r="B11" s="8"/>
      <c r="C11" s="46" t="s">
        <v>332</v>
      </c>
      <c r="D11" s="214" t="s">
        <v>214</v>
      </c>
      <c r="E11" s="30"/>
      <c r="F11" s="27"/>
      <c r="G11" s="18">
        <f t="shared" si="1"/>
        <v>0</v>
      </c>
      <c r="H11" s="28" t="s">
        <v>129</v>
      </c>
      <c r="I11" s="347" t="e">
        <f>+F11*L11</f>
        <v>#DIV/0!</v>
      </c>
      <c r="J11" s="382">
        <v>96</v>
      </c>
      <c r="K11" s="7"/>
      <c r="L11" s="392" t="e">
        <f>+J11/E11</f>
        <v>#DIV/0!</v>
      </c>
    </row>
    <row r="12" spans="1:12" ht="18" customHeight="1" x14ac:dyDescent="0.25">
      <c r="A12" s="14">
        <f>+A10+1</f>
        <v>3</v>
      </c>
      <c r="B12" s="8"/>
      <c r="C12" s="46" t="s">
        <v>324</v>
      </c>
      <c r="D12" s="214" t="s">
        <v>214</v>
      </c>
      <c r="E12" s="16"/>
      <c r="F12" s="27"/>
      <c r="G12" s="18">
        <f t="shared" si="1"/>
        <v>0</v>
      </c>
      <c r="H12" s="28" t="s">
        <v>129</v>
      </c>
      <c r="I12" s="28"/>
      <c r="J12" s="28">
        <v>20.5</v>
      </c>
      <c r="K12" s="7" t="s">
        <v>90</v>
      </c>
      <c r="L12" s="26"/>
    </row>
    <row r="13" spans="1:12" ht="18" customHeight="1" x14ac:dyDescent="0.25">
      <c r="A13" s="14">
        <f t="shared" si="0"/>
        <v>4</v>
      </c>
      <c r="B13" s="8"/>
      <c r="C13" s="46" t="s">
        <v>332</v>
      </c>
      <c r="D13" s="214" t="s">
        <v>214</v>
      </c>
      <c r="E13" s="16"/>
      <c r="F13" s="17"/>
      <c r="G13" s="18">
        <f t="shared" si="1"/>
        <v>0</v>
      </c>
      <c r="H13" s="28" t="s">
        <v>129</v>
      </c>
      <c r="I13" s="28"/>
      <c r="J13" s="28">
        <v>104</v>
      </c>
      <c r="K13" s="7" t="s">
        <v>90</v>
      </c>
      <c r="L13" s="26"/>
    </row>
    <row r="14" spans="1:12" ht="18" customHeight="1" x14ac:dyDescent="0.25">
      <c r="A14" s="14">
        <f t="shared" si="0"/>
        <v>5</v>
      </c>
      <c r="B14" s="205"/>
      <c r="C14" s="46" t="s">
        <v>332</v>
      </c>
      <c r="D14" s="214" t="s">
        <v>214</v>
      </c>
      <c r="E14" s="16"/>
      <c r="F14" s="17"/>
      <c r="G14" s="18">
        <f t="shared" si="1"/>
        <v>0</v>
      </c>
      <c r="H14" s="28" t="s">
        <v>91</v>
      </c>
      <c r="I14" s="28" t="e">
        <f>+F14*L11</f>
        <v>#DIV/0!</v>
      </c>
      <c r="J14" s="28"/>
      <c r="K14" s="7" t="s">
        <v>90</v>
      </c>
      <c r="L14" s="26"/>
    </row>
    <row r="15" spans="1:12" ht="18" customHeight="1" x14ac:dyDescent="0.25">
      <c r="A15" s="14">
        <f t="shared" si="0"/>
        <v>6</v>
      </c>
      <c r="B15" s="8"/>
      <c r="C15" s="46" t="s">
        <v>332</v>
      </c>
      <c r="D15" s="214" t="s">
        <v>214</v>
      </c>
      <c r="E15" s="16"/>
      <c r="F15" s="27"/>
      <c r="G15" s="18">
        <f t="shared" si="1"/>
        <v>0</v>
      </c>
      <c r="H15" s="28" t="s">
        <v>91</v>
      </c>
      <c r="I15" s="28" t="e">
        <f>+F15*L11</f>
        <v>#DIV/0!</v>
      </c>
      <c r="J15" s="28"/>
      <c r="K15" s="7" t="s">
        <v>90</v>
      </c>
    </row>
    <row r="16" spans="1:12" ht="18" customHeight="1" x14ac:dyDescent="0.25">
      <c r="A16" s="14">
        <f t="shared" si="0"/>
        <v>7</v>
      </c>
      <c r="B16" s="8"/>
      <c r="C16" s="46" t="s">
        <v>332</v>
      </c>
      <c r="D16" s="214" t="s">
        <v>214</v>
      </c>
      <c r="E16" s="16"/>
      <c r="F16" s="27"/>
      <c r="G16" s="18">
        <f t="shared" si="1"/>
        <v>0</v>
      </c>
      <c r="H16" s="28" t="s">
        <v>91</v>
      </c>
      <c r="I16" s="28" t="e">
        <f>+F16*L11</f>
        <v>#DIV/0!</v>
      </c>
      <c r="J16" s="28"/>
      <c r="K16" s="7" t="s">
        <v>90</v>
      </c>
      <c r="L16" s="26"/>
    </row>
    <row r="17" spans="1:17" ht="18" customHeight="1" x14ac:dyDescent="0.25">
      <c r="A17" s="14">
        <f t="shared" si="0"/>
        <v>8</v>
      </c>
      <c r="B17" s="8"/>
      <c r="C17" s="46" t="s">
        <v>332</v>
      </c>
      <c r="D17" s="214" t="s">
        <v>214</v>
      </c>
      <c r="E17" s="16"/>
      <c r="F17" s="27"/>
      <c r="G17" s="18">
        <f t="shared" si="1"/>
        <v>0</v>
      </c>
      <c r="H17" s="28" t="s">
        <v>91</v>
      </c>
      <c r="I17" s="28" t="e">
        <f>35*L11</f>
        <v>#DIV/0!</v>
      </c>
      <c r="J17" s="28"/>
      <c r="K17" s="7"/>
      <c r="L17" s="26"/>
    </row>
    <row r="18" spans="1:17" ht="18" customHeight="1" x14ac:dyDescent="0.25">
      <c r="A18" s="14">
        <f t="shared" si="0"/>
        <v>9</v>
      </c>
      <c r="B18" s="8"/>
      <c r="C18" s="46" t="s">
        <v>324</v>
      </c>
      <c r="D18" s="214" t="s">
        <v>214</v>
      </c>
      <c r="E18" s="16"/>
      <c r="F18" s="27"/>
      <c r="G18" s="18">
        <f t="shared" si="1"/>
        <v>0</v>
      </c>
      <c r="H18" s="28" t="s">
        <v>91</v>
      </c>
      <c r="I18" s="28" t="e">
        <f>+F18*L11</f>
        <v>#DIV/0!</v>
      </c>
      <c r="J18" s="28"/>
      <c r="K18" s="7" t="s">
        <v>90</v>
      </c>
    </row>
    <row r="19" spans="1:17" ht="18" customHeight="1" x14ac:dyDescent="0.25">
      <c r="A19" s="14">
        <f t="shared" si="0"/>
        <v>10</v>
      </c>
      <c r="B19" s="8"/>
      <c r="C19" s="46" t="s">
        <v>324</v>
      </c>
      <c r="D19" s="214" t="s">
        <v>214</v>
      </c>
      <c r="E19" s="30"/>
      <c r="F19" s="27"/>
      <c r="G19" s="18">
        <f t="shared" si="1"/>
        <v>0</v>
      </c>
      <c r="H19" s="28" t="s">
        <v>91</v>
      </c>
      <c r="I19" s="28" t="e">
        <f>+F19*L11</f>
        <v>#DIV/0!</v>
      </c>
      <c r="J19" s="28"/>
      <c r="K19" s="7" t="s">
        <v>90</v>
      </c>
    </row>
    <row r="20" spans="1:17" s="230" customFormat="1" ht="18" customHeight="1" x14ac:dyDescent="0.25">
      <c r="A20" s="14">
        <f t="shared" si="0"/>
        <v>11</v>
      </c>
      <c r="B20" s="224"/>
      <c r="C20" s="46" t="s">
        <v>324</v>
      </c>
      <c r="D20" s="214" t="s">
        <v>214</v>
      </c>
      <c r="E20" s="227"/>
      <c r="F20" s="228"/>
      <c r="G20" s="18">
        <f t="shared" si="1"/>
        <v>0</v>
      </c>
      <c r="H20" s="28" t="s">
        <v>91</v>
      </c>
      <c r="I20" s="28" t="e">
        <f>+F20*L11</f>
        <v>#DIV/0!</v>
      </c>
      <c r="J20" s="28"/>
      <c r="K20" s="7" t="s">
        <v>90</v>
      </c>
      <c r="M20" s="230">
        <f>122*0.87</f>
        <v>106.14</v>
      </c>
    </row>
    <row r="21" spans="1:17" s="230" customFormat="1" x14ac:dyDescent="0.25">
      <c r="A21" s="14">
        <f t="shared" si="0"/>
        <v>12</v>
      </c>
      <c r="B21" s="394"/>
      <c r="C21" s="46" t="s">
        <v>348</v>
      </c>
      <c r="D21" s="214" t="s">
        <v>214</v>
      </c>
      <c r="E21" s="231"/>
      <c r="F21" s="228"/>
      <c r="G21" s="18">
        <f t="shared" si="1"/>
        <v>0</v>
      </c>
      <c r="H21" s="28" t="s">
        <v>91</v>
      </c>
      <c r="I21" s="28" t="e">
        <f>+F21*L11</f>
        <v>#DIV/0!</v>
      </c>
      <c r="J21" s="28"/>
      <c r="K21" s="7" t="s">
        <v>90</v>
      </c>
    </row>
    <row r="22" spans="1:17" ht="27.75" customHeight="1" x14ac:dyDescent="0.25">
      <c r="A22" s="14">
        <f t="shared" si="0"/>
        <v>13</v>
      </c>
      <c r="B22" s="394"/>
      <c r="C22" s="46" t="s">
        <v>349</v>
      </c>
      <c r="D22" s="214" t="s">
        <v>214</v>
      </c>
      <c r="E22" s="32"/>
      <c r="F22" s="17"/>
      <c r="G22" s="18">
        <f t="shared" si="1"/>
        <v>0</v>
      </c>
      <c r="H22" s="28" t="s">
        <v>91</v>
      </c>
      <c r="I22" s="28" t="e">
        <f>+F22*L11</f>
        <v>#DIV/0!</v>
      </c>
      <c r="J22" s="28"/>
      <c r="K22" s="7" t="s">
        <v>90</v>
      </c>
      <c r="N22">
        <f>271-33</f>
        <v>238</v>
      </c>
      <c r="P22" s="26"/>
    </row>
    <row r="23" spans="1:17" ht="27" customHeight="1" x14ac:dyDescent="0.25">
      <c r="A23" s="14">
        <f t="shared" si="0"/>
        <v>14</v>
      </c>
      <c r="B23" s="8"/>
      <c r="C23" s="46" t="s">
        <v>349</v>
      </c>
      <c r="D23" s="214" t="s">
        <v>214</v>
      </c>
      <c r="E23" s="32"/>
      <c r="F23" s="27"/>
      <c r="G23" s="18">
        <f t="shared" si="1"/>
        <v>0</v>
      </c>
      <c r="H23" s="28" t="s">
        <v>91</v>
      </c>
      <c r="I23" s="28" t="e">
        <f>+F23*L11</f>
        <v>#DIV/0!</v>
      </c>
      <c r="J23" s="28"/>
      <c r="K23" s="7" t="s">
        <v>90</v>
      </c>
      <c r="N23">
        <f>62-33</f>
        <v>29</v>
      </c>
    </row>
    <row r="24" spans="1:17" ht="18" customHeight="1" x14ac:dyDescent="0.25">
      <c r="A24" s="14">
        <f t="shared" si="0"/>
        <v>15</v>
      </c>
      <c r="B24" s="232"/>
      <c r="C24" s="46"/>
      <c r="D24" s="214" t="s">
        <v>214</v>
      </c>
      <c r="E24" s="235"/>
      <c r="F24" s="172"/>
      <c r="G24" s="18">
        <f t="shared" si="1"/>
        <v>0</v>
      </c>
      <c r="H24" s="28" t="s">
        <v>129</v>
      </c>
      <c r="I24" s="28"/>
      <c r="J24" s="28"/>
      <c r="K24" s="7" t="s">
        <v>90</v>
      </c>
      <c r="L24">
        <f>167/492</f>
        <v>0.33943089430894308</v>
      </c>
    </row>
    <row r="25" spans="1:17" ht="18" customHeight="1" x14ac:dyDescent="0.25">
      <c r="A25" s="14">
        <f t="shared" si="0"/>
        <v>16</v>
      </c>
      <c r="B25" s="8"/>
      <c r="C25" s="46"/>
      <c r="D25" s="214" t="s">
        <v>214</v>
      </c>
      <c r="E25" s="32"/>
      <c r="F25" s="17"/>
      <c r="G25" s="18">
        <f t="shared" si="1"/>
        <v>0</v>
      </c>
      <c r="H25" s="28" t="s">
        <v>129</v>
      </c>
      <c r="I25" s="28"/>
      <c r="J25" s="28"/>
      <c r="K25" s="7" t="s">
        <v>90</v>
      </c>
      <c r="N25">
        <f>211-33</f>
        <v>178</v>
      </c>
    </row>
    <row r="26" spans="1:17" ht="18" customHeight="1" x14ac:dyDescent="0.25">
      <c r="A26" s="14">
        <f t="shared" si="0"/>
        <v>17</v>
      </c>
      <c r="B26" s="8"/>
      <c r="C26" s="46"/>
      <c r="D26" s="214" t="s">
        <v>214</v>
      </c>
      <c r="E26" s="32"/>
      <c r="F26" s="17"/>
      <c r="G26" s="18">
        <f t="shared" si="1"/>
        <v>0</v>
      </c>
      <c r="H26" s="28" t="s">
        <v>91</v>
      </c>
      <c r="I26" s="28"/>
      <c r="J26" s="28"/>
      <c r="K26" s="7" t="s">
        <v>90</v>
      </c>
    </row>
    <row r="27" spans="1:17" ht="18" customHeight="1" x14ac:dyDescent="0.25">
      <c r="A27" s="14">
        <f t="shared" si="0"/>
        <v>18</v>
      </c>
      <c r="B27" s="8"/>
      <c r="C27" s="46"/>
      <c r="D27" s="214" t="s">
        <v>214</v>
      </c>
      <c r="E27" s="32"/>
      <c r="F27" s="17"/>
      <c r="G27" s="18">
        <f t="shared" si="1"/>
        <v>0</v>
      </c>
      <c r="H27" s="28" t="s">
        <v>91</v>
      </c>
      <c r="I27" s="28"/>
      <c r="J27" s="28"/>
      <c r="K27" s="7" t="s">
        <v>90</v>
      </c>
      <c r="M27">
        <v>881</v>
      </c>
    </row>
    <row r="28" spans="1:17" ht="18" customHeight="1" x14ac:dyDescent="0.25">
      <c r="A28" s="14">
        <f t="shared" si="0"/>
        <v>19</v>
      </c>
      <c r="B28" s="8"/>
      <c r="C28" s="46"/>
      <c r="D28" s="214" t="s">
        <v>214</v>
      </c>
      <c r="E28" s="32"/>
      <c r="F28" s="17"/>
      <c r="G28" s="18">
        <f t="shared" si="1"/>
        <v>0</v>
      </c>
      <c r="H28" s="28" t="s">
        <v>91</v>
      </c>
      <c r="I28" s="28"/>
      <c r="J28" s="28"/>
      <c r="K28" s="7" t="s">
        <v>90</v>
      </c>
      <c r="M28">
        <f>296/M27</f>
        <v>0.33598183881952326</v>
      </c>
    </row>
    <row r="29" spans="1:17" ht="18" customHeight="1" x14ac:dyDescent="0.25">
      <c r="A29" s="14">
        <f t="shared" si="0"/>
        <v>20</v>
      </c>
      <c r="B29" s="8"/>
      <c r="C29" s="46"/>
      <c r="D29" s="214" t="s">
        <v>214</v>
      </c>
      <c r="E29" s="32"/>
      <c r="F29" s="17"/>
      <c r="G29" s="18">
        <f t="shared" si="1"/>
        <v>0</v>
      </c>
      <c r="H29" s="28" t="s">
        <v>91</v>
      </c>
      <c r="I29" s="28"/>
      <c r="J29" s="28"/>
      <c r="K29" s="7" t="s">
        <v>90</v>
      </c>
      <c r="M29">
        <f>+M28*838</f>
        <v>281.55278093076049</v>
      </c>
      <c r="Q29">
        <f>492-43</f>
        <v>449</v>
      </c>
    </row>
    <row r="30" spans="1:17" ht="18" customHeight="1" x14ac:dyDescent="0.25">
      <c r="A30" s="14">
        <f t="shared" si="0"/>
        <v>21</v>
      </c>
      <c r="B30" s="8"/>
      <c r="C30" s="46"/>
      <c r="D30" s="214" t="s">
        <v>214</v>
      </c>
      <c r="E30" s="129"/>
      <c r="F30" s="17"/>
      <c r="G30" s="18">
        <f t="shared" si="1"/>
        <v>0</v>
      </c>
      <c r="H30" s="28" t="s">
        <v>91</v>
      </c>
      <c r="I30" s="28">
        <f>+F30*M32</f>
        <v>0</v>
      </c>
      <c r="J30" s="28"/>
      <c r="K30" s="7" t="s">
        <v>90</v>
      </c>
      <c r="M30" s="1">
        <v>45577</v>
      </c>
      <c r="Q30">
        <f>+L24*449</f>
        <v>152.40447154471545</v>
      </c>
    </row>
    <row r="31" spans="1:17" ht="18" customHeight="1" x14ac:dyDescent="0.25">
      <c r="A31" s="14">
        <f t="shared" si="0"/>
        <v>22</v>
      </c>
      <c r="B31" s="8"/>
      <c r="C31" s="46"/>
      <c r="D31" s="214" t="s">
        <v>214</v>
      </c>
      <c r="E31" s="32"/>
      <c r="F31" s="172"/>
      <c r="G31" s="18">
        <f t="shared" si="1"/>
        <v>0</v>
      </c>
      <c r="H31" s="28" t="s">
        <v>91</v>
      </c>
      <c r="I31" s="28">
        <f>+F30*0.4</f>
        <v>0</v>
      </c>
      <c r="J31" s="28"/>
      <c r="K31" s="7" t="s">
        <v>90</v>
      </c>
    </row>
    <row r="32" spans="1:17" ht="18" customHeight="1" x14ac:dyDescent="0.25">
      <c r="A32" s="14">
        <f t="shared" si="0"/>
        <v>23</v>
      </c>
      <c r="B32" s="8"/>
      <c r="C32" s="46"/>
      <c r="D32" s="214" t="s">
        <v>214</v>
      </c>
      <c r="E32" s="32"/>
      <c r="F32" s="17"/>
      <c r="G32" s="18">
        <f t="shared" si="1"/>
        <v>0</v>
      </c>
      <c r="H32" s="28" t="s">
        <v>91</v>
      </c>
      <c r="I32" s="28"/>
      <c r="J32" s="28"/>
      <c r="K32" s="7" t="s">
        <v>90</v>
      </c>
      <c r="M32" s="387">
        <f>94/230</f>
        <v>0.40869565217391307</v>
      </c>
      <c r="O32">
        <f>159+160</f>
        <v>319</v>
      </c>
    </row>
    <row r="33" spans="1:18" ht="18" customHeight="1" x14ac:dyDescent="0.25">
      <c r="A33" s="14">
        <f t="shared" si="0"/>
        <v>24</v>
      </c>
      <c r="B33" s="8"/>
      <c r="C33" s="46"/>
      <c r="D33" s="214" t="s">
        <v>214</v>
      </c>
      <c r="E33" s="32"/>
      <c r="F33" s="17"/>
      <c r="G33" s="18">
        <f t="shared" si="1"/>
        <v>0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0"/>
        <v>25</v>
      </c>
      <c r="B34" s="8"/>
      <c r="C34" s="46"/>
      <c r="D34" s="214" t="s">
        <v>214</v>
      </c>
      <c r="E34" s="13"/>
      <c r="F34" s="17"/>
      <c r="G34" s="18">
        <f t="shared" si="1"/>
        <v>0</v>
      </c>
      <c r="H34" s="28" t="s">
        <v>91</v>
      </c>
      <c r="I34" s="28"/>
      <c r="J34" s="28"/>
      <c r="K34" s="7" t="s">
        <v>90</v>
      </c>
    </row>
    <row r="35" spans="1:18" ht="17.25" customHeight="1" x14ac:dyDescent="0.25">
      <c r="A35" s="14">
        <f t="shared" si="0"/>
        <v>26</v>
      </c>
      <c r="B35" s="44"/>
      <c r="C35" s="46"/>
      <c r="D35" s="214" t="s">
        <v>214</v>
      </c>
      <c r="E35" s="13"/>
      <c r="F35" s="17"/>
      <c r="G35" s="18">
        <f t="shared" si="1"/>
        <v>0</v>
      </c>
      <c r="H35" s="178"/>
      <c r="I35" s="178"/>
      <c r="J35" s="178"/>
      <c r="K35" s="7"/>
    </row>
    <row r="36" spans="1:18" ht="18" customHeight="1" x14ac:dyDescent="0.25">
      <c r="A36" s="14">
        <f t="shared" si="0"/>
        <v>27</v>
      </c>
      <c r="B36" s="8"/>
      <c r="C36" s="46"/>
      <c r="D36" s="214" t="s">
        <v>214</v>
      </c>
      <c r="E36" s="32"/>
      <c r="F36" s="40"/>
      <c r="G36" s="18">
        <f t="shared" si="1"/>
        <v>0</v>
      </c>
      <c r="H36" s="178"/>
      <c r="I36" s="178"/>
      <c r="J36" s="178"/>
      <c r="K36" s="7"/>
    </row>
    <row r="37" spans="1:18" ht="18" customHeight="1" x14ac:dyDescent="0.25">
      <c r="A37" s="14">
        <f t="shared" si="0"/>
        <v>28</v>
      </c>
      <c r="B37" s="45"/>
      <c r="C37" s="46"/>
      <c r="D37" s="214" t="s">
        <v>214</v>
      </c>
      <c r="E37" s="32"/>
      <c r="F37" s="40"/>
      <c r="G37" s="18">
        <f t="shared" si="1"/>
        <v>0</v>
      </c>
      <c r="H37" s="178"/>
      <c r="I37" s="178"/>
      <c r="J37" s="178"/>
      <c r="K37" s="7"/>
    </row>
    <row r="38" spans="1:18" ht="18" customHeight="1" x14ac:dyDescent="0.25">
      <c r="A38" s="14">
        <f t="shared" si="0"/>
        <v>29</v>
      </c>
      <c r="B38" s="8"/>
      <c r="C38" s="46"/>
      <c r="D38" s="214" t="s">
        <v>214</v>
      </c>
      <c r="E38" s="32"/>
      <c r="F38" s="40"/>
      <c r="G38" s="18">
        <f t="shared" si="1"/>
        <v>0</v>
      </c>
      <c r="H38" s="178"/>
      <c r="I38" s="178"/>
      <c r="J38" s="178"/>
      <c r="K38" s="7"/>
    </row>
    <row r="39" spans="1:18" ht="18" customHeight="1" x14ac:dyDescent="0.25">
      <c r="A39" s="14">
        <f t="shared" si="0"/>
        <v>30</v>
      </c>
      <c r="B39" s="8"/>
      <c r="C39" s="46"/>
      <c r="D39" s="214" t="s">
        <v>214</v>
      </c>
      <c r="E39" s="32"/>
      <c r="F39" s="17"/>
      <c r="G39" s="18">
        <f t="shared" si="1"/>
        <v>0</v>
      </c>
      <c r="H39" s="178"/>
      <c r="I39" s="178"/>
      <c r="J39" s="178"/>
      <c r="K39" s="7"/>
      <c r="M39">
        <f>911-338</f>
        <v>573</v>
      </c>
    </row>
    <row r="40" spans="1:18" ht="18" customHeight="1" x14ac:dyDescent="0.25">
      <c r="A40" s="14">
        <f t="shared" si="0"/>
        <v>31</v>
      </c>
      <c r="B40" s="8"/>
      <c r="C40" s="46"/>
      <c r="D40" s="214" t="s">
        <v>214</v>
      </c>
      <c r="E40" s="32"/>
      <c r="F40" s="17"/>
      <c r="G40" s="18">
        <f t="shared" si="1"/>
        <v>0</v>
      </c>
      <c r="H40" s="178"/>
      <c r="I40" s="178"/>
      <c r="J40" s="178"/>
      <c r="K40" s="7"/>
      <c r="M40">
        <f>+M39-314</f>
        <v>259</v>
      </c>
    </row>
    <row r="41" spans="1:18" ht="18" customHeight="1" x14ac:dyDescent="0.25">
      <c r="A41" s="14">
        <f t="shared" si="0"/>
        <v>32</v>
      </c>
      <c r="B41" s="8"/>
      <c r="C41" s="46"/>
      <c r="D41" s="214" t="s">
        <v>214</v>
      </c>
      <c r="E41" s="32"/>
      <c r="F41" s="17"/>
      <c r="G41" s="18">
        <f t="shared" si="1"/>
        <v>0</v>
      </c>
      <c r="H41" s="178"/>
      <c r="I41" s="178"/>
      <c r="J41" s="178"/>
      <c r="K41" s="7"/>
    </row>
    <row r="42" spans="1:18" ht="18" customHeight="1" x14ac:dyDescent="0.25">
      <c r="A42" s="14">
        <f t="shared" si="0"/>
        <v>33</v>
      </c>
      <c r="B42" s="8"/>
      <c r="C42" s="46"/>
      <c r="D42" s="214" t="s">
        <v>214</v>
      </c>
      <c r="E42" s="32"/>
      <c r="F42" s="17"/>
      <c r="G42" s="18">
        <f t="shared" si="1"/>
        <v>0</v>
      </c>
      <c r="H42" s="178"/>
      <c r="I42" s="178"/>
      <c r="J42" s="178"/>
      <c r="K42" s="7"/>
    </row>
    <row r="43" spans="1:18" ht="18" customHeight="1" x14ac:dyDescent="0.25">
      <c r="A43" s="14">
        <f t="shared" si="0"/>
        <v>34</v>
      </c>
      <c r="B43" s="8"/>
      <c r="C43" s="46"/>
      <c r="D43" s="214" t="s">
        <v>214</v>
      </c>
      <c r="E43" s="32"/>
      <c r="F43" s="172"/>
      <c r="G43" s="18">
        <f t="shared" si="1"/>
        <v>0</v>
      </c>
      <c r="H43" s="178"/>
      <c r="I43" s="178"/>
      <c r="J43" s="178"/>
      <c r="K43" s="7"/>
      <c r="R43" s="162"/>
    </row>
    <row r="44" spans="1:18" ht="18" customHeight="1" x14ac:dyDescent="0.25">
      <c r="A44" s="14">
        <f t="shared" si="0"/>
        <v>35</v>
      </c>
      <c r="B44" s="8"/>
      <c r="C44" s="46"/>
      <c r="D44" s="214" t="s">
        <v>214</v>
      </c>
      <c r="E44" s="32"/>
      <c r="F44" s="17"/>
      <c r="G44" s="18">
        <f t="shared" si="1"/>
        <v>0</v>
      </c>
      <c r="H44" s="178"/>
      <c r="I44" s="178"/>
      <c r="J44" s="178"/>
      <c r="K44" s="7"/>
    </row>
    <row r="45" spans="1:18" ht="18" customHeight="1" x14ac:dyDescent="0.25">
      <c r="A45" s="14">
        <f t="shared" si="0"/>
        <v>36</v>
      </c>
      <c r="B45" s="8"/>
      <c r="C45" s="46"/>
      <c r="D45" s="214" t="s">
        <v>214</v>
      </c>
      <c r="E45" s="32"/>
      <c r="F45" s="17"/>
      <c r="G45" s="18">
        <f t="shared" si="1"/>
        <v>0</v>
      </c>
      <c r="H45" s="178"/>
      <c r="I45" s="178"/>
      <c r="J45" s="178"/>
      <c r="K45" s="7"/>
    </row>
    <row r="46" spans="1:18" ht="18" customHeight="1" x14ac:dyDescent="0.25">
      <c r="A46" s="14">
        <f t="shared" si="0"/>
        <v>37</v>
      </c>
      <c r="B46" s="8"/>
      <c r="C46" s="46"/>
      <c r="D46" s="214" t="s">
        <v>214</v>
      </c>
      <c r="E46" s="32"/>
      <c r="F46" s="17"/>
      <c r="G46" s="18">
        <f t="shared" si="1"/>
        <v>0</v>
      </c>
      <c r="H46" s="178"/>
      <c r="I46" s="178"/>
      <c r="J46" s="178"/>
      <c r="K46" s="7"/>
    </row>
    <row r="47" spans="1:18" ht="18" customHeight="1" x14ac:dyDescent="0.25">
      <c r="A47" s="14">
        <f t="shared" si="0"/>
        <v>38</v>
      </c>
      <c r="B47" s="8"/>
      <c r="C47" s="46"/>
      <c r="D47" s="214" t="s">
        <v>214</v>
      </c>
      <c r="E47" s="32"/>
      <c r="F47" s="17"/>
      <c r="G47" s="18">
        <f t="shared" si="1"/>
        <v>0</v>
      </c>
      <c r="H47" s="178"/>
      <c r="I47" s="178"/>
      <c r="J47" s="178"/>
      <c r="K47" s="29"/>
    </row>
    <row r="48" spans="1:18" ht="18" customHeight="1" x14ac:dyDescent="0.25">
      <c r="A48" s="14">
        <f t="shared" si="0"/>
        <v>39</v>
      </c>
      <c r="B48" s="8"/>
      <c r="C48" s="46"/>
      <c r="D48" s="214" t="s">
        <v>214</v>
      </c>
      <c r="E48" s="32"/>
      <c r="F48" s="17"/>
      <c r="G48" s="18">
        <f t="shared" si="1"/>
        <v>0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40</v>
      </c>
      <c r="B49" s="8"/>
      <c r="C49" s="46"/>
      <c r="D49" s="214" t="s">
        <v>214</v>
      </c>
      <c r="E49" s="32"/>
      <c r="F49" s="17"/>
      <c r="G49" s="18">
        <f t="shared" si="1"/>
        <v>0</v>
      </c>
      <c r="H49" s="178"/>
      <c r="I49" s="178"/>
      <c r="J49" s="178"/>
      <c r="K49" s="29"/>
    </row>
    <row r="50" spans="1:18" ht="18" customHeight="1" x14ac:dyDescent="0.25">
      <c r="A50" s="14">
        <f t="shared" si="0"/>
        <v>41</v>
      </c>
      <c r="B50" s="8"/>
      <c r="C50" s="46"/>
      <c r="D50" s="214" t="s">
        <v>214</v>
      </c>
      <c r="E50" s="32"/>
      <c r="F50" s="17"/>
      <c r="G50" s="18">
        <f t="shared" si="1"/>
        <v>0</v>
      </c>
      <c r="H50" s="178"/>
      <c r="I50" s="178"/>
      <c r="J50" s="178"/>
      <c r="K50" s="29"/>
    </row>
    <row r="51" spans="1:18" ht="18" customHeight="1" x14ac:dyDescent="0.25">
      <c r="A51" s="14">
        <f t="shared" si="0"/>
        <v>42</v>
      </c>
      <c r="B51" s="8"/>
      <c r="C51" s="46"/>
      <c r="D51" s="214" t="s">
        <v>214</v>
      </c>
      <c r="E51" s="32"/>
      <c r="F51" s="17"/>
      <c r="G51" s="18">
        <f t="shared" si="1"/>
        <v>0</v>
      </c>
      <c r="H51" s="178"/>
      <c r="I51" s="178"/>
      <c r="J51" s="178"/>
      <c r="K51" s="7"/>
    </row>
    <row r="52" spans="1:18" s="162" customFormat="1" ht="18" customHeight="1" x14ac:dyDescent="0.25">
      <c r="A52" s="14">
        <f t="shared" si="0"/>
        <v>43</v>
      </c>
      <c r="B52" s="174"/>
      <c r="C52" s="236"/>
      <c r="D52" s="214" t="s">
        <v>214</v>
      </c>
      <c r="E52" s="175"/>
      <c r="F52" s="172"/>
      <c r="G52" s="18">
        <f t="shared" si="1"/>
        <v>0</v>
      </c>
      <c r="H52" s="178"/>
      <c r="I52" s="178"/>
      <c r="J52" s="178"/>
      <c r="K52" s="7"/>
      <c r="R52"/>
    </row>
    <row r="53" spans="1:18" ht="18" customHeight="1" x14ac:dyDescent="0.25">
      <c r="A53" s="14">
        <f t="shared" si="0"/>
        <v>44</v>
      </c>
      <c r="B53" s="8"/>
      <c r="C53" s="46"/>
      <c r="D53" s="214" t="s">
        <v>214</v>
      </c>
      <c r="E53" s="32"/>
      <c r="F53" s="17"/>
      <c r="G53" s="18">
        <f t="shared" si="1"/>
        <v>0</v>
      </c>
      <c r="H53" s="239"/>
      <c r="I53" s="239"/>
      <c r="J53" s="239"/>
      <c r="K53" s="7"/>
    </row>
    <row r="54" spans="1:18" ht="18" customHeight="1" x14ac:dyDescent="0.25">
      <c r="A54" s="14">
        <f t="shared" si="0"/>
        <v>45</v>
      </c>
      <c r="B54" s="8"/>
      <c r="C54" s="46"/>
      <c r="D54" s="214" t="s">
        <v>214</v>
      </c>
      <c r="E54" s="32"/>
      <c r="F54" s="17"/>
      <c r="G54" s="18">
        <f t="shared" si="1"/>
        <v>0</v>
      </c>
      <c r="H54" s="239"/>
      <c r="I54" s="239"/>
      <c r="J54" s="239"/>
      <c r="K54" s="7"/>
    </row>
    <row r="55" spans="1:18" ht="18" customHeight="1" x14ac:dyDescent="0.25">
      <c r="A55" s="14">
        <f t="shared" si="0"/>
        <v>46</v>
      </c>
      <c r="B55" s="8"/>
      <c r="C55" s="46"/>
      <c r="D55" s="214" t="s">
        <v>214</v>
      </c>
      <c r="E55" s="32"/>
      <c r="F55" s="17"/>
      <c r="G55" s="18">
        <f t="shared" si="1"/>
        <v>0</v>
      </c>
      <c r="H55" s="239"/>
      <c r="I55" s="239"/>
      <c r="J55" s="239"/>
      <c r="K55" s="7"/>
    </row>
    <row r="56" spans="1:18" ht="18" customHeight="1" x14ac:dyDescent="0.25">
      <c r="A56" s="14">
        <f t="shared" si="0"/>
        <v>47</v>
      </c>
      <c r="B56" s="8"/>
      <c r="C56" s="46"/>
      <c r="D56" s="214" t="s">
        <v>214</v>
      </c>
      <c r="E56" s="32"/>
      <c r="F56" s="17"/>
      <c r="G56" s="18">
        <f t="shared" si="1"/>
        <v>0</v>
      </c>
      <c r="H56" s="28"/>
      <c r="I56" s="28"/>
      <c r="J56" s="28"/>
      <c r="K56" s="7"/>
    </row>
    <row r="57" spans="1:18" ht="18" customHeight="1" x14ac:dyDescent="0.25">
      <c r="A57" s="14">
        <f t="shared" si="0"/>
        <v>48</v>
      </c>
      <c r="B57" s="8"/>
      <c r="C57" s="46"/>
      <c r="D57" s="214" t="s">
        <v>214</v>
      </c>
      <c r="E57" s="32"/>
      <c r="F57" s="17"/>
      <c r="G57" s="18">
        <f t="shared" si="1"/>
        <v>0</v>
      </c>
      <c r="H57" s="240"/>
      <c r="I57" s="240"/>
      <c r="J57" s="240"/>
      <c r="K57" s="7"/>
    </row>
    <row r="58" spans="1:18" ht="18" customHeight="1" x14ac:dyDescent="0.25">
      <c r="A58" s="14">
        <f t="shared" si="0"/>
        <v>49</v>
      </c>
      <c r="B58" s="8"/>
      <c r="C58" s="46"/>
      <c r="D58" s="214" t="s">
        <v>214</v>
      </c>
      <c r="E58" s="32"/>
      <c r="F58" s="17"/>
      <c r="G58" s="18">
        <f t="shared" si="1"/>
        <v>0</v>
      </c>
      <c r="H58" s="240"/>
      <c r="I58" s="240"/>
      <c r="J58" s="240"/>
      <c r="K58" s="7"/>
    </row>
    <row r="59" spans="1:18" ht="18" customHeight="1" x14ac:dyDescent="0.25">
      <c r="A59" s="14">
        <f t="shared" si="0"/>
        <v>50</v>
      </c>
      <c r="B59" s="8"/>
      <c r="C59" s="46"/>
      <c r="D59" s="214" t="s">
        <v>214</v>
      </c>
      <c r="E59" s="32"/>
      <c r="F59" s="17"/>
      <c r="G59" s="18">
        <f t="shared" si="1"/>
        <v>0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51</v>
      </c>
      <c r="B60" s="8"/>
      <c r="C60" s="46"/>
      <c r="D60" s="214" t="s">
        <v>214</v>
      </c>
      <c r="E60" s="32"/>
      <c r="F60" s="17"/>
      <c r="G60" s="18">
        <f t="shared" si="1"/>
        <v>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52</v>
      </c>
      <c r="B61" s="8"/>
      <c r="C61" s="46"/>
      <c r="D61" s="214" t="s">
        <v>214</v>
      </c>
      <c r="E61" s="32"/>
      <c r="F61" s="17"/>
      <c r="G61" s="18">
        <f t="shared" si="1"/>
        <v>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53</v>
      </c>
      <c r="B62" s="8"/>
      <c r="C62" s="46"/>
      <c r="D62" s="214" t="s">
        <v>214</v>
      </c>
      <c r="E62" s="32"/>
      <c r="F62" s="17"/>
      <c r="G62" s="18">
        <f t="shared" si="1"/>
        <v>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54</v>
      </c>
      <c r="B63" s="8"/>
      <c r="C63" s="46"/>
      <c r="D63" s="214" t="s">
        <v>214</v>
      </c>
      <c r="E63" s="32"/>
      <c r="F63" s="17"/>
      <c r="G63" s="18">
        <f t="shared" si="1"/>
        <v>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55</v>
      </c>
      <c r="B64" s="8"/>
      <c r="C64" s="46"/>
      <c r="D64" s="214" t="s">
        <v>214</v>
      </c>
      <c r="E64" s="32"/>
      <c r="F64" s="17"/>
      <c r="G64" s="18">
        <f t="shared" si="1"/>
        <v>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56</v>
      </c>
      <c r="B65" s="8"/>
      <c r="C65" s="46"/>
      <c r="D65" s="214" t="s">
        <v>214</v>
      </c>
      <c r="E65" s="32"/>
      <c r="F65" s="17"/>
      <c r="G65" s="18">
        <f t="shared" si="1"/>
        <v>0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57</v>
      </c>
      <c r="B66" s="8"/>
      <c r="C66" s="46"/>
      <c r="D66" s="214" t="s">
        <v>214</v>
      </c>
      <c r="E66" s="32"/>
      <c r="F66" s="17"/>
      <c r="G66" s="18">
        <f t="shared" si="1"/>
        <v>0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58</v>
      </c>
      <c r="B67" s="8"/>
      <c r="C67" s="46"/>
      <c r="D67" s="214" t="s">
        <v>214</v>
      </c>
      <c r="E67" s="32"/>
      <c r="F67" s="17"/>
      <c r="G67" s="18">
        <f t="shared" si="1"/>
        <v>0</v>
      </c>
      <c r="H67" s="240"/>
      <c r="I67" s="240"/>
      <c r="J67" s="240"/>
      <c r="K67" s="7" t="s">
        <v>14</v>
      </c>
      <c r="L67" s="26"/>
    </row>
    <row r="68" spans="1:12" ht="18" customHeight="1" x14ac:dyDescent="0.25">
      <c r="A68" s="14">
        <f t="shared" si="0"/>
        <v>59</v>
      </c>
      <c r="B68" s="8"/>
      <c r="C68" s="46"/>
      <c r="D68" s="214" t="s">
        <v>214</v>
      </c>
      <c r="E68" s="32"/>
      <c r="F68" s="17"/>
      <c r="G68" s="18">
        <f t="shared" si="1"/>
        <v>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60</v>
      </c>
      <c r="B69" s="8"/>
      <c r="C69" s="46"/>
      <c r="D69" s="214" t="s">
        <v>214</v>
      </c>
      <c r="E69" s="32"/>
      <c r="F69" s="17"/>
      <c r="G69" s="18">
        <f t="shared" si="1"/>
        <v>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61</v>
      </c>
      <c r="B70" s="8"/>
      <c r="C70" s="46"/>
      <c r="D70" s="214" t="s">
        <v>214</v>
      </c>
      <c r="E70" s="32"/>
      <c r="F70" s="17"/>
      <c r="G70" s="18">
        <f t="shared" si="1"/>
        <v>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62</v>
      </c>
      <c r="B71" s="8"/>
      <c r="C71" s="46"/>
      <c r="D71" s="214" t="s">
        <v>214</v>
      </c>
      <c r="E71" s="32"/>
      <c r="F71" s="17"/>
      <c r="G71" s="18">
        <f t="shared" si="1"/>
        <v>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63</v>
      </c>
      <c r="B72" s="8"/>
      <c r="C72" s="46"/>
      <c r="D72" s="214" t="s">
        <v>214</v>
      </c>
      <c r="E72" s="32"/>
      <c r="F72" s="17"/>
      <c r="G72" s="18">
        <f t="shared" si="1"/>
        <v>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64</v>
      </c>
      <c r="B73" s="8"/>
      <c r="C73" s="46"/>
      <c r="D73" s="214" t="s">
        <v>214</v>
      </c>
      <c r="E73" s="32"/>
      <c r="F73" s="17"/>
      <c r="G73" s="18">
        <f t="shared" si="1"/>
        <v>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9" si="2">+A73+1</f>
        <v>65</v>
      </c>
      <c r="B74" s="8"/>
      <c r="C74" s="46"/>
      <c r="D74" s="214" t="s">
        <v>214</v>
      </c>
      <c r="E74" s="32"/>
      <c r="F74" s="17"/>
      <c r="G74" s="18">
        <f t="shared" ref="G74:G109" si="3">+G73+E74-F74</f>
        <v>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66</v>
      </c>
      <c r="B75" s="8"/>
      <c r="C75" s="46"/>
      <c r="D75" s="214" t="s">
        <v>214</v>
      </c>
      <c r="E75" s="32"/>
      <c r="F75" s="17"/>
      <c r="G75" s="18">
        <f t="shared" si="3"/>
        <v>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67</v>
      </c>
      <c r="B76" s="8"/>
      <c r="C76" s="46"/>
      <c r="D76" s="214" t="s">
        <v>214</v>
      </c>
      <c r="E76" s="32"/>
      <c r="F76" s="17"/>
      <c r="G76" s="18">
        <f t="shared" si="3"/>
        <v>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68</v>
      </c>
      <c r="B77" s="8"/>
      <c r="C77" s="46"/>
      <c r="D77" s="214" t="s">
        <v>214</v>
      </c>
      <c r="E77" s="32"/>
      <c r="F77" s="17"/>
      <c r="G77" s="18">
        <f t="shared" si="3"/>
        <v>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69</v>
      </c>
      <c r="B78" s="8"/>
      <c r="C78" s="46"/>
      <c r="D78" s="214" t="s">
        <v>214</v>
      </c>
      <c r="E78" s="32"/>
      <c r="F78" s="17"/>
      <c r="G78" s="18">
        <f t="shared" si="3"/>
        <v>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70</v>
      </c>
      <c r="B79" s="8"/>
      <c r="C79" s="46"/>
      <c r="D79" s="214" t="s">
        <v>214</v>
      </c>
      <c r="E79" s="32"/>
      <c r="F79" s="17"/>
      <c r="G79" s="18">
        <f t="shared" si="3"/>
        <v>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71</v>
      </c>
      <c r="B80" s="8"/>
      <c r="C80" s="46"/>
      <c r="D80" s="214" t="s">
        <v>214</v>
      </c>
      <c r="E80" s="32"/>
      <c r="F80" s="17"/>
      <c r="G80" s="18">
        <f t="shared" si="3"/>
        <v>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72</v>
      </c>
      <c r="B81" s="8"/>
      <c r="C81" s="46"/>
      <c r="D81" s="214" t="s">
        <v>214</v>
      </c>
      <c r="E81" s="32"/>
      <c r="F81" s="17"/>
      <c r="G81" s="18">
        <f t="shared" si="3"/>
        <v>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73</v>
      </c>
      <c r="B82" s="8"/>
      <c r="C82" s="46"/>
      <c r="D82" s="214" t="s">
        <v>214</v>
      </c>
      <c r="E82" s="32"/>
      <c r="F82" s="17"/>
      <c r="G82" s="18">
        <f t="shared" si="3"/>
        <v>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74</v>
      </c>
      <c r="B83" s="8"/>
      <c r="C83" s="46"/>
      <c r="D83" s="214" t="s">
        <v>214</v>
      </c>
      <c r="E83" s="32"/>
      <c r="F83" s="17"/>
      <c r="G83" s="18">
        <f t="shared" si="3"/>
        <v>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75</v>
      </c>
      <c r="B84" s="8"/>
      <c r="C84" s="46"/>
      <c r="D84" s="214" t="s">
        <v>214</v>
      </c>
      <c r="E84" s="32"/>
      <c r="F84" s="17"/>
      <c r="G84" s="18">
        <f t="shared" si="3"/>
        <v>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76</v>
      </c>
      <c r="B85" s="8"/>
      <c r="C85" s="46"/>
      <c r="D85" s="214" t="s">
        <v>214</v>
      </c>
      <c r="E85" s="32"/>
      <c r="F85" s="27"/>
      <c r="G85" s="18">
        <f t="shared" si="3"/>
        <v>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77</v>
      </c>
      <c r="B86" s="8"/>
      <c r="C86" s="46"/>
      <c r="D86" s="214" t="s">
        <v>214</v>
      </c>
      <c r="E86" s="32"/>
      <c r="F86" s="17"/>
      <c r="G86" s="18">
        <f t="shared" si="3"/>
        <v>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78</v>
      </c>
      <c r="B87" s="8"/>
      <c r="C87" s="46"/>
      <c r="D87" s="214" t="s">
        <v>214</v>
      </c>
      <c r="E87" s="32"/>
      <c r="F87" s="17"/>
      <c r="G87" s="18">
        <f t="shared" si="3"/>
        <v>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79</v>
      </c>
      <c r="B88" s="8"/>
      <c r="C88" s="46"/>
      <c r="D88" s="214" t="s">
        <v>214</v>
      </c>
      <c r="E88" s="32"/>
      <c r="F88" s="17"/>
      <c r="G88" s="18">
        <f t="shared" si="3"/>
        <v>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80</v>
      </c>
      <c r="B89" s="8"/>
      <c r="C89" s="46"/>
      <c r="D89" s="214" t="s">
        <v>214</v>
      </c>
      <c r="E89" s="32"/>
      <c r="F89" s="17"/>
      <c r="G89" s="18">
        <f t="shared" si="3"/>
        <v>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81</v>
      </c>
      <c r="B90" s="8"/>
      <c r="C90" s="46"/>
      <c r="D90" s="214" t="s">
        <v>214</v>
      </c>
      <c r="E90" s="32"/>
      <c r="F90" s="17"/>
      <c r="G90" s="18">
        <f t="shared" si="3"/>
        <v>0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2"/>
        <v>82</v>
      </c>
      <c r="B91" s="8"/>
      <c r="C91" s="46"/>
      <c r="D91" s="214" t="s">
        <v>214</v>
      </c>
      <c r="E91" s="32"/>
      <c r="F91" s="17"/>
      <c r="G91" s="18">
        <f t="shared" si="3"/>
        <v>0</v>
      </c>
      <c r="H91" s="240"/>
      <c r="I91" s="240"/>
      <c r="J91" s="240"/>
      <c r="K91" s="7" t="s">
        <v>14</v>
      </c>
    </row>
    <row r="92" spans="1:19" ht="18" customHeight="1" x14ac:dyDescent="0.25">
      <c r="A92" s="14">
        <f t="shared" si="2"/>
        <v>83</v>
      </c>
      <c r="B92" s="8"/>
      <c r="C92" s="46"/>
      <c r="D92" s="214" t="s">
        <v>214</v>
      </c>
      <c r="E92" s="32"/>
      <c r="F92" s="17"/>
      <c r="G92" s="18">
        <f t="shared" si="3"/>
        <v>0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2"/>
        <v>84</v>
      </c>
      <c r="B93" s="8"/>
      <c r="C93" s="46"/>
      <c r="D93" s="214" t="s">
        <v>214</v>
      </c>
      <c r="E93" s="32"/>
      <c r="F93" s="27"/>
      <c r="G93" s="18">
        <f t="shared" si="3"/>
        <v>0</v>
      </c>
      <c r="H93" s="240"/>
      <c r="I93" s="240"/>
      <c r="J93" s="240"/>
      <c r="K93" s="7" t="s">
        <v>14</v>
      </c>
      <c r="N93" s="199"/>
      <c r="S93" s="199"/>
    </row>
    <row r="94" spans="1:19" ht="18" customHeight="1" x14ac:dyDescent="0.25">
      <c r="A94" s="14">
        <f t="shared" si="2"/>
        <v>85</v>
      </c>
      <c r="B94" s="8"/>
      <c r="C94" s="46"/>
      <c r="D94" s="214" t="s">
        <v>214</v>
      </c>
      <c r="E94" s="32"/>
      <c r="F94" s="27"/>
      <c r="G94" s="18">
        <f t="shared" si="3"/>
        <v>0</v>
      </c>
      <c r="H94" s="240"/>
      <c r="I94" s="240"/>
      <c r="J94" s="240"/>
      <c r="K94" s="7" t="s">
        <v>14</v>
      </c>
      <c r="N94" s="199"/>
      <c r="S94" s="199"/>
    </row>
    <row r="95" spans="1:19" s="179" customFormat="1" ht="18" customHeight="1" x14ac:dyDescent="0.25">
      <c r="A95" s="14">
        <f t="shared" si="2"/>
        <v>86</v>
      </c>
      <c r="B95" s="242"/>
      <c r="C95" s="243"/>
      <c r="D95" s="214" t="s">
        <v>214</v>
      </c>
      <c r="E95" s="245"/>
      <c r="F95" s="52"/>
      <c r="G95" s="18">
        <f t="shared" si="3"/>
        <v>0</v>
      </c>
      <c r="H95" s="240"/>
      <c r="I95" s="240"/>
      <c r="J95" s="240"/>
      <c r="K95" s="247" t="s">
        <v>14</v>
      </c>
      <c r="L95" s="179" t="s">
        <v>43</v>
      </c>
      <c r="N95" s="248"/>
      <c r="S95" s="248"/>
    </row>
    <row r="96" spans="1:19" s="179" customFormat="1" ht="18" customHeight="1" x14ac:dyDescent="0.25">
      <c r="A96" s="14">
        <f t="shared" si="2"/>
        <v>87</v>
      </c>
      <c r="B96" s="242"/>
      <c r="C96" s="243"/>
      <c r="D96" s="214" t="s">
        <v>214</v>
      </c>
      <c r="E96" s="245"/>
      <c r="F96" s="52"/>
      <c r="G96" s="18">
        <f t="shared" si="3"/>
        <v>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2"/>
        <v>88</v>
      </c>
      <c r="B97" s="242"/>
      <c r="C97" s="243"/>
      <c r="D97" s="214" t="s">
        <v>214</v>
      </c>
      <c r="E97" s="245"/>
      <c r="F97" s="52"/>
      <c r="G97" s="18">
        <f t="shared" si="3"/>
        <v>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2"/>
        <v>89</v>
      </c>
      <c r="B98" s="242"/>
      <c r="C98" s="243"/>
      <c r="D98" s="214" t="s">
        <v>214</v>
      </c>
      <c r="E98" s="245"/>
      <c r="F98" s="52"/>
      <c r="G98" s="18">
        <f t="shared" si="3"/>
        <v>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2"/>
        <v>90</v>
      </c>
      <c r="B99" s="242"/>
      <c r="C99" s="243"/>
      <c r="D99" s="214" t="s">
        <v>214</v>
      </c>
      <c r="E99" s="245"/>
      <c r="F99" s="52"/>
      <c r="G99" s="18">
        <f t="shared" si="3"/>
        <v>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2"/>
        <v>91</v>
      </c>
      <c r="B100" s="242"/>
      <c r="C100" s="243"/>
      <c r="D100" s="214" t="s">
        <v>214</v>
      </c>
      <c r="E100" s="245"/>
      <c r="F100" s="52"/>
      <c r="G100" s="18">
        <f t="shared" si="3"/>
        <v>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2"/>
        <v>92</v>
      </c>
      <c r="B101" s="242"/>
      <c r="C101" s="243"/>
      <c r="D101" s="214" t="s">
        <v>214</v>
      </c>
      <c r="E101" s="245"/>
      <c r="F101" s="52"/>
      <c r="G101" s="18">
        <f t="shared" si="3"/>
        <v>0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2"/>
        <v>93</v>
      </c>
      <c r="B102" s="242"/>
      <c r="C102" s="243"/>
      <c r="D102" s="214" t="s">
        <v>214</v>
      </c>
      <c r="E102" s="245"/>
      <c r="F102" s="52"/>
      <c r="G102" s="18">
        <f t="shared" si="3"/>
        <v>0</v>
      </c>
      <c r="H102" s="240"/>
      <c r="I102" s="240"/>
      <c r="J102" s="240"/>
      <c r="K102" s="247" t="s">
        <v>14</v>
      </c>
      <c r="N102" s="248"/>
      <c r="S102" s="248"/>
    </row>
    <row r="103" spans="1:19" s="179" customFormat="1" ht="18" customHeight="1" x14ac:dyDescent="0.25">
      <c r="A103" s="14">
        <f t="shared" si="2"/>
        <v>94</v>
      </c>
      <c r="B103" s="242"/>
      <c r="C103" s="243"/>
      <c r="D103" s="214" t="s">
        <v>214</v>
      </c>
      <c r="E103" s="245"/>
      <c r="F103" s="52"/>
      <c r="G103" s="18">
        <f t="shared" si="3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2"/>
        <v>95</v>
      </c>
      <c r="B104" s="242"/>
      <c r="C104" s="243"/>
      <c r="D104" s="244"/>
      <c r="E104" s="245"/>
      <c r="F104" s="52"/>
      <c r="G104" s="18">
        <f t="shared" si="3"/>
        <v>0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2"/>
        <v>96</v>
      </c>
      <c r="B105" s="242"/>
      <c r="C105" s="243"/>
      <c r="D105" s="244"/>
      <c r="E105" s="245"/>
      <c r="F105" s="52"/>
      <c r="G105" s="18">
        <f t="shared" si="3"/>
        <v>0</v>
      </c>
      <c r="H105" s="240"/>
      <c r="I105" s="240"/>
      <c r="J105" s="240"/>
      <c r="K105" s="247"/>
      <c r="N105" s="248"/>
      <c r="S105" s="248"/>
    </row>
    <row r="106" spans="1:19" s="179" customFormat="1" ht="18" customHeight="1" x14ac:dyDescent="0.25">
      <c r="A106" s="14">
        <f t="shared" si="2"/>
        <v>97</v>
      </c>
      <c r="B106" s="242"/>
      <c r="C106" s="243"/>
      <c r="D106" s="244"/>
      <c r="E106" s="245"/>
      <c r="F106" s="52"/>
      <c r="G106" s="18">
        <f t="shared" si="3"/>
        <v>0</v>
      </c>
      <c r="H106" s="240"/>
      <c r="I106" s="240"/>
      <c r="J106" s="240"/>
      <c r="K106" s="247"/>
      <c r="N106" s="248"/>
      <c r="S106" s="248"/>
    </row>
    <row r="107" spans="1:19" ht="18" customHeight="1" x14ac:dyDescent="0.25">
      <c r="A107" s="14">
        <f t="shared" si="2"/>
        <v>98</v>
      </c>
      <c r="B107" s="8"/>
      <c r="C107" s="46"/>
      <c r="D107" s="214"/>
      <c r="E107" s="32"/>
      <c r="F107" s="27"/>
      <c r="G107" s="18">
        <f t="shared" si="3"/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2"/>
        <v>99</v>
      </c>
      <c r="B108" s="8"/>
      <c r="C108" s="46"/>
      <c r="D108" s="214"/>
      <c r="E108" s="32"/>
      <c r="F108" s="27"/>
      <c r="G108" s="18">
        <f t="shared" si="3"/>
        <v>0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14">
        <f t="shared" si="2"/>
        <v>100</v>
      </c>
      <c r="B109" s="37"/>
      <c r="C109" s="46"/>
      <c r="D109" s="10"/>
      <c r="E109" s="32"/>
      <c r="F109" s="27"/>
      <c r="G109" s="18">
        <f t="shared" si="3"/>
        <v>0</v>
      </c>
      <c r="H109" s="28"/>
      <c r="I109" s="28"/>
      <c r="J109" s="28"/>
      <c r="K109" s="7"/>
      <c r="N109" s="199"/>
      <c r="S109" s="199"/>
    </row>
    <row r="110" spans="1:19" ht="18" customHeight="1" x14ac:dyDescent="0.25">
      <c r="A110" s="7"/>
      <c r="B110" s="7"/>
      <c r="C110" s="34" t="s">
        <v>13</v>
      </c>
      <c r="D110" s="14"/>
      <c r="E110" s="35">
        <f>SUM(E8:E109)</f>
        <v>0</v>
      </c>
      <c r="F110" s="35">
        <f>SUM(F8:F109)</f>
        <v>219</v>
      </c>
      <c r="G110" s="35">
        <f>+E110-F110+G8</f>
        <v>0</v>
      </c>
      <c r="H110" s="35"/>
      <c r="I110" s="35"/>
      <c r="J110" s="35">
        <f>SUM(J9:J109)</f>
        <v>558.5</v>
      </c>
      <c r="K110" s="36"/>
    </row>
    <row r="111" spans="1:19" ht="18" customHeight="1" x14ac:dyDescent="0.25"/>
    <row r="114" spans="5:11" x14ac:dyDescent="0.25">
      <c r="E114" s="201"/>
      <c r="F114" s="201"/>
      <c r="G114" s="201"/>
      <c r="H114" s="201"/>
      <c r="I114" s="201"/>
      <c r="J114" s="201"/>
    </row>
    <row r="115" spans="5:11" x14ac:dyDescent="0.25">
      <c r="F115" s="26"/>
    </row>
    <row r="116" spans="5:11" x14ac:dyDescent="0.25">
      <c r="E116" s="26"/>
      <c r="F116" s="26"/>
      <c r="G116" s="26"/>
      <c r="H116" s="26"/>
      <c r="I116" s="26"/>
      <c r="J116" s="26"/>
      <c r="K116" s="26"/>
    </row>
    <row r="117" spans="5:11" x14ac:dyDescent="0.25">
      <c r="K117" s="202"/>
    </row>
    <row r="118" spans="5:11" x14ac:dyDescent="0.25">
      <c r="E118" s="199"/>
    </row>
    <row r="119" spans="5:11" x14ac:dyDescent="0.25">
      <c r="E119" s="26"/>
      <c r="F119" s="26"/>
    </row>
    <row r="120" spans="5:11" x14ac:dyDescent="0.25">
      <c r="E120" s="203"/>
      <c r="F120" s="204"/>
      <c r="G120" s="203"/>
      <c r="H120" s="203"/>
      <c r="I120" s="203"/>
      <c r="J120" s="203"/>
    </row>
    <row r="121" spans="5:11" x14ac:dyDescent="0.25">
      <c r="F121" s="26"/>
    </row>
  </sheetData>
  <mergeCells count="1">
    <mergeCell ref="A4:K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1C44-445B-4A54-8069-EE1BCF51BEEA}">
  <sheetPr codeName="Sheet109"/>
  <dimension ref="A1:S121"/>
  <sheetViews>
    <sheetView workbookViewId="0">
      <selection activeCell="F25" sqref="F25"/>
    </sheetView>
  </sheetViews>
  <sheetFormatPr defaultRowHeight="15" x14ac:dyDescent="0.25"/>
  <cols>
    <col min="1" max="1" width="6" customWidth="1"/>
    <col min="2" max="2" width="11.5703125" customWidth="1"/>
    <col min="3" max="3" width="44.42578125" customWidth="1"/>
    <col min="4" max="4" width="6.5703125" customWidth="1"/>
    <col min="5" max="6" width="11.42578125" customWidth="1"/>
    <col min="7" max="7" width="11.7109375" customWidth="1"/>
    <col min="8" max="8" width="21.140625" customWidth="1"/>
    <col min="9" max="9" width="8.5703125" customWidth="1"/>
    <col min="10" max="10" width="11.42578125" customWidth="1"/>
    <col min="11" max="11" width="14.85546875" customWidth="1"/>
    <col min="13" max="13" width="9.85546875" bestFit="1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323</v>
      </c>
      <c r="J7" s="6" t="s">
        <v>321</v>
      </c>
      <c r="K7" s="4" t="s">
        <v>10</v>
      </c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>
        <v>302</v>
      </c>
      <c r="H8" s="7"/>
      <c r="I8" s="7"/>
      <c r="J8" s="7"/>
      <c r="K8" s="7"/>
    </row>
    <row r="9" spans="1:14" ht="17.25" customHeight="1" x14ac:dyDescent="0.25">
      <c r="A9" s="14">
        <v>1</v>
      </c>
      <c r="B9" s="8">
        <v>45719</v>
      </c>
      <c r="C9" s="46" t="s">
        <v>362</v>
      </c>
      <c r="D9" s="214" t="s">
        <v>214</v>
      </c>
      <c r="E9" s="30"/>
      <c r="F9" s="27">
        <v>37</v>
      </c>
      <c r="G9" s="18">
        <f>+G8+E9-F9</f>
        <v>265</v>
      </c>
      <c r="H9" s="28" t="s">
        <v>129</v>
      </c>
      <c r="I9" s="28">
        <f>+F9*0.48</f>
        <v>17.759999999999998</v>
      </c>
      <c r="J9" s="28"/>
      <c r="K9" s="7"/>
      <c r="L9" s="392"/>
    </row>
    <row r="10" spans="1:14" ht="17.25" customHeight="1" x14ac:dyDescent="0.25">
      <c r="A10" s="14">
        <f t="shared" ref="A10:A73" si="0">+A9+1</f>
        <v>2</v>
      </c>
      <c r="B10" s="8">
        <v>45720</v>
      </c>
      <c r="C10" s="46" t="s">
        <v>324</v>
      </c>
      <c r="D10" s="214" t="s">
        <v>214</v>
      </c>
      <c r="E10" s="30"/>
      <c r="F10" s="27">
        <v>237</v>
      </c>
      <c r="G10" s="18">
        <f t="shared" ref="G10:G73" si="1">+G9+E10-F10</f>
        <v>28</v>
      </c>
      <c r="H10" s="28" t="s">
        <v>129</v>
      </c>
      <c r="I10" s="347">
        <f>+F10*0.48</f>
        <v>113.75999999999999</v>
      </c>
      <c r="J10" s="28"/>
      <c r="K10" s="7" t="s">
        <v>90</v>
      </c>
    </row>
    <row r="11" spans="1:14" ht="17.25" customHeight="1" x14ac:dyDescent="0.25">
      <c r="A11" s="14"/>
      <c r="B11" s="8">
        <v>45720</v>
      </c>
      <c r="C11" s="46" t="s">
        <v>332</v>
      </c>
      <c r="D11" s="214" t="s">
        <v>214</v>
      </c>
      <c r="E11" s="30">
        <v>1014</v>
      </c>
      <c r="F11" s="27"/>
      <c r="G11" s="18">
        <f t="shared" si="1"/>
        <v>1042</v>
      </c>
      <c r="H11" s="28" t="s">
        <v>129</v>
      </c>
      <c r="I11" s="347"/>
      <c r="J11" s="382">
        <v>471</v>
      </c>
      <c r="K11" s="7"/>
      <c r="L11" s="392"/>
    </row>
    <row r="12" spans="1:14" ht="18" customHeight="1" x14ac:dyDescent="0.25">
      <c r="A12" s="14">
        <f>+A10+1</f>
        <v>3</v>
      </c>
      <c r="B12" s="8">
        <v>45721</v>
      </c>
      <c r="C12" s="46" t="s">
        <v>324</v>
      </c>
      <c r="D12" s="214" t="s">
        <v>214</v>
      </c>
      <c r="E12" s="16"/>
      <c r="F12" s="27">
        <v>350</v>
      </c>
      <c r="G12" s="18">
        <f t="shared" si="1"/>
        <v>692</v>
      </c>
      <c r="H12" s="28" t="s">
        <v>129</v>
      </c>
      <c r="I12" s="28">
        <f>+F12*L12</f>
        <v>162.5739644970414</v>
      </c>
      <c r="J12" s="28"/>
      <c r="K12" s="7" t="s">
        <v>90</v>
      </c>
      <c r="L12" s="149">
        <f>+J11/E11</f>
        <v>0.46449704142011833</v>
      </c>
    </row>
    <row r="13" spans="1:14" ht="18" customHeight="1" x14ac:dyDescent="0.25">
      <c r="A13" s="14">
        <f t="shared" si="0"/>
        <v>4</v>
      </c>
      <c r="B13" s="8">
        <v>45787</v>
      </c>
      <c r="C13" s="46" t="s">
        <v>332</v>
      </c>
      <c r="D13" s="214" t="s">
        <v>214</v>
      </c>
      <c r="E13" s="16"/>
      <c r="F13" s="17">
        <v>10</v>
      </c>
      <c r="G13" s="18">
        <f t="shared" si="1"/>
        <v>682</v>
      </c>
      <c r="H13" s="28" t="s">
        <v>129</v>
      </c>
      <c r="I13" s="28">
        <f>+F13*L12</f>
        <v>4.6449704142011834</v>
      </c>
      <c r="J13" s="28"/>
      <c r="K13" s="7" t="s">
        <v>90</v>
      </c>
      <c r="L13" s="26"/>
    </row>
    <row r="14" spans="1:14" ht="18" customHeight="1" x14ac:dyDescent="0.25">
      <c r="A14" s="14">
        <f t="shared" si="0"/>
        <v>5</v>
      </c>
      <c r="B14" s="205">
        <v>45818</v>
      </c>
      <c r="C14" s="46" t="s">
        <v>332</v>
      </c>
      <c r="D14" s="214" t="s">
        <v>214</v>
      </c>
      <c r="E14" s="16"/>
      <c r="F14" s="17">
        <v>212</v>
      </c>
      <c r="G14" s="18">
        <f t="shared" si="1"/>
        <v>470</v>
      </c>
      <c r="H14" s="28" t="s">
        <v>91</v>
      </c>
      <c r="I14" s="28">
        <f>+F14*L12</f>
        <v>98.473372781065081</v>
      </c>
      <c r="J14" s="28"/>
      <c r="K14" s="7" t="s">
        <v>90</v>
      </c>
      <c r="L14" s="26"/>
    </row>
    <row r="15" spans="1:14" ht="18" customHeight="1" x14ac:dyDescent="0.25">
      <c r="A15" s="14">
        <f t="shared" si="0"/>
        <v>6</v>
      </c>
      <c r="B15" s="8">
        <v>45819</v>
      </c>
      <c r="C15" s="46" t="s">
        <v>332</v>
      </c>
      <c r="D15" s="214" t="s">
        <v>214</v>
      </c>
      <c r="E15" s="16"/>
      <c r="F15" s="27">
        <v>432</v>
      </c>
      <c r="G15" s="18">
        <f t="shared" si="1"/>
        <v>38</v>
      </c>
      <c r="H15" s="28" t="s">
        <v>91</v>
      </c>
      <c r="I15" s="28">
        <f>+F15*L12</f>
        <v>200.66272189349112</v>
      </c>
      <c r="J15" s="28"/>
      <c r="K15" s="7" t="s">
        <v>90</v>
      </c>
      <c r="N15" t="s">
        <v>368</v>
      </c>
    </row>
    <row r="16" spans="1:14" ht="18" customHeight="1" x14ac:dyDescent="0.25">
      <c r="A16" s="14">
        <f t="shared" si="0"/>
        <v>7</v>
      </c>
      <c r="B16" s="8">
        <v>45838</v>
      </c>
      <c r="C16" s="46" t="s">
        <v>332</v>
      </c>
      <c r="D16" s="214" t="s">
        <v>214</v>
      </c>
      <c r="E16" s="16">
        <v>613</v>
      </c>
      <c r="F16" s="27"/>
      <c r="G16" s="18">
        <f t="shared" si="1"/>
        <v>651</v>
      </c>
      <c r="H16" s="28" t="s">
        <v>91</v>
      </c>
      <c r="I16" s="28"/>
      <c r="J16" s="28">
        <v>280</v>
      </c>
      <c r="K16" s="7" t="s">
        <v>90</v>
      </c>
      <c r="L16" s="26"/>
    </row>
    <row r="17" spans="1:16" ht="18" customHeight="1" x14ac:dyDescent="0.25">
      <c r="A17" s="14">
        <f t="shared" si="0"/>
        <v>8</v>
      </c>
      <c r="B17" s="8">
        <v>45839</v>
      </c>
      <c r="C17" s="46" t="s">
        <v>332</v>
      </c>
      <c r="D17" s="214" t="s">
        <v>214</v>
      </c>
      <c r="E17" s="16"/>
      <c r="F17" s="27">
        <v>147</v>
      </c>
      <c r="G17" s="18">
        <f t="shared" si="1"/>
        <v>504</v>
      </c>
      <c r="H17" s="28" t="s">
        <v>91</v>
      </c>
      <c r="I17" s="28"/>
      <c r="J17" s="28"/>
      <c r="K17" s="7"/>
      <c r="L17" s="26"/>
    </row>
    <row r="18" spans="1:16" ht="18" customHeight="1" x14ac:dyDescent="0.25">
      <c r="A18" s="14">
        <f t="shared" si="0"/>
        <v>9</v>
      </c>
      <c r="B18" s="8">
        <v>45840</v>
      </c>
      <c r="C18" s="46" t="s">
        <v>324</v>
      </c>
      <c r="D18" s="214" t="s">
        <v>214</v>
      </c>
      <c r="E18" s="16"/>
      <c r="F18" s="27">
        <v>245</v>
      </c>
      <c r="G18" s="18">
        <f t="shared" si="1"/>
        <v>259</v>
      </c>
      <c r="H18" s="28" t="s">
        <v>91</v>
      </c>
      <c r="I18" s="28"/>
      <c r="J18" s="28"/>
      <c r="K18" s="7" t="s">
        <v>90</v>
      </c>
      <c r="N18">
        <f>71*0.48</f>
        <v>34.08</v>
      </c>
    </row>
    <row r="19" spans="1:16" ht="18" customHeight="1" x14ac:dyDescent="0.25">
      <c r="A19" s="14">
        <f t="shared" si="0"/>
        <v>10</v>
      </c>
      <c r="B19" s="8">
        <v>45910</v>
      </c>
      <c r="C19" s="46" t="s">
        <v>324</v>
      </c>
      <c r="D19" s="214" t="s">
        <v>214</v>
      </c>
      <c r="E19" s="30">
        <f>38*20</f>
        <v>760</v>
      </c>
      <c r="F19" s="27"/>
      <c r="G19" s="18">
        <f t="shared" si="1"/>
        <v>1019</v>
      </c>
      <c r="H19" s="28" t="s">
        <v>91</v>
      </c>
      <c r="I19" s="28"/>
      <c r="J19" s="28">
        <v>338</v>
      </c>
      <c r="K19" s="7" t="s">
        <v>90</v>
      </c>
      <c r="L19" s="427">
        <f>+J19/E19</f>
        <v>0.44473684210526315</v>
      </c>
    </row>
    <row r="20" spans="1:16" s="230" customFormat="1" ht="18" customHeight="1" x14ac:dyDescent="0.25">
      <c r="A20" s="14">
        <f t="shared" si="0"/>
        <v>11</v>
      </c>
      <c r="B20" s="224">
        <v>45919</v>
      </c>
      <c r="C20" s="46" t="s">
        <v>324</v>
      </c>
      <c r="D20" s="214" t="s">
        <v>214</v>
      </c>
      <c r="E20" s="227"/>
      <c r="F20" s="228">
        <v>218</v>
      </c>
      <c r="G20" s="18">
        <f t="shared" si="1"/>
        <v>801</v>
      </c>
      <c r="H20" s="28" t="s">
        <v>91</v>
      </c>
      <c r="I20" s="28"/>
      <c r="J20" s="28"/>
      <c r="K20" s="7" t="s">
        <v>90</v>
      </c>
    </row>
    <row r="21" spans="1:16" s="230" customFormat="1" x14ac:dyDescent="0.25">
      <c r="A21" s="14">
        <f t="shared" si="0"/>
        <v>12</v>
      </c>
      <c r="B21" s="394">
        <v>45920</v>
      </c>
      <c r="C21" s="46" t="s">
        <v>348</v>
      </c>
      <c r="D21" s="214" t="s">
        <v>214</v>
      </c>
      <c r="E21" s="231"/>
      <c r="F21" s="228">
        <v>311</v>
      </c>
      <c r="G21" s="18">
        <f t="shared" si="1"/>
        <v>490</v>
      </c>
      <c r="H21" s="28" t="s">
        <v>91</v>
      </c>
      <c r="I21" s="28"/>
      <c r="J21" s="28"/>
      <c r="K21" s="7" t="s">
        <v>90</v>
      </c>
    </row>
    <row r="22" spans="1:16" ht="27.75" customHeight="1" x14ac:dyDescent="0.25">
      <c r="A22" s="14">
        <f t="shared" si="0"/>
        <v>13</v>
      </c>
      <c r="B22" s="394">
        <v>45922</v>
      </c>
      <c r="C22" s="46" t="s">
        <v>349</v>
      </c>
      <c r="D22" s="214" t="s">
        <v>214</v>
      </c>
      <c r="E22" s="32"/>
      <c r="F22" s="17">
        <v>295</v>
      </c>
      <c r="G22" s="18">
        <f t="shared" si="1"/>
        <v>195</v>
      </c>
      <c r="H22" s="28" t="s">
        <v>91</v>
      </c>
      <c r="I22" s="28"/>
      <c r="J22" s="28"/>
      <c r="K22" s="7" t="s">
        <v>90</v>
      </c>
      <c r="P22" s="26"/>
    </row>
    <row r="23" spans="1:16" ht="27" customHeight="1" x14ac:dyDescent="0.25">
      <c r="A23" s="14">
        <f t="shared" si="0"/>
        <v>14</v>
      </c>
      <c r="B23" s="8">
        <v>45923</v>
      </c>
      <c r="C23" s="46" t="s">
        <v>349</v>
      </c>
      <c r="D23" s="214" t="s">
        <v>214</v>
      </c>
      <c r="E23" s="32"/>
      <c r="F23" s="27">
        <v>195</v>
      </c>
      <c r="G23" s="18">
        <f t="shared" si="1"/>
        <v>0</v>
      </c>
      <c r="H23" s="28" t="s">
        <v>91</v>
      </c>
      <c r="I23" s="28"/>
      <c r="J23" s="28"/>
      <c r="K23" s="7" t="s">
        <v>90</v>
      </c>
    </row>
    <row r="24" spans="1:16" ht="18" customHeight="1" x14ac:dyDescent="0.25">
      <c r="A24" s="14">
        <f t="shared" si="0"/>
        <v>15</v>
      </c>
      <c r="B24" s="232">
        <v>45927</v>
      </c>
      <c r="C24" s="46"/>
      <c r="D24" s="214" t="s">
        <v>214</v>
      </c>
      <c r="E24" s="235">
        <v>530</v>
      </c>
      <c r="F24" s="172"/>
      <c r="G24" s="18">
        <f t="shared" si="1"/>
        <v>530</v>
      </c>
      <c r="H24" s="28" t="s">
        <v>129</v>
      </c>
      <c r="I24" s="28"/>
      <c r="J24" s="28"/>
      <c r="K24" s="7" t="s">
        <v>90</v>
      </c>
    </row>
    <row r="25" spans="1:16" ht="18" customHeight="1" x14ac:dyDescent="0.25">
      <c r="A25" s="14">
        <f t="shared" si="0"/>
        <v>16</v>
      </c>
      <c r="B25" s="8">
        <v>45938</v>
      </c>
      <c r="C25" s="46"/>
      <c r="D25" s="214" t="s">
        <v>214</v>
      </c>
      <c r="E25" s="32"/>
      <c r="F25" s="17">
        <v>214</v>
      </c>
      <c r="G25" s="18">
        <f t="shared" si="1"/>
        <v>316</v>
      </c>
      <c r="H25" s="28" t="s">
        <v>129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17</v>
      </c>
      <c r="B26" s="8"/>
      <c r="C26" s="46"/>
      <c r="D26" s="214" t="s">
        <v>214</v>
      </c>
      <c r="E26" s="32"/>
      <c r="F26" s="17"/>
      <c r="G26" s="18">
        <f t="shared" si="1"/>
        <v>316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 t="shared" si="0"/>
        <v>18</v>
      </c>
      <c r="B27" s="8"/>
      <c r="C27" s="46"/>
      <c r="D27" s="214" t="s">
        <v>214</v>
      </c>
      <c r="E27" s="32"/>
      <c r="F27" s="17"/>
      <c r="G27" s="18">
        <f t="shared" si="1"/>
        <v>316</v>
      </c>
      <c r="H27" s="28" t="s">
        <v>91</v>
      </c>
      <c r="I27" s="28"/>
      <c r="J27" s="28"/>
      <c r="K27" s="7" t="s">
        <v>90</v>
      </c>
      <c r="N27">
        <f>1146*12</f>
        <v>13752</v>
      </c>
    </row>
    <row r="28" spans="1:16" ht="18" customHeight="1" x14ac:dyDescent="0.25">
      <c r="A28" s="14">
        <f t="shared" si="0"/>
        <v>19</v>
      </c>
      <c r="B28" s="8"/>
      <c r="C28" s="46"/>
      <c r="D28" s="214" t="s">
        <v>214</v>
      </c>
      <c r="E28" s="32"/>
      <c r="F28" s="17"/>
      <c r="G28" s="18">
        <f t="shared" si="1"/>
        <v>316</v>
      </c>
      <c r="H28" s="28" t="s">
        <v>91</v>
      </c>
      <c r="I28" s="28"/>
      <c r="J28" s="28"/>
      <c r="K28" s="7" t="s">
        <v>90</v>
      </c>
      <c r="N28">
        <f>+N27*90</f>
        <v>1237680</v>
      </c>
    </row>
    <row r="29" spans="1:16" ht="18" customHeight="1" x14ac:dyDescent="0.25">
      <c r="A29" s="14">
        <f t="shared" si="0"/>
        <v>20</v>
      </c>
      <c r="B29" s="8"/>
      <c r="C29" s="46"/>
      <c r="D29" s="214" t="s">
        <v>214</v>
      </c>
      <c r="E29" s="32"/>
      <c r="F29" s="17"/>
      <c r="G29" s="18">
        <f t="shared" si="1"/>
        <v>316</v>
      </c>
      <c r="H29" s="28" t="s">
        <v>91</v>
      </c>
      <c r="I29" s="28"/>
      <c r="J29" s="28"/>
      <c r="K29" s="7" t="s">
        <v>90</v>
      </c>
      <c r="N29">
        <f>+N28/2880</f>
        <v>429.75</v>
      </c>
    </row>
    <row r="30" spans="1:16" ht="18" customHeight="1" x14ac:dyDescent="0.25">
      <c r="A30" s="14">
        <f t="shared" si="0"/>
        <v>21</v>
      </c>
      <c r="B30" s="8"/>
      <c r="C30" s="46"/>
      <c r="D30" s="214" t="s">
        <v>214</v>
      </c>
      <c r="E30" s="129"/>
      <c r="F30" s="17"/>
      <c r="G30" s="18">
        <f t="shared" si="1"/>
        <v>316</v>
      </c>
      <c r="H30" s="28" t="s">
        <v>91</v>
      </c>
      <c r="I30" s="28">
        <f>+F30*M32</f>
        <v>0</v>
      </c>
      <c r="J30" s="28"/>
      <c r="K30" s="7" t="s">
        <v>90</v>
      </c>
      <c r="M30" s="1"/>
    </row>
    <row r="31" spans="1:16" ht="18" customHeight="1" x14ac:dyDescent="0.25">
      <c r="A31" s="14">
        <f t="shared" si="0"/>
        <v>22</v>
      </c>
      <c r="B31" s="8"/>
      <c r="C31" s="46"/>
      <c r="D31" s="214" t="s">
        <v>214</v>
      </c>
      <c r="E31" s="32"/>
      <c r="F31" s="172"/>
      <c r="G31" s="18">
        <f t="shared" si="1"/>
        <v>316</v>
      </c>
      <c r="H31" s="28" t="s">
        <v>91</v>
      </c>
      <c r="I31" s="28">
        <f>+F30*0.4</f>
        <v>0</v>
      </c>
      <c r="J31" s="28"/>
      <c r="K31" s="7" t="s">
        <v>90</v>
      </c>
    </row>
    <row r="32" spans="1:16" ht="18" customHeight="1" x14ac:dyDescent="0.25">
      <c r="A32" s="14">
        <f t="shared" si="0"/>
        <v>23</v>
      </c>
      <c r="B32" s="8"/>
      <c r="C32" s="46"/>
      <c r="D32" s="214" t="s">
        <v>214</v>
      </c>
      <c r="E32" s="32"/>
      <c r="F32" s="17"/>
      <c r="G32" s="18">
        <f t="shared" si="1"/>
        <v>316</v>
      </c>
      <c r="H32" s="28" t="s">
        <v>91</v>
      </c>
      <c r="I32" s="28"/>
      <c r="J32" s="28"/>
      <c r="K32" s="7" t="s">
        <v>90</v>
      </c>
      <c r="M32" s="387">
        <f>94/230</f>
        <v>0.40869565217391307</v>
      </c>
      <c r="O32">
        <f>159+160</f>
        <v>319</v>
      </c>
    </row>
    <row r="33" spans="1:18" ht="18" customHeight="1" x14ac:dyDescent="0.25">
      <c r="A33" s="14">
        <f t="shared" si="0"/>
        <v>24</v>
      </c>
      <c r="B33" s="8"/>
      <c r="C33" s="46"/>
      <c r="D33" s="214" t="s">
        <v>214</v>
      </c>
      <c r="E33" s="32"/>
      <c r="F33" s="17"/>
      <c r="G33" s="18">
        <f t="shared" si="1"/>
        <v>316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0"/>
        <v>25</v>
      </c>
      <c r="B34" s="8"/>
      <c r="C34" s="46"/>
      <c r="D34" s="214" t="s">
        <v>214</v>
      </c>
      <c r="E34" s="13"/>
      <c r="F34" s="17"/>
      <c r="G34" s="18">
        <f t="shared" si="1"/>
        <v>316</v>
      </c>
      <c r="H34" s="28" t="s">
        <v>91</v>
      </c>
      <c r="I34" s="28"/>
      <c r="J34" s="28"/>
      <c r="K34" s="7" t="s">
        <v>90</v>
      </c>
    </row>
    <row r="35" spans="1:18" ht="17.25" customHeight="1" x14ac:dyDescent="0.25">
      <c r="A35" s="14">
        <f t="shared" si="0"/>
        <v>26</v>
      </c>
      <c r="B35" s="44"/>
      <c r="C35" s="46"/>
      <c r="D35" s="214" t="s">
        <v>214</v>
      </c>
      <c r="E35" s="13"/>
      <c r="F35" s="17"/>
      <c r="G35" s="18">
        <f t="shared" si="1"/>
        <v>316</v>
      </c>
      <c r="H35" s="178"/>
      <c r="I35" s="178"/>
      <c r="J35" s="178"/>
      <c r="K35" s="7"/>
    </row>
    <row r="36" spans="1:18" ht="18" customHeight="1" x14ac:dyDescent="0.25">
      <c r="A36" s="14">
        <f t="shared" si="0"/>
        <v>27</v>
      </c>
      <c r="B36" s="8"/>
      <c r="C36" s="46"/>
      <c r="D36" s="214" t="s">
        <v>214</v>
      </c>
      <c r="E36" s="32"/>
      <c r="F36" s="40"/>
      <c r="G36" s="18">
        <f t="shared" si="1"/>
        <v>316</v>
      </c>
      <c r="H36" s="178"/>
      <c r="I36" s="178"/>
      <c r="J36" s="178"/>
      <c r="K36" s="7"/>
    </row>
    <row r="37" spans="1:18" ht="18" customHeight="1" x14ac:dyDescent="0.25">
      <c r="A37" s="14">
        <f t="shared" si="0"/>
        <v>28</v>
      </c>
      <c r="B37" s="45"/>
      <c r="C37" s="46"/>
      <c r="D37" s="214" t="s">
        <v>214</v>
      </c>
      <c r="E37" s="32"/>
      <c r="F37" s="40"/>
      <c r="G37" s="18">
        <f t="shared" si="1"/>
        <v>316</v>
      </c>
      <c r="H37" s="178"/>
      <c r="I37" s="178"/>
      <c r="J37" s="178"/>
      <c r="K37" s="7"/>
    </row>
    <row r="38" spans="1:18" ht="18" customHeight="1" x14ac:dyDescent="0.25">
      <c r="A38" s="14">
        <f t="shared" si="0"/>
        <v>29</v>
      </c>
      <c r="B38" s="8"/>
      <c r="C38" s="46"/>
      <c r="D38" s="214" t="s">
        <v>214</v>
      </c>
      <c r="E38" s="32"/>
      <c r="F38" s="40"/>
      <c r="G38" s="18">
        <f t="shared" si="1"/>
        <v>316</v>
      </c>
      <c r="H38" s="178"/>
      <c r="I38" s="178"/>
      <c r="J38" s="178"/>
      <c r="K38" s="7"/>
    </row>
    <row r="39" spans="1:18" ht="18" customHeight="1" x14ac:dyDescent="0.25">
      <c r="A39" s="14">
        <f t="shared" si="0"/>
        <v>30</v>
      </c>
      <c r="B39" s="8"/>
      <c r="C39" s="46"/>
      <c r="D39" s="214" t="s">
        <v>214</v>
      </c>
      <c r="E39" s="32"/>
      <c r="F39" s="17"/>
      <c r="G39" s="18">
        <f t="shared" si="1"/>
        <v>316</v>
      </c>
      <c r="H39" s="178"/>
      <c r="I39" s="178"/>
      <c r="J39" s="178"/>
      <c r="K39" s="7"/>
      <c r="M39">
        <f>911-338</f>
        <v>573</v>
      </c>
    </row>
    <row r="40" spans="1:18" ht="18" customHeight="1" x14ac:dyDescent="0.25">
      <c r="A40" s="14">
        <f t="shared" si="0"/>
        <v>31</v>
      </c>
      <c r="B40" s="8"/>
      <c r="C40" s="46"/>
      <c r="D40" s="214" t="s">
        <v>214</v>
      </c>
      <c r="E40" s="32"/>
      <c r="F40" s="17"/>
      <c r="G40" s="18">
        <f t="shared" si="1"/>
        <v>316</v>
      </c>
      <c r="H40" s="178"/>
      <c r="I40" s="178"/>
      <c r="J40" s="178"/>
      <c r="K40" s="7"/>
      <c r="M40">
        <f>+M39-314</f>
        <v>259</v>
      </c>
    </row>
    <row r="41" spans="1:18" ht="18" customHeight="1" x14ac:dyDescent="0.25">
      <c r="A41" s="14">
        <f t="shared" si="0"/>
        <v>32</v>
      </c>
      <c r="B41" s="8"/>
      <c r="C41" s="46"/>
      <c r="D41" s="214" t="s">
        <v>214</v>
      </c>
      <c r="E41" s="32"/>
      <c r="F41" s="17"/>
      <c r="G41" s="18">
        <f t="shared" si="1"/>
        <v>316</v>
      </c>
      <c r="H41" s="178"/>
      <c r="I41" s="178"/>
      <c r="J41" s="178"/>
      <c r="K41" s="7"/>
    </row>
    <row r="42" spans="1:18" ht="18" customHeight="1" x14ac:dyDescent="0.25">
      <c r="A42" s="14">
        <f t="shared" si="0"/>
        <v>33</v>
      </c>
      <c r="B42" s="8"/>
      <c r="C42" s="46"/>
      <c r="D42" s="214" t="s">
        <v>214</v>
      </c>
      <c r="E42" s="32"/>
      <c r="F42" s="17"/>
      <c r="G42" s="18">
        <f t="shared" si="1"/>
        <v>316</v>
      </c>
      <c r="H42" s="178"/>
      <c r="I42" s="178"/>
      <c r="J42" s="178"/>
      <c r="K42" s="7"/>
    </row>
    <row r="43" spans="1:18" ht="18" customHeight="1" x14ac:dyDescent="0.25">
      <c r="A43" s="14">
        <f t="shared" si="0"/>
        <v>34</v>
      </c>
      <c r="B43" s="8"/>
      <c r="C43" s="46"/>
      <c r="D43" s="214" t="s">
        <v>214</v>
      </c>
      <c r="E43" s="32"/>
      <c r="F43" s="172"/>
      <c r="G43" s="18">
        <f t="shared" si="1"/>
        <v>316</v>
      </c>
      <c r="H43" s="178"/>
      <c r="I43" s="178"/>
      <c r="J43" s="178"/>
      <c r="K43" s="7"/>
      <c r="R43" s="162"/>
    </row>
    <row r="44" spans="1:18" ht="18" customHeight="1" x14ac:dyDescent="0.25">
      <c r="A44" s="14">
        <f t="shared" si="0"/>
        <v>35</v>
      </c>
      <c r="B44" s="8"/>
      <c r="C44" s="46"/>
      <c r="D44" s="214" t="s">
        <v>214</v>
      </c>
      <c r="E44" s="32"/>
      <c r="F44" s="17"/>
      <c r="G44" s="18">
        <f t="shared" si="1"/>
        <v>316</v>
      </c>
      <c r="H44" s="178"/>
      <c r="I44" s="178"/>
      <c r="J44" s="178"/>
      <c r="K44" s="7"/>
    </row>
    <row r="45" spans="1:18" ht="18" customHeight="1" x14ac:dyDescent="0.25">
      <c r="A45" s="14">
        <f t="shared" si="0"/>
        <v>36</v>
      </c>
      <c r="B45" s="8"/>
      <c r="C45" s="46"/>
      <c r="D45" s="214" t="s">
        <v>214</v>
      </c>
      <c r="E45" s="32"/>
      <c r="F45" s="17"/>
      <c r="G45" s="18">
        <f t="shared" si="1"/>
        <v>316</v>
      </c>
      <c r="H45" s="178"/>
      <c r="I45" s="178"/>
      <c r="J45" s="178"/>
      <c r="K45" s="7"/>
    </row>
    <row r="46" spans="1:18" ht="18" customHeight="1" x14ac:dyDescent="0.25">
      <c r="A46" s="14">
        <f t="shared" si="0"/>
        <v>37</v>
      </c>
      <c r="B46" s="8"/>
      <c r="C46" s="46"/>
      <c r="D46" s="214" t="s">
        <v>214</v>
      </c>
      <c r="E46" s="32"/>
      <c r="F46" s="17"/>
      <c r="G46" s="18">
        <f t="shared" si="1"/>
        <v>316</v>
      </c>
      <c r="H46" s="178"/>
      <c r="I46" s="178"/>
      <c r="J46" s="178"/>
      <c r="K46" s="7"/>
    </row>
    <row r="47" spans="1:18" ht="18" customHeight="1" x14ac:dyDescent="0.25">
      <c r="A47" s="14">
        <f t="shared" si="0"/>
        <v>38</v>
      </c>
      <c r="B47" s="8"/>
      <c r="C47" s="46"/>
      <c r="D47" s="214" t="s">
        <v>214</v>
      </c>
      <c r="E47" s="32"/>
      <c r="F47" s="17"/>
      <c r="G47" s="18">
        <f t="shared" si="1"/>
        <v>316</v>
      </c>
      <c r="H47" s="178"/>
      <c r="I47" s="178"/>
      <c r="J47" s="178"/>
      <c r="K47" s="29"/>
    </row>
    <row r="48" spans="1:18" ht="18" customHeight="1" x14ac:dyDescent="0.25">
      <c r="A48" s="14">
        <f t="shared" si="0"/>
        <v>39</v>
      </c>
      <c r="B48" s="8"/>
      <c r="C48" s="46"/>
      <c r="D48" s="214" t="s">
        <v>214</v>
      </c>
      <c r="E48" s="32"/>
      <c r="F48" s="17"/>
      <c r="G48" s="18">
        <f t="shared" si="1"/>
        <v>316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40</v>
      </c>
      <c r="B49" s="8"/>
      <c r="C49" s="46"/>
      <c r="D49" s="214" t="s">
        <v>214</v>
      </c>
      <c r="E49" s="32"/>
      <c r="F49" s="17"/>
      <c r="G49" s="18">
        <f t="shared" si="1"/>
        <v>316</v>
      </c>
      <c r="H49" s="178"/>
      <c r="I49" s="178"/>
      <c r="J49" s="178"/>
      <c r="K49" s="29"/>
    </row>
    <row r="50" spans="1:18" ht="18" customHeight="1" x14ac:dyDescent="0.25">
      <c r="A50" s="14">
        <f t="shared" si="0"/>
        <v>41</v>
      </c>
      <c r="B50" s="8"/>
      <c r="C50" s="46"/>
      <c r="D50" s="214" t="s">
        <v>214</v>
      </c>
      <c r="E50" s="32"/>
      <c r="F50" s="17"/>
      <c r="G50" s="18">
        <f t="shared" si="1"/>
        <v>316</v>
      </c>
      <c r="H50" s="178"/>
      <c r="I50" s="178"/>
      <c r="J50" s="178"/>
      <c r="K50" s="29"/>
    </row>
    <row r="51" spans="1:18" ht="18" customHeight="1" x14ac:dyDescent="0.25">
      <c r="A51" s="14">
        <f t="shared" si="0"/>
        <v>42</v>
      </c>
      <c r="B51" s="8"/>
      <c r="C51" s="46"/>
      <c r="D51" s="214" t="s">
        <v>214</v>
      </c>
      <c r="E51" s="32"/>
      <c r="F51" s="17"/>
      <c r="G51" s="18">
        <f t="shared" si="1"/>
        <v>316</v>
      </c>
      <c r="H51" s="178"/>
      <c r="I51" s="178"/>
      <c r="J51" s="178"/>
      <c r="K51" s="7"/>
    </row>
    <row r="52" spans="1:18" s="162" customFormat="1" ht="18" customHeight="1" x14ac:dyDescent="0.25">
      <c r="A52" s="14">
        <f t="shared" si="0"/>
        <v>43</v>
      </c>
      <c r="B52" s="174"/>
      <c r="C52" s="236"/>
      <c r="D52" s="214" t="s">
        <v>214</v>
      </c>
      <c r="E52" s="175"/>
      <c r="F52" s="172"/>
      <c r="G52" s="18">
        <f t="shared" si="1"/>
        <v>316</v>
      </c>
      <c r="H52" s="178"/>
      <c r="I52" s="178"/>
      <c r="J52" s="178"/>
      <c r="K52" s="7"/>
      <c r="R52"/>
    </row>
    <row r="53" spans="1:18" ht="18" customHeight="1" x14ac:dyDescent="0.25">
      <c r="A53" s="14">
        <f t="shared" si="0"/>
        <v>44</v>
      </c>
      <c r="B53" s="8"/>
      <c r="C53" s="46"/>
      <c r="D53" s="214" t="s">
        <v>214</v>
      </c>
      <c r="E53" s="32"/>
      <c r="F53" s="17"/>
      <c r="G53" s="18">
        <f t="shared" si="1"/>
        <v>316</v>
      </c>
      <c r="H53" s="239"/>
      <c r="I53" s="239"/>
      <c r="J53" s="239"/>
      <c r="K53" s="7"/>
    </row>
    <row r="54" spans="1:18" ht="18" customHeight="1" x14ac:dyDescent="0.25">
      <c r="A54" s="14">
        <f t="shared" si="0"/>
        <v>45</v>
      </c>
      <c r="B54" s="8"/>
      <c r="C54" s="46"/>
      <c r="D54" s="214" t="s">
        <v>214</v>
      </c>
      <c r="E54" s="32"/>
      <c r="F54" s="17"/>
      <c r="G54" s="18">
        <f t="shared" si="1"/>
        <v>316</v>
      </c>
      <c r="H54" s="239"/>
      <c r="I54" s="239"/>
      <c r="J54" s="239"/>
      <c r="K54" s="7"/>
      <c r="P54">
        <f>2880/97</f>
        <v>29.690721649484537</v>
      </c>
    </row>
    <row r="55" spans="1:18" ht="18" customHeight="1" x14ac:dyDescent="0.25">
      <c r="A55" s="14">
        <f t="shared" si="0"/>
        <v>46</v>
      </c>
      <c r="B55" s="8"/>
      <c r="C55" s="46"/>
      <c r="D55" s="214" t="s">
        <v>214</v>
      </c>
      <c r="E55" s="32"/>
      <c r="F55" s="17"/>
      <c r="G55" s="18">
        <f t="shared" si="1"/>
        <v>316</v>
      </c>
      <c r="H55" s="239"/>
      <c r="I55" s="239"/>
      <c r="J55" s="239"/>
      <c r="K55" s="7"/>
      <c r="O55">
        <f>41*97</f>
        <v>3977</v>
      </c>
    </row>
    <row r="56" spans="1:18" ht="18" customHeight="1" x14ac:dyDescent="0.25">
      <c r="A56" s="14">
        <f t="shared" si="0"/>
        <v>47</v>
      </c>
      <c r="B56" s="8"/>
      <c r="C56" s="46"/>
      <c r="D56" s="214" t="s">
        <v>214</v>
      </c>
      <c r="E56" s="32"/>
      <c r="F56" s="17"/>
      <c r="G56" s="18">
        <f t="shared" si="1"/>
        <v>316</v>
      </c>
      <c r="H56" s="28"/>
      <c r="I56" s="28"/>
      <c r="J56" s="28"/>
      <c r="K56" s="7"/>
      <c r="O56">
        <f>41*10</f>
        <v>410</v>
      </c>
    </row>
    <row r="57" spans="1:18" ht="18" customHeight="1" x14ac:dyDescent="0.25">
      <c r="A57" s="14">
        <f t="shared" si="0"/>
        <v>48</v>
      </c>
      <c r="B57" s="8"/>
      <c r="C57" s="46"/>
      <c r="D57" s="214" t="s">
        <v>214</v>
      </c>
      <c r="E57" s="32"/>
      <c r="F57" s="17"/>
      <c r="G57" s="18">
        <f t="shared" si="1"/>
        <v>316</v>
      </c>
      <c r="H57" s="240"/>
      <c r="I57" s="240"/>
      <c r="J57" s="240"/>
      <c r="K57" s="7"/>
      <c r="O57">
        <f>+O56*10</f>
        <v>4100</v>
      </c>
      <c r="Q57">
        <f>97*29</f>
        <v>2813</v>
      </c>
    </row>
    <row r="58" spans="1:18" ht="18" customHeight="1" x14ac:dyDescent="0.25">
      <c r="A58" s="14">
        <f t="shared" si="0"/>
        <v>49</v>
      </c>
      <c r="B58" s="8"/>
      <c r="C58" s="46"/>
      <c r="D58" s="214" t="s">
        <v>214</v>
      </c>
      <c r="E58" s="32"/>
      <c r="F58" s="17"/>
      <c r="G58" s="18">
        <f t="shared" si="1"/>
        <v>316</v>
      </c>
      <c r="H58" s="240"/>
      <c r="I58" s="240"/>
      <c r="J58" s="240"/>
      <c r="K58" s="7"/>
      <c r="O58">
        <f>+O57*97</f>
        <v>397700</v>
      </c>
      <c r="Q58">
        <f>2880-2813</f>
        <v>67</v>
      </c>
    </row>
    <row r="59" spans="1:18" ht="18" customHeight="1" x14ac:dyDescent="0.25">
      <c r="A59" s="14">
        <f t="shared" si="0"/>
        <v>50</v>
      </c>
      <c r="B59" s="8"/>
      <c r="C59" s="46"/>
      <c r="D59" s="214" t="s">
        <v>214</v>
      </c>
      <c r="E59" s="32"/>
      <c r="F59" s="17"/>
      <c r="G59" s="18">
        <f t="shared" si="1"/>
        <v>316</v>
      </c>
      <c r="H59" s="240"/>
      <c r="I59" s="240"/>
      <c r="J59" s="240"/>
      <c r="K59" s="7" t="s">
        <v>14</v>
      </c>
      <c r="O59">
        <f>+O58/2813</f>
        <v>141.37931034482759</v>
      </c>
    </row>
    <row r="60" spans="1:18" ht="18" customHeight="1" x14ac:dyDescent="0.25">
      <c r="A60" s="14">
        <f t="shared" si="0"/>
        <v>51</v>
      </c>
      <c r="B60" s="8"/>
      <c r="C60" s="46"/>
      <c r="D60" s="214" t="s">
        <v>214</v>
      </c>
      <c r="E60" s="32"/>
      <c r="F60" s="17"/>
      <c r="G60" s="18">
        <f t="shared" si="1"/>
        <v>316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52</v>
      </c>
      <c r="B61" s="8"/>
      <c r="C61" s="46"/>
      <c r="D61" s="214" t="s">
        <v>214</v>
      </c>
      <c r="E61" s="32"/>
      <c r="F61" s="17"/>
      <c r="G61" s="18">
        <f t="shared" si="1"/>
        <v>316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53</v>
      </c>
      <c r="B62" s="8"/>
      <c r="C62" s="46"/>
      <c r="D62" s="214" t="s">
        <v>214</v>
      </c>
      <c r="E62" s="32"/>
      <c r="F62" s="17"/>
      <c r="G62" s="18">
        <f t="shared" si="1"/>
        <v>316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54</v>
      </c>
      <c r="B63" s="8"/>
      <c r="C63" s="46"/>
      <c r="D63" s="214" t="s">
        <v>214</v>
      </c>
      <c r="E63" s="32"/>
      <c r="F63" s="17"/>
      <c r="G63" s="18">
        <f t="shared" si="1"/>
        <v>316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55</v>
      </c>
      <c r="B64" s="8"/>
      <c r="C64" s="46"/>
      <c r="D64" s="214" t="s">
        <v>214</v>
      </c>
      <c r="E64" s="32"/>
      <c r="F64" s="17"/>
      <c r="G64" s="18">
        <f t="shared" si="1"/>
        <v>316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56</v>
      </c>
      <c r="B65" s="8"/>
      <c r="C65" s="46"/>
      <c r="D65" s="214" t="s">
        <v>214</v>
      </c>
      <c r="E65" s="32"/>
      <c r="F65" s="17"/>
      <c r="G65" s="18">
        <f t="shared" si="1"/>
        <v>316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57</v>
      </c>
      <c r="B66" s="8"/>
      <c r="C66" s="46"/>
      <c r="D66" s="214" t="s">
        <v>214</v>
      </c>
      <c r="E66" s="32"/>
      <c r="F66" s="17"/>
      <c r="G66" s="18">
        <f t="shared" si="1"/>
        <v>316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0"/>
        <v>58</v>
      </c>
      <c r="B67" s="8"/>
      <c r="C67" s="46"/>
      <c r="D67" s="214" t="s">
        <v>214</v>
      </c>
      <c r="E67" s="32"/>
      <c r="F67" s="17"/>
      <c r="G67" s="18">
        <f t="shared" si="1"/>
        <v>316</v>
      </c>
      <c r="H67" s="240"/>
      <c r="I67" s="240"/>
      <c r="J67" s="240"/>
      <c r="K67" s="7" t="s">
        <v>14</v>
      </c>
      <c r="L67" s="26"/>
    </row>
    <row r="68" spans="1:12" ht="18" customHeight="1" x14ac:dyDescent="0.25">
      <c r="A68" s="14">
        <f t="shared" si="0"/>
        <v>59</v>
      </c>
      <c r="B68" s="8"/>
      <c r="C68" s="46"/>
      <c r="D68" s="214" t="s">
        <v>214</v>
      </c>
      <c r="E68" s="32"/>
      <c r="F68" s="17"/>
      <c r="G68" s="18">
        <f t="shared" si="1"/>
        <v>316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60</v>
      </c>
      <c r="B69" s="8"/>
      <c r="C69" s="46"/>
      <c r="D69" s="214" t="s">
        <v>214</v>
      </c>
      <c r="E69" s="32"/>
      <c r="F69" s="17"/>
      <c r="G69" s="18">
        <f t="shared" si="1"/>
        <v>316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61</v>
      </c>
      <c r="B70" s="8"/>
      <c r="C70" s="46"/>
      <c r="D70" s="214" t="s">
        <v>214</v>
      </c>
      <c r="E70" s="32"/>
      <c r="F70" s="17"/>
      <c r="G70" s="18">
        <f t="shared" si="1"/>
        <v>316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62</v>
      </c>
      <c r="B71" s="8"/>
      <c r="C71" s="46"/>
      <c r="D71" s="214" t="s">
        <v>214</v>
      </c>
      <c r="E71" s="32"/>
      <c r="F71" s="17"/>
      <c r="G71" s="18">
        <f t="shared" si="1"/>
        <v>316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63</v>
      </c>
      <c r="B72" s="8"/>
      <c r="C72" s="46"/>
      <c r="D72" s="214" t="s">
        <v>214</v>
      </c>
      <c r="E72" s="32"/>
      <c r="F72" s="17"/>
      <c r="G72" s="18">
        <f t="shared" si="1"/>
        <v>316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64</v>
      </c>
      <c r="B73" s="8"/>
      <c r="C73" s="46"/>
      <c r="D73" s="214" t="s">
        <v>214</v>
      </c>
      <c r="E73" s="32"/>
      <c r="F73" s="17"/>
      <c r="G73" s="18">
        <f t="shared" si="1"/>
        <v>316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9" si="2">+A73+1</f>
        <v>65</v>
      </c>
      <c r="B74" s="8"/>
      <c r="C74" s="46"/>
      <c r="D74" s="214" t="s">
        <v>214</v>
      </c>
      <c r="E74" s="32"/>
      <c r="F74" s="17"/>
      <c r="G74" s="18">
        <f t="shared" ref="G74:G109" si="3">+G73+E74-F74</f>
        <v>316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66</v>
      </c>
      <c r="B75" s="8"/>
      <c r="C75" s="46"/>
      <c r="D75" s="214" t="s">
        <v>214</v>
      </c>
      <c r="E75" s="32"/>
      <c r="F75" s="17"/>
      <c r="G75" s="18">
        <f t="shared" si="3"/>
        <v>316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67</v>
      </c>
      <c r="B76" s="8"/>
      <c r="C76" s="46"/>
      <c r="D76" s="214" t="s">
        <v>214</v>
      </c>
      <c r="E76" s="32"/>
      <c r="F76" s="17"/>
      <c r="G76" s="18">
        <f t="shared" si="3"/>
        <v>316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68</v>
      </c>
      <c r="B77" s="8"/>
      <c r="C77" s="46"/>
      <c r="D77" s="214" t="s">
        <v>214</v>
      </c>
      <c r="E77" s="32"/>
      <c r="F77" s="17"/>
      <c r="G77" s="18">
        <f t="shared" si="3"/>
        <v>316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69</v>
      </c>
      <c r="B78" s="8"/>
      <c r="C78" s="46"/>
      <c r="D78" s="214" t="s">
        <v>214</v>
      </c>
      <c r="E78" s="32"/>
      <c r="F78" s="17"/>
      <c r="G78" s="18">
        <f t="shared" si="3"/>
        <v>316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70</v>
      </c>
      <c r="B79" s="8"/>
      <c r="C79" s="46"/>
      <c r="D79" s="214" t="s">
        <v>214</v>
      </c>
      <c r="E79" s="32"/>
      <c r="F79" s="17"/>
      <c r="G79" s="18">
        <f t="shared" si="3"/>
        <v>316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71</v>
      </c>
      <c r="B80" s="8"/>
      <c r="C80" s="46"/>
      <c r="D80" s="214" t="s">
        <v>214</v>
      </c>
      <c r="E80" s="32"/>
      <c r="F80" s="17"/>
      <c r="G80" s="18">
        <f t="shared" si="3"/>
        <v>316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72</v>
      </c>
      <c r="B81" s="8"/>
      <c r="C81" s="46"/>
      <c r="D81" s="214" t="s">
        <v>214</v>
      </c>
      <c r="E81" s="32"/>
      <c r="F81" s="17"/>
      <c r="G81" s="18">
        <f t="shared" si="3"/>
        <v>316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73</v>
      </c>
      <c r="B82" s="8"/>
      <c r="C82" s="46"/>
      <c r="D82" s="214" t="s">
        <v>214</v>
      </c>
      <c r="E82" s="32"/>
      <c r="F82" s="17"/>
      <c r="G82" s="18">
        <f t="shared" si="3"/>
        <v>316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74</v>
      </c>
      <c r="B83" s="8"/>
      <c r="C83" s="46"/>
      <c r="D83" s="214" t="s">
        <v>214</v>
      </c>
      <c r="E83" s="32"/>
      <c r="F83" s="17"/>
      <c r="G83" s="18">
        <f t="shared" si="3"/>
        <v>316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75</v>
      </c>
      <c r="B84" s="8"/>
      <c r="C84" s="46"/>
      <c r="D84" s="214" t="s">
        <v>214</v>
      </c>
      <c r="E84" s="32"/>
      <c r="F84" s="17"/>
      <c r="G84" s="18">
        <f t="shared" si="3"/>
        <v>316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76</v>
      </c>
      <c r="B85" s="8"/>
      <c r="C85" s="46"/>
      <c r="D85" s="214" t="s">
        <v>214</v>
      </c>
      <c r="E85" s="32"/>
      <c r="F85" s="27"/>
      <c r="G85" s="18">
        <f t="shared" si="3"/>
        <v>316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77</v>
      </c>
      <c r="B86" s="8"/>
      <c r="C86" s="46"/>
      <c r="D86" s="214" t="s">
        <v>214</v>
      </c>
      <c r="E86" s="32"/>
      <c r="F86" s="17"/>
      <c r="G86" s="18">
        <f t="shared" si="3"/>
        <v>316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78</v>
      </c>
      <c r="B87" s="8"/>
      <c r="C87" s="46"/>
      <c r="D87" s="214" t="s">
        <v>214</v>
      </c>
      <c r="E87" s="32"/>
      <c r="F87" s="17"/>
      <c r="G87" s="18">
        <f t="shared" si="3"/>
        <v>316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79</v>
      </c>
      <c r="B88" s="8"/>
      <c r="C88" s="46"/>
      <c r="D88" s="214" t="s">
        <v>214</v>
      </c>
      <c r="E88" s="32"/>
      <c r="F88" s="17"/>
      <c r="G88" s="18">
        <f t="shared" si="3"/>
        <v>316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80</v>
      </c>
      <c r="B89" s="8"/>
      <c r="C89" s="46"/>
      <c r="D89" s="214" t="s">
        <v>214</v>
      </c>
      <c r="E89" s="32"/>
      <c r="F89" s="17"/>
      <c r="G89" s="18">
        <f t="shared" si="3"/>
        <v>316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81</v>
      </c>
      <c r="B90" s="8"/>
      <c r="C90" s="46"/>
      <c r="D90" s="214" t="s">
        <v>214</v>
      </c>
      <c r="E90" s="32"/>
      <c r="F90" s="17"/>
      <c r="G90" s="18">
        <f t="shared" si="3"/>
        <v>316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2"/>
        <v>82</v>
      </c>
      <c r="B91" s="8"/>
      <c r="C91" s="46"/>
      <c r="D91" s="214" t="s">
        <v>214</v>
      </c>
      <c r="E91" s="32"/>
      <c r="F91" s="17"/>
      <c r="G91" s="18">
        <f t="shared" si="3"/>
        <v>316</v>
      </c>
      <c r="H91" s="240"/>
      <c r="I91" s="240"/>
      <c r="J91" s="240"/>
      <c r="K91" s="7" t="s">
        <v>14</v>
      </c>
    </row>
    <row r="92" spans="1:19" ht="18" customHeight="1" x14ac:dyDescent="0.25">
      <c r="A92" s="14">
        <f t="shared" si="2"/>
        <v>83</v>
      </c>
      <c r="B92" s="8"/>
      <c r="C92" s="46"/>
      <c r="D92" s="214" t="s">
        <v>214</v>
      </c>
      <c r="E92" s="32"/>
      <c r="F92" s="17"/>
      <c r="G92" s="18">
        <f t="shared" si="3"/>
        <v>316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2"/>
        <v>84</v>
      </c>
      <c r="B93" s="8"/>
      <c r="C93" s="46"/>
      <c r="D93" s="214" t="s">
        <v>214</v>
      </c>
      <c r="E93" s="32"/>
      <c r="F93" s="27"/>
      <c r="G93" s="18">
        <f t="shared" si="3"/>
        <v>316</v>
      </c>
      <c r="H93" s="240"/>
      <c r="I93" s="240"/>
      <c r="J93" s="240"/>
      <c r="K93" s="7" t="s">
        <v>14</v>
      </c>
      <c r="N93" s="199"/>
      <c r="S93" s="199"/>
    </row>
    <row r="94" spans="1:19" ht="18" customHeight="1" x14ac:dyDescent="0.25">
      <c r="A94" s="14">
        <f t="shared" si="2"/>
        <v>85</v>
      </c>
      <c r="B94" s="8"/>
      <c r="C94" s="46"/>
      <c r="D94" s="214" t="s">
        <v>214</v>
      </c>
      <c r="E94" s="32"/>
      <c r="F94" s="27"/>
      <c r="G94" s="18">
        <f t="shared" si="3"/>
        <v>316</v>
      </c>
      <c r="H94" s="240"/>
      <c r="I94" s="240"/>
      <c r="J94" s="240"/>
      <c r="K94" s="7" t="s">
        <v>14</v>
      </c>
      <c r="N94" s="199"/>
      <c r="S94" s="199"/>
    </row>
    <row r="95" spans="1:19" s="179" customFormat="1" ht="18" customHeight="1" x14ac:dyDescent="0.25">
      <c r="A95" s="14">
        <f t="shared" si="2"/>
        <v>86</v>
      </c>
      <c r="B95" s="242"/>
      <c r="C95" s="243"/>
      <c r="D95" s="214" t="s">
        <v>214</v>
      </c>
      <c r="E95" s="245"/>
      <c r="F95" s="52"/>
      <c r="G95" s="18">
        <f t="shared" si="3"/>
        <v>316</v>
      </c>
      <c r="H95" s="240"/>
      <c r="I95" s="240"/>
      <c r="J95" s="240"/>
      <c r="K95" s="247" t="s">
        <v>14</v>
      </c>
      <c r="L95" s="179" t="s">
        <v>43</v>
      </c>
      <c r="N95" s="248"/>
      <c r="S95" s="248"/>
    </row>
    <row r="96" spans="1:19" s="179" customFormat="1" ht="18" customHeight="1" x14ac:dyDescent="0.25">
      <c r="A96" s="14">
        <f t="shared" si="2"/>
        <v>87</v>
      </c>
      <c r="B96" s="242"/>
      <c r="C96" s="243"/>
      <c r="D96" s="214" t="s">
        <v>214</v>
      </c>
      <c r="E96" s="245"/>
      <c r="F96" s="52"/>
      <c r="G96" s="18">
        <f t="shared" si="3"/>
        <v>316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2"/>
        <v>88</v>
      </c>
      <c r="B97" s="242"/>
      <c r="C97" s="243"/>
      <c r="D97" s="214" t="s">
        <v>214</v>
      </c>
      <c r="E97" s="245"/>
      <c r="F97" s="52"/>
      <c r="G97" s="18">
        <f t="shared" si="3"/>
        <v>316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2"/>
        <v>89</v>
      </c>
      <c r="B98" s="242"/>
      <c r="C98" s="243"/>
      <c r="D98" s="214" t="s">
        <v>214</v>
      </c>
      <c r="E98" s="245"/>
      <c r="F98" s="52"/>
      <c r="G98" s="18">
        <f t="shared" si="3"/>
        <v>316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2"/>
        <v>90</v>
      </c>
      <c r="B99" s="242"/>
      <c r="C99" s="243"/>
      <c r="D99" s="214" t="s">
        <v>214</v>
      </c>
      <c r="E99" s="245"/>
      <c r="F99" s="52"/>
      <c r="G99" s="18">
        <f t="shared" si="3"/>
        <v>316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2"/>
        <v>91</v>
      </c>
      <c r="B100" s="242"/>
      <c r="C100" s="243"/>
      <c r="D100" s="214" t="s">
        <v>214</v>
      </c>
      <c r="E100" s="245"/>
      <c r="F100" s="52"/>
      <c r="G100" s="18">
        <f t="shared" si="3"/>
        <v>316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2"/>
        <v>92</v>
      </c>
      <c r="B101" s="242"/>
      <c r="C101" s="243"/>
      <c r="D101" s="214" t="s">
        <v>214</v>
      </c>
      <c r="E101" s="245"/>
      <c r="F101" s="52"/>
      <c r="G101" s="18">
        <f t="shared" si="3"/>
        <v>316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2"/>
        <v>93</v>
      </c>
      <c r="B102" s="242"/>
      <c r="C102" s="243"/>
      <c r="D102" s="214" t="s">
        <v>214</v>
      </c>
      <c r="E102" s="245"/>
      <c r="F102" s="52"/>
      <c r="G102" s="18">
        <f t="shared" si="3"/>
        <v>316</v>
      </c>
      <c r="H102" s="240"/>
      <c r="I102" s="240"/>
      <c r="J102" s="240"/>
      <c r="K102" s="247" t="s">
        <v>14</v>
      </c>
      <c r="N102" s="248"/>
      <c r="S102" s="248"/>
    </row>
    <row r="103" spans="1:19" s="179" customFormat="1" ht="18" customHeight="1" x14ac:dyDescent="0.25">
      <c r="A103" s="14">
        <f t="shared" si="2"/>
        <v>94</v>
      </c>
      <c r="B103" s="242"/>
      <c r="C103" s="243"/>
      <c r="D103" s="214" t="s">
        <v>214</v>
      </c>
      <c r="E103" s="245"/>
      <c r="F103" s="52"/>
      <c r="G103" s="18">
        <f t="shared" si="3"/>
        <v>316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2"/>
        <v>95</v>
      </c>
      <c r="B104" s="242"/>
      <c r="C104" s="243"/>
      <c r="D104" s="244"/>
      <c r="E104" s="245"/>
      <c r="F104" s="52"/>
      <c r="G104" s="18">
        <f t="shared" si="3"/>
        <v>316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2"/>
        <v>96</v>
      </c>
      <c r="B105" s="242"/>
      <c r="C105" s="243"/>
      <c r="D105" s="244"/>
      <c r="E105" s="245"/>
      <c r="F105" s="52"/>
      <c r="G105" s="18">
        <f t="shared" si="3"/>
        <v>316</v>
      </c>
      <c r="H105" s="240"/>
      <c r="I105" s="240"/>
      <c r="J105" s="240"/>
      <c r="K105" s="247"/>
      <c r="N105" s="248"/>
      <c r="S105" s="248"/>
    </row>
    <row r="106" spans="1:19" s="179" customFormat="1" ht="18" customHeight="1" x14ac:dyDescent="0.25">
      <c r="A106" s="14">
        <f t="shared" si="2"/>
        <v>97</v>
      </c>
      <c r="B106" s="242"/>
      <c r="C106" s="243"/>
      <c r="D106" s="244"/>
      <c r="E106" s="245"/>
      <c r="F106" s="52"/>
      <c r="G106" s="18">
        <f t="shared" si="3"/>
        <v>316</v>
      </c>
      <c r="H106" s="240"/>
      <c r="I106" s="240"/>
      <c r="J106" s="240"/>
      <c r="K106" s="247"/>
      <c r="N106" s="248"/>
      <c r="S106" s="248"/>
    </row>
    <row r="107" spans="1:19" ht="18" customHeight="1" x14ac:dyDescent="0.25">
      <c r="A107" s="14">
        <f t="shared" si="2"/>
        <v>98</v>
      </c>
      <c r="B107" s="8"/>
      <c r="C107" s="46"/>
      <c r="D107" s="214"/>
      <c r="E107" s="32"/>
      <c r="F107" s="27"/>
      <c r="G107" s="18">
        <f t="shared" si="3"/>
        <v>316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2"/>
        <v>99</v>
      </c>
      <c r="B108" s="8"/>
      <c r="C108" s="46"/>
      <c r="D108" s="214"/>
      <c r="E108" s="32"/>
      <c r="F108" s="27"/>
      <c r="G108" s="18">
        <f t="shared" si="3"/>
        <v>316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14">
        <f t="shared" si="2"/>
        <v>100</v>
      </c>
      <c r="B109" s="37"/>
      <c r="C109" s="46"/>
      <c r="D109" s="10"/>
      <c r="E109" s="32"/>
      <c r="F109" s="27"/>
      <c r="G109" s="18">
        <f t="shared" si="3"/>
        <v>316</v>
      </c>
      <c r="H109" s="28"/>
      <c r="I109" s="28"/>
      <c r="J109" s="28"/>
      <c r="K109" s="7"/>
      <c r="N109" s="199"/>
      <c r="S109" s="199"/>
    </row>
    <row r="110" spans="1:19" ht="18" customHeight="1" x14ac:dyDescent="0.25">
      <c r="A110" s="7"/>
      <c r="B110" s="7"/>
      <c r="C110" s="34" t="s">
        <v>13</v>
      </c>
      <c r="D110" s="14"/>
      <c r="E110" s="35">
        <f>SUM(E8:E109)</f>
        <v>2917</v>
      </c>
      <c r="F110" s="35">
        <f>SUM(F8:F109)</f>
        <v>2903</v>
      </c>
      <c r="G110" s="35">
        <f>+E110-F110+G8</f>
        <v>316</v>
      </c>
      <c r="H110" s="35"/>
      <c r="I110" s="35"/>
      <c r="J110" s="35">
        <f>SUM(J9:J109)</f>
        <v>1089</v>
      </c>
      <c r="K110" s="36"/>
    </row>
    <row r="111" spans="1:19" ht="18" customHeight="1" x14ac:dyDescent="0.25"/>
    <row r="114" spans="5:11" x14ac:dyDescent="0.25">
      <c r="E114" s="201"/>
      <c r="F114" s="201"/>
      <c r="G114" s="201"/>
      <c r="H114" s="201"/>
      <c r="I114" s="201"/>
      <c r="J114" s="201"/>
    </row>
    <row r="115" spans="5:11" x14ac:dyDescent="0.25">
      <c r="F115" s="26"/>
    </row>
    <row r="116" spans="5:11" x14ac:dyDescent="0.25">
      <c r="E116" s="26"/>
      <c r="F116" s="26"/>
      <c r="G116" s="26"/>
      <c r="H116" s="26"/>
      <c r="I116" s="26"/>
      <c r="J116" s="26"/>
      <c r="K116" s="26"/>
    </row>
    <row r="117" spans="5:11" x14ac:dyDescent="0.25">
      <c r="K117" s="202"/>
    </row>
    <row r="118" spans="5:11" x14ac:dyDescent="0.25">
      <c r="E118" s="199"/>
    </row>
    <row r="119" spans="5:11" x14ac:dyDescent="0.25">
      <c r="E119" s="26"/>
      <c r="F119" s="26"/>
    </row>
    <row r="120" spans="5:11" x14ac:dyDescent="0.25">
      <c r="E120" s="203"/>
      <c r="F120" s="204"/>
      <c r="G120" s="203"/>
      <c r="H120" s="203"/>
      <c r="I120" s="203"/>
      <c r="J120" s="203"/>
    </row>
    <row r="121" spans="5:11" x14ac:dyDescent="0.25">
      <c r="F121" s="26"/>
    </row>
  </sheetData>
  <mergeCells count="1">
    <mergeCell ref="A4:K5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092C-552E-4700-92EA-812C435208F9}">
  <sheetPr codeName="Sheet110"/>
  <dimension ref="A1:S120"/>
  <sheetViews>
    <sheetView topLeftCell="A15" workbookViewId="0">
      <selection activeCell="Q32" sqref="Q32"/>
    </sheetView>
  </sheetViews>
  <sheetFormatPr defaultRowHeight="15" x14ac:dyDescent="0.25"/>
  <cols>
    <col min="1" max="1" width="6" customWidth="1"/>
    <col min="2" max="2" width="11.5703125" customWidth="1"/>
    <col min="3" max="3" width="42.425781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8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/>
      <c r="J7" s="6" t="s">
        <v>23</v>
      </c>
      <c r="K7" s="4" t="s">
        <v>10</v>
      </c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4" ht="17.25" customHeight="1" x14ac:dyDescent="0.25">
      <c r="A9" s="14">
        <v>1</v>
      </c>
      <c r="B9" s="8">
        <v>45582</v>
      </c>
      <c r="C9" s="46" t="s">
        <v>281</v>
      </c>
      <c r="D9" s="214" t="s">
        <v>214</v>
      </c>
      <c r="E9" s="30">
        <v>330</v>
      </c>
      <c r="F9" s="27"/>
      <c r="G9" s="18">
        <f>+G8+E9-F9</f>
        <v>330</v>
      </c>
      <c r="H9" s="28" t="s">
        <v>129</v>
      </c>
      <c r="I9" s="28"/>
      <c r="J9" s="28">
        <v>290.39999999999998</v>
      </c>
      <c r="K9" s="7"/>
    </row>
    <row r="10" spans="1:14" ht="17.25" customHeight="1" x14ac:dyDescent="0.25">
      <c r="A10" s="14">
        <f t="shared" ref="A10:A73" si="0">+A9+1</f>
        <v>2</v>
      </c>
      <c r="B10" s="8">
        <v>45583</v>
      </c>
      <c r="C10" s="46" t="s">
        <v>281</v>
      </c>
      <c r="D10" s="214" t="s">
        <v>214</v>
      </c>
      <c r="E10" s="30"/>
      <c r="F10" s="27">
        <v>53</v>
      </c>
      <c r="G10" s="18">
        <f t="shared" ref="G10:G73" si="1">+G9+E10-F10</f>
        <v>277</v>
      </c>
      <c r="H10" s="28" t="s">
        <v>129</v>
      </c>
      <c r="I10" s="28"/>
      <c r="J10" s="28"/>
      <c r="K10" s="7" t="s">
        <v>90</v>
      </c>
    </row>
    <row r="11" spans="1:14" ht="18" customHeight="1" x14ac:dyDescent="0.25">
      <c r="A11" s="14">
        <f t="shared" si="0"/>
        <v>3</v>
      </c>
      <c r="B11" s="8">
        <v>45586</v>
      </c>
      <c r="C11" s="46" t="s">
        <v>281</v>
      </c>
      <c r="D11" s="214" t="s">
        <v>214</v>
      </c>
      <c r="E11" s="16"/>
      <c r="F11" s="27">
        <v>44</v>
      </c>
      <c r="G11" s="18">
        <f t="shared" si="1"/>
        <v>233</v>
      </c>
      <c r="H11" s="28" t="s">
        <v>129</v>
      </c>
      <c r="I11" s="28"/>
      <c r="J11" s="28"/>
      <c r="K11" s="7" t="s">
        <v>90</v>
      </c>
      <c r="L11" s="26"/>
    </row>
    <row r="12" spans="1:14" ht="18" customHeight="1" x14ac:dyDescent="0.25">
      <c r="A12" s="14">
        <f t="shared" si="0"/>
        <v>4</v>
      </c>
      <c r="B12" s="8">
        <v>45587</v>
      </c>
      <c r="C12" s="46" t="s">
        <v>281</v>
      </c>
      <c r="D12" s="214" t="s">
        <v>214</v>
      </c>
      <c r="E12" s="16"/>
      <c r="F12" s="17">
        <v>30</v>
      </c>
      <c r="G12" s="18">
        <f t="shared" si="1"/>
        <v>203</v>
      </c>
      <c r="H12" s="28" t="s">
        <v>129</v>
      </c>
      <c r="I12" s="28"/>
      <c r="J12" s="28"/>
      <c r="K12" s="7" t="s">
        <v>90</v>
      </c>
      <c r="L12" s="149">
        <v>0.86921529175050305</v>
      </c>
    </row>
    <row r="13" spans="1:14" ht="18" customHeight="1" x14ac:dyDescent="0.25">
      <c r="A13" s="14">
        <f t="shared" si="0"/>
        <v>5</v>
      </c>
      <c r="B13" s="205">
        <v>45590</v>
      </c>
      <c r="C13" s="46" t="s">
        <v>281</v>
      </c>
      <c r="D13" s="214" t="s">
        <v>214</v>
      </c>
      <c r="E13" s="16">
        <v>167</v>
      </c>
      <c r="F13" s="17"/>
      <c r="G13" s="18">
        <f t="shared" si="1"/>
        <v>370</v>
      </c>
      <c r="H13" s="28" t="s">
        <v>91</v>
      </c>
      <c r="I13" s="28"/>
      <c r="J13" s="28">
        <v>141.94999999999999</v>
      </c>
      <c r="K13" s="7" t="s">
        <v>90</v>
      </c>
      <c r="L13" s="26"/>
      <c r="N13">
        <f>432/497</f>
        <v>0.86921529175050305</v>
      </c>
    </row>
    <row r="14" spans="1:14" ht="18" customHeight="1" x14ac:dyDescent="0.25">
      <c r="A14" s="14">
        <f t="shared" si="0"/>
        <v>6</v>
      </c>
      <c r="B14" s="8">
        <v>45644</v>
      </c>
      <c r="C14" s="46" t="s">
        <v>281</v>
      </c>
      <c r="D14" s="214" t="s">
        <v>214</v>
      </c>
      <c r="E14" s="16"/>
      <c r="F14" s="27">
        <v>15</v>
      </c>
      <c r="G14" s="18">
        <f t="shared" si="1"/>
        <v>355</v>
      </c>
      <c r="H14" s="28" t="s">
        <v>91</v>
      </c>
      <c r="I14" s="28">
        <f>+F14*L12</f>
        <v>13.038229376257545</v>
      </c>
      <c r="J14" s="28"/>
      <c r="K14" s="7" t="s">
        <v>90</v>
      </c>
    </row>
    <row r="15" spans="1:14" ht="18" customHeight="1" x14ac:dyDescent="0.25">
      <c r="A15" s="14">
        <f t="shared" si="0"/>
        <v>7</v>
      </c>
      <c r="B15" s="8">
        <v>45645</v>
      </c>
      <c r="C15" s="46" t="s">
        <v>281</v>
      </c>
      <c r="D15" s="214" t="s">
        <v>214</v>
      </c>
      <c r="E15" s="16"/>
      <c r="F15" s="27">
        <v>29</v>
      </c>
      <c r="G15" s="18">
        <f t="shared" si="1"/>
        <v>326</v>
      </c>
      <c r="H15" s="28" t="s">
        <v>91</v>
      </c>
      <c r="I15" s="28">
        <f>+F15*L12</f>
        <v>25.207243460764587</v>
      </c>
      <c r="J15" s="28"/>
      <c r="K15" s="7" t="s">
        <v>90</v>
      </c>
      <c r="L15" s="26"/>
      <c r="N15">
        <f>+N13*127</f>
        <v>110.39034205231388</v>
      </c>
    </row>
    <row r="16" spans="1:14" ht="18" customHeight="1" x14ac:dyDescent="0.25">
      <c r="A16" s="14">
        <f t="shared" si="0"/>
        <v>8</v>
      </c>
      <c r="B16" s="8">
        <v>45646</v>
      </c>
      <c r="C16" s="46" t="s">
        <v>281</v>
      </c>
      <c r="D16" s="214" t="s">
        <v>214</v>
      </c>
      <c r="E16" s="16"/>
      <c r="F16" s="27">
        <v>45</v>
      </c>
      <c r="G16" s="18">
        <f t="shared" si="1"/>
        <v>281</v>
      </c>
      <c r="H16" s="28" t="s">
        <v>91</v>
      </c>
      <c r="I16" s="28">
        <f>+F16*L12</f>
        <v>39.114688128772634</v>
      </c>
      <c r="J16" s="28"/>
      <c r="K16" s="7"/>
      <c r="L16" s="26"/>
    </row>
    <row r="17" spans="1:16" ht="18" customHeight="1" x14ac:dyDescent="0.25">
      <c r="A17" s="14">
        <f t="shared" si="0"/>
        <v>9</v>
      </c>
      <c r="B17" s="8">
        <v>45656</v>
      </c>
      <c r="C17" s="46" t="s">
        <v>281</v>
      </c>
      <c r="D17" s="214" t="s">
        <v>214</v>
      </c>
      <c r="E17" s="16"/>
      <c r="F17" s="27">
        <f>62-3</f>
        <v>59</v>
      </c>
      <c r="G17" s="18">
        <f t="shared" si="1"/>
        <v>222</v>
      </c>
      <c r="H17" s="28" t="s">
        <v>91</v>
      </c>
      <c r="I17" s="28">
        <f>+F17*L12</f>
        <v>51.283702213279682</v>
      </c>
      <c r="J17" s="28"/>
      <c r="K17" s="7" t="s">
        <v>90</v>
      </c>
    </row>
    <row r="18" spans="1:16" ht="18" customHeight="1" x14ac:dyDescent="0.25">
      <c r="A18" s="14">
        <f t="shared" si="0"/>
        <v>10</v>
      </c>
      <c r="B18" s="8">
        <v>45657</v>
      </c>
      <c r="C18" s="46" t="s">
        <v>281</v>
      </c>
      <c r="D18" s="214" t="s">
        <v>214</v>
      </c>
      <c r="E18" s="30"/>
      <c r="F18" s="27">
        <v>39</v>
      </c>
      <c r="G18" s="18">
        <f t="shared" si="1"/>
        <v>183</v>
      </c>
      <c r="H18" s="28" t="s">
        <v>91</v>
      </c>
      <c r="I18" s="28">
        <f>+F18*L12</f>
        <v>33.899396378269621</v>
      </c>
      <c r="J18" s="28"/>
      <c r="K18" s="7" t="s">
        <v>90</v>
      </c>
    </row>
    <row r="19" spans="1:16" s="230" customFormat="1" ht="18" customHeight="1" x14ac:dyDescent="0.25">
      <c r="A19" s="14">
        <f t="shared" si="0"/>
        <v>11</v>
      </c>
      <c r="B19" s="224">
        <v>45670</v>
      </c>
      <c r="C19" s="46" t="s">
        <v>281</v>
      </c>
      <c r="D19" s="214" t="s">
        <v>214</v>
      </c>
      <c r="E19" s="227"/>
      <c r="F19" s="228">
        <v>14</v>
      </c>
      <c r="G19" s="18">
        <f t="shared" si="1"/>
        <v>169</v>
      </c>
      <c r="H19" s="28" t="s">
        <v>91</v>
      </c>
      <c r="I19" s="28">
        <f>+F19*L12</f>
        <v>12.169014084507042</v>
      </c>
      <c r="J19" s="28"/>
      <c r="K19" s="7" t="s">
        <v>90</v>
      </c>
      <c r="M19" s="230">
        <f>8*20+15*20+40+23</f>
        <v>523</v>
      </c>
    </row>
    <row r="20" spans="1:16" s="230" customFormat="1" x14ac:dyDescent="0.25">
      <c r="A20" s="14">
        <f t="shared" si="0"/>
        <v>12</v>
      </c>
      <c r="B20" s="224">
        <v>45671</v>
      </c>
      <c r="C20" s="46" t="s">
        <v>281</v>
      </c>
      <c r="D20" s="214" t="s">
        <v>214</v>
      </c>
      <c r="E20" s="231"/>
      <c r="F20" s="228">
        <v>38</v>
      </c>
      <c r="G20" s="18">
        <f t="shared" si="1"/>
        <v>131</v>
      </c>
      <c r="H20" s="28" t="s">
        <v>91</v>
      </c>
      <c r="I20" s="28">
        <f>+F20*L12</f>
        <v>33.030181086519114</v>
      </c>
      <c r="J20" s="28"/>
      <c r="K20" s="7" t="s">
        <v>90</v>
      </c>
    </row>
    <row r="21" spans="1:16" x14ac:dyDescent="0.25">
      <c r="A21" s="14">
        <f t="shared" si="0"/>
        <v>13</v>
      </c>
      <c r="B21" s="8">
        <v>45672</v>
      </c>
      <c r="C21" s="46" t="s">
        <v>281</v>
      </c>
      <c r="D21" s="214" t="s">
        <v>214</v>
      </c>
      <c r="E21" s="32"/>
      <c r="F21" s="17">
        <v>28</v>
      </c>
      <c r="G21" s="18">
        <f t="shared" si="1"/>
        <v>103</v>
      </c>
      <c r="H21" s="28" t="s">
        <v>91</v>
      </c>
      <c r="I21" s="28">
        <f>+F21*L12</f>
        <v>24.338028169014084</v>
      </c>
      <c r="J21" s="28"/>
      <c r="K21" s="7" t="s">
        <v>90</v>
      </c>
      <c r="N21">
        <f>271-33</f>
        <v>238</v>
      </c>
      <c r="P21" s="26"/>
    </row>
    <row r="22" spans="1:16" ht="18" customHeight="1" x14ac:dyDescent="0.25">
      <c r="A22" s="14">
        <f t="shared" si="0"/>
        <v>14</v>
      </c>
      <c r="B22" s="8">
        <v>45673</v>
      </c>
      <c r="C22" s="46" t="s">
        <v>281</v>
      </c>
      <c r="D22" s="214" t="s">
        <v>214</v>
      </c>
      <c r="E22" s="32"/>
      <c r="F22" s="27">
        <v>49</v>
      </c>
      <c r="G22" s="18">
        <f t="shared" si="1"/>
        <v>54</v>
      </c>
      <c r="H22" s="28" t="s">
        <v>91</v>
      </c>
      <c r="I22" s="28">
        <f>+F22*L12</f>
        <v>42.591549295774648</v>
      </c>
      <c r="J22" s="28"/>
      <c r="K22" s="7" t="s">
        <v>90</v>
      </c>
      <c r="N22">
        <f>62-33</f>
        <v>29</v>
      </c>
    </row>
    <row r="23" spans="1:16" ht="18" customHeight="1" x14ac:dyDescent="0.25">
      <c r="A23" s="14">
        <f t="shared" si="0"/>
        <v>15</v>
      </c>
      <c r="B23" s="232">
        <v>45674</v>
      </c>
      <c r="C23" s="233"/>
      <c r="D23" s="214" t="s">
        <v>214</v>
      </c>
      <c r="E23" s="235"/>
      <c r="F23" s="172">
        <v>15</v>
      </c>
      <c r="G23" s="18">
        <f t="shared" si="1"/>
        <v>39</v>
      </c>
      <c r="H23" s="28" t="s">
        <v>129</v>
      </c>
      <c r="I23" s="28">
        <f>+F23*L12</f>
        <v>13.038229376257545</v>
      </c>
      <c r="J23" s="28"/>
      <c r="K23" s="7" t="s">
        <v>90</v>
      </c>
    </row>
    <row r="24" spans="1:16" ht="18" customHeight="1" x14ac:dyDescent="0.25">
      <c r="A24" s="14">
        <f t="shared" si="0"/>
        <v>16</v>
      </c>
      <c r="B24" s="8">
        <v>45681</v>
      </c>
      <c r="C24" s="46"/>
      <c r="D24" s="214" t="s">
        <v>214</v>
      </c>
      <c r="E24" s="32"/>
      <c r="F24" s="17">
        <v>9</v>
      </c>
      <c r="G24" s="18">
        <f t="shared" si="1"/>
        <v>30</v>
      </c>
      <c r="H24" s="28" t="s">
        <v>129</v>
      </c>
      <c r="I24" s="28">
        <f>+F24*L12</f>
        <v>7.8229376257545278</v>
      </c>
      <c r="J24" s="28"/>
      <c r="K24" s="7" t="s">
        <v>142</v>
      </c>
    </row>
    <row r="25" spans="1:16" ht="18" customHeight="1" x14ac:dyDescent="0.25">
      <c r="A25" s="14">
        <f t="shared" si="0"/>
        <v>17</v>
      </c>
      <c r="B25" s="8">
        <v>45690</v>
      </c>
      <c r="C25" s="46"/>
      <c r="D25" s="214" t="s">
        <v>214</v>
      </c>
      <c r="E25" s="32"/>
      <c r="F25" s="17">
        <v>6</v>
      </c>
      <c r="G25" s="18">
        <f t="shared" si="1"/>
        <v>24</v>
      </c>
      <c r="H25" s="28" t="s">
        <v>91</v>
      </c>
      <c r="I25" s="28">
        <f>+F25*L12</f>
        <v>5.2152917505030185</v>
      </c>
      <c r="J25" s="28"/>
      <c r="K25" s="7" t="s">
        <v>90</v>
      </c>
    </row>
    <row r="26" spans="1:16" ht="18" customHeight="1" x14ac:dyDescent="0.25">
      <c r="A26" s="14">
        <f t="shared" si="0"/>
        <v>18</v>
      </c>
      <c r="B26" s="8">
        <v>45691</v>
      </c>
      <c r="C26" s="46"/>
      <c r="D26" s="214" t="s">
        <v>214</v>
      </c>
      <c r="E26" s="32"/>
      <c r="F26" s="17">
        <v>29</v>
      </c>
      <c r="G26" s="18">
        <f t="shared" si="1"/>
        <v>-5</v>
      </c>
      <c r="H26" s="28" t="s">
        <v>91</v>
      </c>
      <c r="I26" s="28">
        <f>+F26*L12</f>
        <v>25.207243460764587</v>
      </c>
      <c r="J26" s="28"/>
      <c r="K26" s="7" t="s">
        <v>90</v>
      </c>
    </row>
    <row r="27" spans="1:16" ht="18" customHeight="1" x14ac:dyDescent="0.25">
      <c r="A27" s="14">
        <f t="shared" si="0"/>
        <v>19</v>
      </c>
      <c r="B27" s="8">
        <v>45692</v>
      </c>
      <c r="C27" s="46"/>
      <c r="D27" s="214" t="s">
        <v>214</v>
      </c>
      <c r="E27" s="32"/>
      <c r="F27" s="17">
        <v>43</v>
      </c>
      <c r="G27" s="18">
        <f t="shared" si="1"/>
        <v>-48</v>
      </c>
      <c r="H27" s="28" t="s">
        <v>91</v>
      </c>
      <c r="I27" s="28">
        <f>+F27*L12</f>
        <v>37.376257545271628</v>
      </c>
      <c r="J27" s="28"/>
      <c r="K27" s="7" t="s">
        <v>90</v>
      </c>
    </row>
    <row r="28" spans="1:16" ht="18" customHeight="1" x14ac:dyDescent="0.25">
      <c r="A28" s="14">
        <f t="shared" si="0"/>
        <v>20</v>
      </c>
      <c r="B28" s="8">
        <v>45695</v>
      </c>
      <c r="C28" s="46"/>
      <c r="D28" s="214" t="s">
        <v>214</v>
      </c>
      <c r="E28" s="32">
        <v>320</v>
      </c>
      <c r="F28" s="17"/>
      <c r="G28" s="18">
        <f t="shared" si="1"/>
        <v>272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>
        <v>45776</v>
      </c>
      <c r="C29" s="46"/>
      <c r="D29" s="214" t="s">
        <v>214</v>
      </c>
      <c r="E29" s="129"/>
      <c r="F29" s="17">
        <v>23</v>
      </c>
      <c r="G29" s="18">
        <f t="shared" si="1"/>
        <v>249</v>
      </c>
      <c r="H29" s="28" t="s">
        <v>91</v>
      </c>
      <c r="I29" s="28">
        <f>+F29*L12</f>
        <v>19.991951710261571</v>
      </c>
      <c r="J29" s="28"/>
      <c r="K29" s="7" t="s">
        <v>90</v>
      </c>
    </row>
    <row r="30" spans="1:16" ht="18" customHeight="1" x14ac:dyDescent="0.25">
      <c r="A30" s="14">
        <f t="shared" si="0"/>
        <v>22</v>
      </c>
      <c r="B30" s="8">
        <v>45783</v>
      </c>
      <c r="C30" s="46"/>
      <c r="D30" s="214" t="s">
        <v>214</v>
      </c>
      <c r="E30" s="32"/>
      <c r="F30" s="172">
        <v>30</v>
      </c>
      <c r="G30" s="18">
        <f t="shared" si="1"/>
        <v>219</v>
      </c>
      <c r="H30" s="28" t="s">
        <v>91</v>
      </c>
      <c r="I30" s="28">
        <f>+F30*L12</f>
        <v>26.076458752515091</v>
      </c>
      <c r="J30" s="28"/>
      <c r="K30" s="7" t="s">
        <v>90</v>
      </c>
    </row>
    <row r="31" spans="1:16" ht="18" customHeight="1" x14ac:dyDescent="0.25">
      <c r="A31" s="14">
        <f t="shared" si="0"/>
        <v>23</v>
      </c>
      <c r="B31" s="8">
        <v>45784</v>
      </c>
      <c r="C31" s="46"/>
      <c r="D31" s="214" t="s">
        <v>214</v>
      </c>
      <c r="E31" s="32"/>
      <c r="F31" s="17">
        <v>97</v>
      </c>
      <c r="G31" s="18">
        <f t="shared" si="1"/>
        <v>122</v>
      </c>
      <c r="H31" s="28" t="s">
        <v>91</v>
      </c>
      <c r="I31" s="28">
        <f t="shared" ref="I31" si="2">+F31*L13</f>
        <v>0</v>
      </c>
      <c r="J31" s="28"/>
      <c r="K31" s="7" t="s">
        <v>90</v>
      </c>
    </row>
    <row r="32" spans="1:16" ht="18" customHeight="1" x14ac:dyDescent="0.25">
      <c r="A32" s="14">
        <f t="shared" si="0"/>
        <v>24</v>
      </c>
      <c r="B32" s="8">
        <v>45786</v>
      </c>
      <c r="C32" s="46"/>
      <c r="D32" s="214" t="s">
        <v>214</v>
      </c>
      <c r="E32" s="32"/>
      <c r="F32" s="17">
        <f>122-50</f>
        <v>72</v>
      </c>
      <c r="G32" s="18">
        <f t="shared" si="1"/>
        <v>50</v>
      </c>
      <c r="H32" s="28" t="s">
        <v>91</v>
      </c>
      <c r="I32" s="28">
        <f>+F32*L12</f>
        <v>62.583501006036222</v>
      </c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8">
        <v>45787</v>
      </c>
      <c r="C33" s="46"/>
      <c r="D33" s="214" t="s">
        <v>214</v>
      </c>
      <c r="E33" s="13"/>
      <c r="F33" s="17">
        <v>50</v>
      </c>
      <c r="G33" s="18">
        <f t="shared" si="1"/>
        <v>0</v>
      </c>
      <c r="H33" s="28" t="s">
        <v>91</v>
      </c>
      <c r="I33" s="28">
        <f>+F33*L12</f>
        <v>43.460764587525155</v>
      </c>
      <c r="J33" s="28"/>
      <c r="K33" s="7" t="s">
        <v>90</v>
      </c>
    </row>
    <row r="34" spans="1:18" ht="17.25" customHeight="1" x14ac:dyDescent="0.25">
      <c r="A34" s="14">
        <f t="shared" si="0"/>
        <v>26</v>
      </c>
      <c r="B34" s="44"/>
      <c r="C34" s="46"/>
      <c r="D34" s="214" t="s">
        <v>214</v>
      </c>
      <c r="E34" s="13"/>
      <c r="F34" s="17"/>
      <c r="G34" s="18">
        <f t="shared" si="1"/>
        <v>0</v>
      </c>
      <c r="H34" s="178"/>
      <c r="I34" s="178"/>
      <c r="J34" s="178"/>
      <c r="K34" s="7" t="s">
        <v>90</v>
      </c>
    </row>
    <row r="35" spans="1:18" ht="18" customHeight="1" x14ac:dyDescent="0.25">
      <c r="A35" s="14">
        <f t="shared" si="0"/>
        <v>27</v>
      </c>
      <c r="B35" s="8"/>
      <c r="C35" s="46"/>
      <c r="D35" s="214" t="s">
        <v>214</v>
      </c>
      <c r="E35" s="32"/>
      <c r="F35" s="40"/>
      <c r="G35" s="18">
        <f t="shared" si="1"/>
        <v>0</v>
      </c>
      <c r="H35" s="178"/>
      <c r="I35" s="178"/>
      <c r="J35" s="178"/>
      <c r="K35" s="7" t="s">
        <v>90</v>
      </c>
    </row>
    <row r="36" spans="1:18" ht="18" customHeight="1" x14ac:dyDescent="0.25">
      <c r="A36" s="14">
        <f t="shared" si="0"/>
        <v>28</v>
      </c>
      <c r="B36" s="45"/>
      <c r="C36" s="46"/>
      <c r="D36" s="214" t="s">
        <v>214</v>
      </c>
      <c r="E36" s="32"/>
      <c r="F36" s="40"/>
      <c r="G36" s="18">
        <f t="shared" si="1"/>
        <v>0</v>
      </c>
      <c r="H36" s="178"/>
      <c r="I36" s="178"/>
      <c r="J36" s="178"/>
      <c r="K36" s="7" t="s">
        <v>90</v>
      </c>
    </row>
    <row r="37" spans="1:18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40"/>
      <c r="G37" s="18">
        <f t="shared" si="1"/>
        <v>0</v>
      </c>
      <c r="H37" s="178"/>
      <c r="I37" s="178"/>
      <c r="J37" s="178"/>
      <c r="K37" s="7" t="s">
        <v>90</v>
      </c>
    </row>
    <row r="38" spans="1:18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0</v>
      </c>
      <c r="H38" s="178"/>
      <c r="I38" s="178"/>
      <c r="J38" s="178"/>
      <c r="K38" s="7" t="s">
        <v>90</v>
      </c>
    </row>
    <row r="39" spans="1:18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0</v>
      </c>
      <c r="H39" s="178"/>
      <c r="I39" s="178"/>
      <c r="J39" s="178"/>
      <c r="K39" s="7" t="s">
        <v>90</v>
      </c>
    </row>
    <row r="40" spans="1:18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0</v>
      </c>
      <c r="H40" s="178"/>
      <c r="I40" s="178"/>
      <c r="J40" s="178"/>
      <c r="K40" s="7" t="s">
        <v>90</v>
      </c>
    </row>
    <row r="41" spans="1:18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"/>
      <c r="G41" s="18">
        <f t="shared" si="1"/>
        <v>0</v>
      </c>
      <c r="H41" s="178"/>
      <c r="I41" s="178"/>
      <c r="J41" s="178"/>
      <c r="K41" s="7" t="s">
        <v>90</v>
      </c>
    </row>
    <row r="42" spans="1:18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2"/>
      <c r="G42" s="18">
        <f t="shared" si="1"/>
        <v>0</v>
      </c>
      <c r="H42" s="178"/>
      <c r="I42" s="178"/>
      <c r="J42" s="178"/>
      <c r="K42" s="7" t="s">
        <v>90</v>
      </c>
      <c r="R42" s="162"/>
    </row>
    <row r="43" spans="1:18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0</v>
      </c>
      <c r="H43" s="178"/>
      <c r="I43" s="178"/>
      <c r="J43" s="178"/>
      <c r="K43" s="7" t="s">
        <v>90</v>
      </c>
    </row>
    <row r="44" spans="1:18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0</v>
      </c>
      <c r="H44" s="178"/>
      <c r="I44" s="178"/>
      <c r="J44" s="178"/>
      <c r="K44" s="7" t="s">
        <v>90</v>
      </c>
    </row>
    <row r="45" spans="1:18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0</v>
      </c>
      <c r="H45" s="178"/>
      <c r="I45" s="178"/>
      <c r="J45" s="178"/>
      <c r="K45" s="7" t="s">
        <v>90</v>
      </c>
    </row>
    <row r="46" spans="1:18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0</v>
      </c>
      <c r="H46" s="178"/>
      <c r="I46" s="178"/>
      <c r="J46" s="178"/>
      <c r="K46" s="7" t="s">
        <v>90</v>
      </c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0</v>
      </c>
      <c r="H47" s="178"/>
      <c r="I47" s="178"/>
      <c r="J47" s="178"/>
      <c r="K47" s="7" t="s">
        <v>90</v>
      </c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0</v>
      </c>
      <c r="H48" s="178"/>
      <c r="I48" s="178"/>
      <c r="J48" s="178"/>
      <c r="K48" s="7" t="s">
        <v>90</v>
      </c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0</v>
      </c>
      <c r="H49" s="178"/>
      <c r="I49" s="178"/>
      <c r="J49" s="178"/>
      <c r="K49" s="7" t="s">
        <v>90</v>
      </c>
    </row>
    <row r="50" spans="1:18" ht="18" customHeight="1" x14ac:dyDescent="0.25">
      <c r="A50" s="14">
        <f t="shared" si="0"/>
        <v>42</v>
      </c>
      <c r="B50" s="8"/>
      <c r="C50" s="46"/>
      <c r="D50" s="214" t="s">
        <v>214</v>
      </c>
      <c r="E50" s="32"/>
      <c r="F50" s="17"/>
      <c r="G50" s="18">
        <f t="shared" si="1"/>
        <v>0</v>
      </c>
      <c r="H50" s="178"/>
      <c r="I50" s="178"/>
      <c r="J50" s="178"/>
      <c r="K50" s="7" t="s">
        <v>90</v>
      </c>
    </row>
    <row r="51" spans="1:18" s="162" customFormat="1" ht="18" customHeight="1" x14ac:dyDescent="0.25">
      <c r="A51" s="14">
        <f t="shared" si="0"/>
        <v>43</v>
      </c>
      <c r="B51" s="174"/>
      <c r="C51" s="236"/>
      <c r="D51" s="214" t="s">
        <v>214</v>
      </c>
      <c r="E51" s="175"/>
      <c r="F51" s="172"/>
      <c r="G51" s="18">
        <f t="shared" si="1"/>
        <v>0</v>
      </c>
      <c r="H51" s="178"/>
      <c r="I51" s="178"/>
      <c r="J51" s="178"/>
      <c r="K51" s="7" t="s">
        <v>90</v>
      </c>
      <c r="R51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0</v>
      </c>
      <c r="H52" s="239"/>
      <c r="I52" s="239"/>
      <c r="J52" s="239"/>
      <c r="K52" s="7" t="s">
        <v>90</v>
      </c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0</v>
      </c>
      <c r="H53" s="239"/>
      <c r="I53" s="239"/>
      <c r="J53" s="239"/>
      <c r="K53" s="7" t="s">
        <v>90</v>
      </c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0</v>
      </c>
      <c r="H54" s="239"/>
      <c r="I54" s="239"/>
      <c r="J54" s="239"/>
      <c r="K54" s="7" t="s">
        <v>90</v>
      </c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0</v>
      </c>
      <c r="H55" s="28"/>
      <c r="I55" s="28"/>
      <c r="J55" s="28"/>
      <c r="K55" s="7" t="s">
        <v>90</v>
      </c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0</v>
      </c>
      <c r="H56" s="240"/>
      <c r="I56" s="240"/>
      <c r="J56" s="240"/>
      <c r="K56" s="7" t="s">
        <v>90</v>
      </c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0</v>
      </c>
      <c r="H57" s="240"/>
      <c r="I57" s="240"/>
      <c r="J57" s="240"/>
      <c r="K57" s="7" t="s">
        <v>90</v>
      </c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0</v>
      </c>
      <c r="H58" s="240"/>
      <c r="I58" s="240"/>
      <c r="J58" s="240"/>
      <c r="K58" s="7" t="s">
        <v>90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0</v>
      </c>
      <c r="H59" s="240"/>
      <c r="I59" s="240"/>
      <c r="J59" s="240"/>
      <c r="K59" s="7" t="s">
        <v>90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0</v>
      </c>
      <c r="H60" s="240"/>
      <c r="I60" s="240"/>
      <c r="J60" s="240"/>
      <c r="K60" s="7" t="s">
        <v>90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0</v>
      </c>
      <c r="H61" s="240"/>
      <c r="I61" s="240"/>
      <c r="J61" s="240"/>
      <c r="K61" s="7" t="s">
        <v>90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0</v>
      </c>
      <c r="H62" s="240"/>
      <c r="I62" s="240"/>
      <c r="J62" s="240"/>
      <c r="K62" s="7" t="s">
        <v>90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0</v>
      </c>
      <c r="H63" s="240"/>
      <c r="I63" s="240"/>
      <c r="J63" s="240"/>
      <c r="K63" s="7" t="s">
        <v>90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0</v>
      </c>
      <c r="H64" s="240"/>
      <c r="I64" s="240"/>
      <c r="J64" s="240"/>
      <c r="K64" s="7" t="s">
        <v>90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0</v>
      </c>
      <c r="H65" s="240"/>
      <c r="I65" s="240"/>
      <c r="J65" s="240"/>
      <c r="K65" s="7" t="s">
        <v>90</v>
      </c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0</v>
      </c>
      <c r="H66" s="240"/>
      <c r="I66" s="240"/>
      <c r="J66" s="240"/>
      <c r="K66" s="7" t="s">
        <v>90</v>
      </c>
      <c r="L66" s="26"/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 t="shared" si="1"/>
        <v>0</v>
      </c>
      <c r="H67" s="240"/>
      <c r="I67" s="240"/>
      <c r="J67" s="240"/>
      <c r="K67" s="7" t="s">
        <v>90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 t="shared" si="1"/>
        <v>0</v>
      </c>
      <c r="H68" s="240"/>
      <c r="I68" s="240"/>
      <c r="J68" s="240"/>
      <c r="K68" s="7" t="s">
        <v>90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 t="shared" si="1"/>
        <v>0</v>
      </c>
      <c r="H69" s="240"/>
      <c r="I69" s="240"/>
      <c r="J69" s="240"/>
      <c r="K69" s="7" t="s">
        <v>90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0</v>
      </c>
      <c r="H70" s="240"/>
      <c r="I70" s="240"/>
      <c r="J70" s="240"/>
      <c r="K70" s="7" t="s">
        <v>90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0</v>
      </c>
      <c r="H71" s="240"/>
      <c r="I71" s="240"/>
      <c r="J71" s="240"/>
      <c r="K71" s="7" t="s">
        <v>90</v>
      </c>
    </row>
    <row r="72" spans="1:12" ht="18" customHeight="1" x14ac:dyDescent="0.25">
      <c r="A72" s="14">
        <f t="shared" si="0"/>
        <v>64</v>
      </c>
      <c r="B72" s="8"/>
      <c r="C72" s="46"/>
      <c r="D72" s="214" t="s">
        <v>214</v>
      </c>
      <c r="E72" s="32"/>
      <c r="F72" s="17"/>
      <c r="G72" s="18">
        <f t="shared" si="1"/>
        <v>0</v>
      </c>
      <c r="H72" s="240"/>
      <c r="I72" s="240"/>
      <c r="J72" s="240"/>
      <c r="K72" s="7" t="s">
        <v>90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0</v>
      </c>
      <c r="H73" s="240"/>
      <c r="I73" s="240"/>
      <c r="J73" s="240"/>
      <c r="K73" s="7" t="s">
        <v>90</v>
      </c>
    </row>
    <row r="74" spans="1:12" ht="18" customHeight="1" x14ac:dyDescent="0.25">
      <c r="A74" s="14">
        <f t="shared" ref="A74:A108" si="3">+A73+1</f>
        <v>66</v>
      </c>
      <c r="B74" s="8"/>
      <c r="C74" s="46"/>
      <c r="D74" s="214" t="s">
        <v>214</v>
      </c>
      <c r="E74" s="32"/>
      <c r="F74" s="17"/>
      <c r="G74" s="18">
        <f t="shared" ref="G74:G108" si="4">+G73+E74-F74</f>
        <v>0</v>
      </c>
      <c r="H74" s="240"/>
      <c r="I74" s="240"/>
      <c r="J74" s="240"/>
      <c r="K74" s="7" t="s">
        <v>90</v>
      </c>
    </row>
    <row r="75" spans="1:12" ht="18" customHeight="1" x14ac:dyDescent="0.25">
      <c r="A75" s="14">
        <f t="shared" si="3"/>
        <v>67</v>
      </c>
      <c r="B75" s="8"/>
      <c r="C75" s="46"/>
      <c r="D75" s="214" t="s">
        <v>214</v>
      </c>
      <c r="E75" s="32"/>
      <c r="F75" s="17"/>
      <c r="G75" s="18">
        <f t="shared" si="4"/>
        <v>0</v>
      </c>
      <c r="H75" s="240"/>
      <c r="I75" s="240"/>
      <c r="J75" s="240"/>
      <c r="K75" s="7" t="s">
        <v>90</v>
      </c>
    </row>
    <row r="76" spans="1:12" ht="18" customHeight="1" x14ac:dyDescent="0.25">
      <c r="A76" s="14">
        <f t="shared" si="3"/>
        <v>68</v>
      </c>
      <c r="B76" s="8"/>
      <c r="C76" s="46"/>
      <c r="D76" s="214" t="s">
        <v>214</v>
      </c>
      <c r="E76" s="32"/>
      <c r="F76" s="17"/>
      <c r="G76" s="18">
        <f t="shared" si="4"/>
        <v>0</v>
      </c>
      <c r="H76" s="240"/>
      <c r="I76" s="240"/>
      <c r="J76" s="240"/>
      <c r="K76" s="7" t="s">
        <v>90</v>
      </c>
    </row>
    <row r="77" spans="1:12" ht="18" customHeight="1" x14ac:dyDescent="0.25">
      <c r="A77" s="14">
        <f t="shared" si="3"/>
        <v>69</v>
      </c>
      <c r="B77" s="8"/>
      <c r="C77" s="46"/>
      <c r="D77" s="214" t="s">
        <v>214</v>
      </c>
      <c r="E77" s="32"/>
      <c r="F77" s="17"/>
      <c r="G77" s="18">
        <f t="shared" si="4"/>
        <v>0</v>
      </c>
      <c r="H77" s="240"/>
      <c r="I77" s="240"/>
      <c r="J77" s="240"/>
      <c r="K77" s="7" t="s">
        <v>90</v>
      </c>
    </row>
    <row r="78" spans="1:12" ht="18" customHeight="1" x14ac:dyDescent="0.25">
      <c r="A78" s="14">
        <f t="shared" si="3"/>
        <v>70</v>
      </c>
      <c r="B78" s="8"/>
      <c r="C78" s="46"/>
      <c r="D78" s="214" t="s">
        <v>214</v>
      </c>
      <c r="E78" s="32"/>
      <c r="F78" s="17"/>
      <c r="G78" s="18">
        <f t="shared" si="4"/>
        <v>0</v>
      </c>
      <c r="H78" s="240"/>
      <c r="I78" s="240"/>
      <c r="J78" s="240"/>
      <c r="K78" s="7" t="s">
        <v>90</v>
      </c>
    </row>
    <row r="79" spans="1:12" ht="18" customHeight="1" x14ac:dyDescent="0.25">
      <c r="A79" s="14">
        <f t="shared" si="3"/>
        <v>71</v>
      </c>
      <c r="B79" s="8"/>
      <c r="C79" s="46"/>
      <c r="D79" s="214" t="s">
        <v>214</v>
      </c>
      <c r="E79" s="32"/>
      <c r="F79" s="17"/>
      <c r="G79" s="18">
        <f t="shared" si="4"/>
        <v>0</v>
      </c>
      <c r="H79" s="240"/>
      <c r="I79" s="240"/>
      <c r="J79" s="240"/>
      <c r="K79" s="7" t="s">
        <v>90</v>
      </c>
    </row>
    <row r="80" spans="1:12" ht="18" customHeight="1" x14ac:dyDescent="0.25">
      <c r="A80" s="14">
        <f t="shared" si="3"/>
        <v>72</v>
      </c>
      <c r="B80" s="8"/>
      <c r="C80" s="46"/>
      <c r="D80" s="214" t="s">
        <v>214</v>
      </c>
      <c r="E80" s="32"/>
      <c r="F80" s="17"/>
      <c r="G80" s="18">
        <f t="shared" si="4"/>
        <v>0</v>
      </c>
      <c r="H80" s="240"/>
      <c r="I80" s="240"/>
      <c r="J80" s="240"/>
      <c r="K80" s="7" t="s">
        <v>90</v>
      </c>
    </row>
    <row r="81" spans="1:19" ht="18" customHeight="1" x14ac:dyDescent="0.25">
      <c r="A81" s="14">
        <f t="shared" si="3"/>
        <v>73</v>
      </c>
      <c r="B81" s="8"/>
      <c r="C81" s="46"/>
      <c r="D81" s="214" t="s">
        <v>214</v>
      </c>
      <c r="E81" s="32"/>
      <c r="F81" s="17"/>
      <c r="G81" s="18">
        <f t="shared" si="4"/>
        <v>0</v>
      </c>
      <c r="H81" s="240"/>
      <c r="I81" s="240"/>
      <c r="J81" s="240"/>
      <c r="K81" s="7" t="s">
        <v>90</v>
      </c>
    </row>
    <row r="82" spans="1:19" ht="18" customHeight="1" x14ac:dyDescent="0.25">
      <c r="A82" s="14">
        <f t="shared" si="3"/>
        <v>74</v>
      </c>
      <c r="B82" s="8"/>
      <c r="C82" s="46"/>
      <c r="D82" s="214" t="s">
        <v>214</v>
      </c>
      <c r="E82" s="32"/>
      <c r="F82" s="17"/>
      <c r="G82" s="18">
        <f t="shared" si="4"/>
        <v>0</v>
      </c>
      <c r="H82" s="240"/>
      <c r="I82" s="240"/>
      <c r="J82" s="240"/>
      <c r="K82" s="7" t="s">
        <v>90</v>
      </c>
    </row>
    <row r="83" spans="1:19" ht="18" customHeight="1" x14ac:dyDescent="0.25">
      <c r="A83" s="14">
        <f t="shared" si="3"/>
        <v>75</v>
      </c>
      <c r="B83" s="8"/>
      <c r="C83" s="46"/>
      <c r="D83" s="214" t="s">
        <v>214</v>
      </c>
      <c r="E83" s="32"/>
      <c r="F83" s="17"/>
      <c r="G83" s="18">
        <f t="shared" si="4"/>
        <v>0</v>
      </c>
      <c r="H83" s="240"/>
      <c r="I83" s="240"/>
      <c r="J83" s="240"/>
      <c r="K83" s="7" t="s">
        <v>90</v>
      </c>
    </row>
    <row r="84" spans="1:19" ht="18" customHeight="1" x14ac:dyDescent="0.25">
      <c r="A84" s="14">
        <f t="shared" si="3"/>
        <v>76</v>
      </c>
      <c r="B84" s="8"/>
      <c r="C84" s="46"/>
      <c r="D84" s="214" t="s">
        <v>214</v>
      </c>
      <c r="E84" s="32"/>
      <c r="F84" s="27"/>
      <c r="G84" s="18">
        <f t="shared" si="4"/>
        <v>0</v>
      </c>
      <c r="H84" s="240"/>
      <c r="I84" s="240"/>
      <c r="J84" s="240"/>
      <c r="K84" s="7" t="s">
        <v>90</v>
      </c>
    </row>
    <row r="85" spans="1:19" ht="18" customHeight="1" x14ac:dyDescent="0.25">
      <c r="A85" s="14">
        <f t="shared" si="3"/>
        <v>77</v>
      </c>
      <c r="B85" s="8"/>
      <c r="C85" s="46"/>
      <c r="D85" s="214" t="s">
        <v>214</v>
      </c>
      <c r="E85" s="32"/>
      <c r="F85" s="17"/>
      <c r="G85" s="18">
        <f t="shared" si="4"/>
        <v>0</v>
      </c>
      <c r="H85" s="240"/>
      <c r="I85" s="240"/>
      <c r="J85" s="240"/>
      <c r="K85" s="7" t="s">
        <v>90</v>
      </c>
    </row>
    <row r="86" spans="1:19" ht="18" customHeight="1" x14ac:dyDescent="0.25">
      <c r="A86" s="14">
        <f t="shared" si="3"/>
        <v>78</v>
      </c>
      <c r="B86" s="8"/>
      <c r="C86" s="46"/>
      <c r="D86" s="214" t="s">
        <v>214</v>
      </c>
      <c r="E86" s="32"/>
      <c r="F86" s="17"/>
      <c r="G86" s="18">
        <f t="shared" si="4"/>
        <v>0</v>
      </c>
      <c r="H86" s="240"/>
      <c r="I86" s="240"/>
      <c r="J86" s="240"/>
      <c r="K86" s="7" t="s">
        <v>90</v>
      </c>
    </row>
    <row r="87" spans="1:19" ht="18" customHeight="1" x14ac:dyDescent="0.25">
      <c r="A87" s="14">
        <f t="shared" si="3"/>
        <v>79</v>
      </c>
      <c r="B87" s="8"/>
      <c r="C87" s="46"/>
      <c r="D87" s="214" t="s">
        <v>214</v>
      </c>
      <c r="E87" s="32"/>
      <c r="F87" s="17"/>
      <c r="G87" s="18">
        <f t="shared" si="4"/>
        <v>0</v>
      </c>
      <c r="H87" s="240"/>
      <c r="I87" s="240"/>
      <c r="J87" s="240"/>
      <c r="K87" s="7" t="s">
        <v>90</v>
      </c>
    </row>
    <row r="88" spans="1:19" ht="18" customHeight="1" x14ac:dyDescent="0.25">
      <c r="A88" s="14">
        <f t="shared" si="3"/>
        <v>80</v>
      </c>
      <c r="B88" s="8"/>
      <c r="C88" s="46"/>
      <c r="D88" s="214" t="s">
        <v>214</v>
      </c>
      <c r="E88" s="32"/>
      <c r="F88" s="17"/>
      <c r="G88" s="18">
        <f t="shared" si="4"/>
        <v>0</v>
      </c>
      <c r="H88" s="240"/>
      <c r="I88" s="240"/>
      <c r="J88" s="240"/>
      <c r="K88" s="7" t="s">
        <v>90</v>
      </c>
    </row>
    <row r="89" spans="1:19" ht="18" customHeight="1" x14ac:dyDescent="0.25">
      <c r="A89" s="14">
        <f t="shared" si="3"/>
        <v>81</v>
      </c>
      <c r="B89" s="8"/>
      <c r="C89" s="46"/>
      <c r="D89" s="214" t="s">
        <v>214</v>
      </c>
      <c r="E89" s="32"/>
      <c r="F89" s="17"/>
      <c r="G89" s="18">
        <f t="shared" si="4"/>
        <v>0</v>
      </c>
      <c r="H89" s="240"/>
      <c r="I89" s="240"/>
      <c r="J89" s="240"/>
      <c r="K89" s="7" t="s">
        <v>90</v>
      </c>
    </row>
    <row r="90" spans="1:19" ht="18" customHeight="1" x14ac:dyDescent="0.25">
      <c r="A90" s="14">
        <f t="shared" si="3"/>
        <v>82</v>
      </c>
      <c r="B90" s="8"/>
      <c r="C90" s="46"/>
      <c r="D90" s="214" t="s">
        <v>214</v>
      </c>
      <c r="E90" s="32"/>
      <c r="F90" s="17"/>
      <c r="G90" s="18">
        <f t="shared" si="4"/>
        <v>0</v>
      </c>
      <c r="H90" s="240"/>
      <c r="I90" s="240"/>
      <c r="J90" s="240"/>
      <c r="K90" s="7" t="s">
        <v>90</v>
      </c>
    </row>
    <row r="91" spans="1:19" ht="18" customHeight="1" x14ac:dyDescent="0.25">
      <c r="A91" s="14">
        <f t="shared" si="3"/>
        <v>83</v>
      </c>
      <c r="B91" s="8"/>
      <c r="C91" s="46"/>
      <c r="D91" s="214" t="s">
        <v>214</v>
      </c>
      <c r="E91" s="32"/>
      <c r="F91" s="17"/>
      <c r="G91" s="18">
        <f t="shared" si="4"/>
        <v>0</v>
      </c>
      <c r="H91" s="240"/>
      <c r="I91" s="240"/>
      <c r="J91" s="240"/>
      <c r="K91" s="7" t="s">
        <v>90</v>
      </c>
      <c r="N91" s="199"/>
      <c r="S91" s="199"/>
    </row>
    <row r="92" spans="1:19" ht="18" customHeight="1" x14ac:dyDescent="0.25">
      <c r="A92" s="14">
        <f t="shared" si="3"/>
        <v>84</v>
      </c>
      <c r="B92" s="8"/>
      <c r="C92" s="46"/>
      <c r="D92" s="214" t="s">
        <v>214</v>
      </c>
      <c r="E92" s="32"/>
      <c r="F92" s="27"/>
      <c r="G92" s="18">
        <f t="shared" si="4"/>
        <v>0</v>
      </c>
      <c r="H92" s="240"/>
      <c r="I92" s="240"/>
      <c r="J92" s="240"/>
      <c r="K92" s="7" t="s">
        <v>90</v>
      </c>
      <c r="N92" s="199"/>
      <c r="S92" s="199"/>
    </row>
    <row r="93" spans="1:19" ht="18" customHeight="1" x14ac:dyDescent="0.25">
      <c r="A93" s="14">
        <f t="shared" si="3"/>
        <v>85</v>
      </c>
      <c r="B93" s="8"/>
      <c r="C93" s="46"/>
      <c r="D93" s="214" t="s">
        <v>214</v>
      </c>
      <c r="E93" s="32"/>
      <c r="F93" s="27"/>
      <c r="G93" s="18">
        <f t="shared" si="4"/>
        <v>0</v>
      </c>
      <c r="H93" s="240"/>
      <c r="I93" s="240"/>
      <c r="J93" s="240"/>
      <c r="K93" s="7" t="s">
        <v>90</v>
      </c>
      <c r="N93" s="199"/>
      <c r="S93" s="199"/>
    </row>
    <row r="94" spans="1:19" s="179" customFormat="1" ht="18" customHeight="1" x14ac:dyDescent="0.25">
      <c r="A94" s="14">
        <f t="shared" si="3"/>
        <v>86</v>
      </c>
      <c r="B94" s="242"/>
      <c r="C94" s="243"/>
      <c r="D94" s="214" t="s">
        <v>214</v>
      </c>
      <c r="E94" s="245"/>
      <c r="F94" s="52"/>
      <c r="G94" s="18">
        <f t="shared" si="4"/>
        <v>0</v>
      </c>
      <c r="H94" s="240"/>
      <c r="I94" s="240"/>
      <c r="J94" s="240"/>
      <c r="K94" s="7" t="s">
        <v>90</v>
      </c>
      <c r="L94" s="179" t="s">
        <v>43</v>
      </c>
      <c r="N94" s="248"/>
      <c r="S94" s="248"/>
    </row>
    <row r="95" spans="1:19" s="179" customFormat="1" ht="18" customHeight="1" x14ac:dyDescent="0.25">
      <c r="A95" s="14">
        <f t="shared" si="3"/>
        <v>87</v>
      </c>
      <c r="B95" s="242"/>
      <c r="C95" s="243"/>
      <c r="D95" s="214" t="s">
        <v>214</v>
      </c>
      <c r="E95" s="245"/>
      <c r="F95" s="52"/>
      <c r="G95" s="18">
        <f t="shared" si="4"/>
        <v>0</v>
      </c>
      <c r="H95" s="240"/>
      <c r="I95" s="240"/>
      <c r="J95" s="240"/>
      <c r="K95" s="7" t="s">
        <v>90</v>
      </c>
      <c r="N95" s="248"/>
      <c r="S95" s="248"/>
    </row>
    <row r="96" spans="1:19" s="179" customFormat="1" ht="18" customHeight="1" x14ac:dyDescent="0.25">
      <c r="A96" s="14">
        <f t="shared" si="3"/>
        <v>88</v>
      </c>
      <c r="B96" s="242"/>
      <c r="C96" s="243"/>
      <c r="D96" s="214" t="s">
        <v>214</v>
      </c>
      <c r="E96" s="245"/>
      <c r="F96" s="52"/>
      <c r="G96" s="18">
        <f t="shared" si="4"/>
        <v>0</v>
      </c>
      <c r="H96" s="240"/>
      <c r="I96" s="240"/>
      <c r="J96" s="240"/>
      <c r="K96" s="7" t="s">
        <v>90</v>
      </c>
      <c r="N96" s="248"/>
      <c r="S96" s="248"/>
    </row>
    <row r="97" spans="1:19" s="179" customFormat="1" ht="18" customHeight="1" x14ac:dyDescent="0.25">
      <c r="A97" s="14">
        <f t="shared" si="3"/>
        <v>89</v>
      </c>
      <c r="B97" s="242"/>
      <c r="C97" s="243"/>
      <c r="D97" s="214" t="s">
        <v>214</v>
      </c>
      <c r="E97" s="245"/>
      <c r="F97" s="52"/>
      <c r="G97" s="18">
        <f t="shared" si="4"/>
        <v>0</v>
      </c>
      <c r="H97" s="240"/>
      <c r="I97" s="240"/>
      <c r="J97" s="240"/>
      <c r="K97" s="7" t="s">
        <v>90</v>
      </c>
      <c r="N97" s="248"/>
      <c r="S97" s="248"/>
    </row>
    <row r="98" spans="1:19" s="179" customFormat="1" ht="18" customHeight="1" x14ac:dyDescent="0.25">
      <c r="A98" s="14">
        <f t="shared" si="3"/>
        <v>90</v>
      </c>
      <c r="B98" s="242"/>
      <c r="C98" s="243"/>
      <c r="D98" s="214" t="s">
        <v>214</v>
      </c>
      <c r="E98" s="245"/>
      <c r="F98" s="52"/>
      <c r="G98" s="18">
        <f t="shared" si="4"/>
        <v>0</v>
      </c>
      <c r="H98" s="240"/>
      <c r="I98" s="240"/>
      <c r="J98" s="240"/>
      <c r="K98" s="7" t="s">
        <v>90</v>
      </c>
      <c r="N98" s="248"/>
      <c r="S98" s="248"/>
    </row>
    <row r="99" spans="1:19" s="179" customFormat="1" ht="18" customHeight="1" x14ac:dyDescent="0.25">
      <c r="A99" s="14">
        <f t="shared" si="3"/>
        <v>91</v>
      </c>
      <c r="B99" s="242"/>
      <c r="C99" s="243"/>
      <c r="D99" s="214" t="s">
        <v>214</v>
      </c>
      <c r="E99" s="245"/>
      <c r="F99" s="52"/>
      <c r="G99" s="18">
        <f t="shared" si="4"/>
        <v>0</v>
      </c>
      <c r="H99" s="240"/>
      <c r="I99" s="240"/>
      <c r="J99" s="240"/>
      <c r="K99" s="7" t="s">
        <v>90</v>
      </c>
      <c r="N99" s="248"/>
      <c r="S99" s="248"/>
    </row>
    <row r="100" spans="1:19" s="179" customFormat="1" ht="18" customHeight="1" x14ac:dyDescent="0.25">
      <c r="A100" s="14">
        <f t="shared" si="3"/>
        <v>92</v>
      </c>
      <c r="B100" s="242"/>
      <c r="C100" s="243"/>
      <c r="D100" s="214" t="s">
        <v>214</v>
      </c>
      <c r="E100" s="245"/>
      <c r="F100" s="52"/>
      <c r="G100" s="18">
        <f t="shared" si="4"/>
        <v>0</v>
      </c>
      <c r="H100" s="240"/>
      <c r="I100" s="240"/>
      <c r="J100" s="240"/>
      <c r="K100" s="7" t="s">
        <v>90</v>
      </c>
      <c r="N100" s="248"/>
      <c r="S100" s="248"/>
    </row>
    <row r="101" spans="1:19" s="179" customFormat="1" ht="18" customHeight="1" x14ac:dyDescent="0.25">
      <c r="A101" s="14">
        <f t="shared" si="3"/>
        <v>93</v>
      </c>
      <c r="B101" s="242"/>
      <c r="C101" s="243"/>
      <c r="D101" s="214" t="s">
        <v>214</v>
      </c>
      <c r="E101" s="245"/>
      <c r="F101" s="52"/>
      <c r="G101" s="18">
        <f t="shared" si="4"/>
        <v>0</v>
      </c>
      <c r="H101" s="240"/>
      <c r="I101" s="240"/>
      <c r="J101" s="240"/>
      <c r="K101" s="7" t="s">
        <v>90</v>
      </c>
      <c r="N101" s="248"/>
      <c r="S101" s="248"/>
    </row>
    <row r="102" spans="1:19" s="179" customFormat="1" ht="18" customHeight="1" x14ac:dyDescent="0.25">
      <c r="A102" s="14">
        <f t="shared" si="3"/>
        <v>94</v>
      </c>
      <c r="B102" s="242"/>
      <c r="C102" s="243"/>
      <c r="D102" s="214" t="s">
        <v>214</v>
      </c>
      <c r="E102" s="245"/>
      <c r="F102" s="52"/>
      <c r="G102" s="18">
        <f t="shared" si="4"/>
        <v>0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14">
        <f t="shared" si="3"/>
        <v>95</v>
      </c>
      <c r="B103" s="242"/>
      <c r="C103" s="243"/>
      <c r="D103" s="244"/>
      <c r="E103" s="245"/>
      <c r="F103" s="52"/>
      <c r="G103" s="18">
        <f t="shared" si="4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3"/>
        <v>96</v>
      </c>
      <c r="B104" s="242"/>
      <c r="C104" s="243"/>
      <c r="D104" s="244"/>
      <c r="E104" s="245"/>
      <c r="F104" s="52"/>
      <c r="G104" s="18">
        <f t="shared" si="4"/>
        <v>0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3"/>
        <v>97</v>
      </c>
      <c r="B105" s="242"/>
      <c r="C105" s="243"/>
      <c r="D105" s="244"/>
      <c r="E105" s="245"/>
      <c r="F105" s="52"/>
      <c r="G105" s="18">
        <f t="shared" si="4"/>
        <v>0</v>
      </c>
      <c r="H105" s="240"/>
      <c r="I105" s="240"/>
      <c r="J105" s="240"/>
      <c r="K105" s="247"/>
      <c r="N105" s="248"/>
      <c r="S105" s="248"/>
    </row>
    <row r="106" spans="1:19" ht="18" customHeight="1" x14ac:dyDescent="0.25">
      <c r="A106" s="14">
        <f t="shared" si="3"/>
        <v>98</v>
      </c>
      <c r="B106" s="8"/>
      <c r="C106" s="46"/>
      <c r="D106" s="214"/>
      <c r="E106" s="32"/>
      <c r="F106" s="27"/>
      <c r="G106" s="18">
        <f t="shared" si="4"/>
        <v>0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3"/>
        <v>99</v>
      </c>
      <c r="B107" s="8"/>
      <c r="C107" s="46"/>
      <c r="D107" s="214"/>
      <c r="E107" s="32"/>
      <c r="F107" s="27"/>
      <c r="G107" s="18">
        <f t="shared" si="4"/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3"/>
        <v>100</v>
      </c>
      <c r="B108" s="37"/>
      <c r="C108" s="46"/>
      <c r="D108" s="10"/>
      <c r="E108" s="32"/>
      <c r="F108" s="27"/>
      <c r="G108" s="18">
        <f t="shared" si="4"/>
        <v>0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7"/>
      <c r="B109" s="7"/>
      <c r="C109" s="34" t="s">
        <v>13</v>
      </c>
      <c r="D109" s="14"/>
      <c r="E109" s="35">
        <f>SUM(E8:E108)</f>
        <v>817</v>
      </c>
      <c r="F109" s="35">
        <f>SUM(F8:F108)</f>
        <v>817</v>
      </c>
      <c r="G109" s="35">
        <f>+E109-F109+G8</f>
        <v>0</v>
      </c>
      <c r="H109" s="35"/>
      <c r="I109" s="35"/>
      <c r="J109" s="35">
        <f>SUM(J9:J108)</f>
        <v>432.34999999999997</v>
      </c>
      <c r="K109" s="36"/>
    </row>
    <row r="110" spans="1:19" ht="18" customHeight="1" x14ac:dyDescent="0.25"/>
    <row r="113" spans="5:11" x14ac:dyDescent="0.25">
      <c r="E113" s="201"/>
      <c r="F113" s="201"/>
      <c r="G113" s="201"/>
      <c r="H113" s="201"/>
      <c r="I113" s="201"/>
      <c r="J113" s="201"/>
    </row>
    <row r="114" spans="5:11" x14ac:dyDescent="0.25">
      <c r="F114" s="26"/>
    </row>
    <row r="115" spans="5:11" x14ac:dyDescent="0.25">
      <c r="E115" s="26"/>
      <c r="F115" s="26"/>
      <c r="G115" s="26"/>
      <c r="H115" s="26"/>
      <c r="I115" s="26"/>
      <c r="J115" s="26"/>
      <c r="K115" s="26"/>
    </row>
    <row r="116" spans="5:11" x14ac:dyDescent="0.25">
      <c r="K116" s="202"/>
    </row>
    <row r="117" spans="5:11" x14ac:dyDescent="0.25">
      <c r="E117" s="199"/>
    </row>
    <row r="118" spans="5:11" x14ac:dyDescent="0.25">
      <c r="E118" s="26"/>
      <c r="F118" s="26"/>
    </row>
    <row r="119" spans="5:11" x14ac:dyDescent="0.25">
      <c r="E119" s="203"/>
      <c r="F119" s="204"/>
      <c r="G119" s="203"/>
      <c r="H119" s="203"/>
      <c r="I119" s="203"/>
      <c r="J119" s="203"/>
    </row>
    <row r="120" spans="5:11" x14ac:dyDescent="0.25">
      <c r="F120" s="26"/>
    </row>
  </sheetData>
  <mergeCells count="1">
    <mergeCell ref="A4:K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5051-FC65-48FD-A299-9C9283D2868B}">
  <sheetPr codeName="Sheet111"/>
  <dimension ref="A1:S120"/>
  <sheetViews>
    <sheetView topLeftCell="C1" workbookViewId="0">
      <selection activeCell="F18" sqref="F18"/>
    </sheetView>
  </sheetViews>
  <sheetFormatPr defaultRowHeight="15" x14ac:dyDescent="0.25"/>
  <cols>
    <col min="1" max="1" width="6" customWidth="1"/>
    <col min="2" max="2" width="11.5703125" customWidth="1"/>
    <col min="3" max="3" width="62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8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/>
      <c r="J7" s="6" t="s">
        <v>23</v>
      </c>
      <c r="K7" s="4" t="s">
        <v>10</v>
      </c>
      <c r="N7" s="399"/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4" ht="17.25" customHeight="1" x14ac:dyDescent="0.25">
      <c r="A9" s="14">
        <v>1</v>
      </c>
      <c r="B9" s="8">
        <v>45674</v>
      </c>
      <c r="C9" s="46" t="s">
        <v>281</v>
      </c>
      <c r="D9" s="214" t="s">
        <v>214</v>
      </c>
      <c r="E9" s="30">
        <v>316</v>
      </c>
      <c r="F9" s="27"/>
      <c r="G9" s="18">
        <f>+G8+E9-F9</f>
        <v>316</v>
      </c>
      <c r="H9" s="28" t="s">
        <v>129</v>
      </c>
      <c r="I9" s="28"/>
      <c r="J9" s="28">
        <v>237</v>
      </c>
      <c r="K9" s="7"/>
    </row>
    <row r="10" spans="1:14" ht="17.25" customHeight="1" x14ac:dyDescent="0.25">
      <c r="A10" s="14">
        <f t="shared" ref="A10:A73" si="0">+A9+1</f>
        <v>2</v>
      </c>
      <c r="B10" s="8" t="s">
        <v>358</v>
      </c>
      <c r="C10" s="46" t="s">
        <v>281</v>
      </c>
      <c r="D10" s="214" t="s">
        <v>214</v>
      </c>
      <c r="E10" s="30"/>
      <c r="F10" s="27">
        <v>60</v>
      </c>
      <c r="G10" s="18">
        <f t="shared" ref="G10:G73" si="1">+G9+E10-F10</f>
        <v>256</v>
      </c>
      <c r="H10" s="28" t="s">
        <v>129</v>
      </c>
      <c r="I10" s="28">
        <f>+F10*L12</f>
        <v>45</v>
      </c>
      <c r="J10" s="28"/>
      <c r="K10" s="7" t="s">
        <v>90</v>
      </c>
    </row>
    <row r="11" spans="1:14" ht="18" customHeight="1" x14ac:dyDescent="0.25">
      <c r="A11" s="14">
        <f t="shared" si="0"/>
        <v>3</v>
      </c>
      <c r="B11" s="8">
        <v>45707</v>
      </c>
      <c r="C11" s="46" t="s">
        <v>281</v>
      </c>
      <c r="D11" s="214" t="s">
        <v>214</v>
      </c>
      <c r="E11" s="16"/>
      <c r="F11" s="27">
        <v>55</v>
      </c>
      <c r="G11" s="18">
        <f t="shared" si="1"/>
        <v>201</v>
      </c>
      <c r="H11" s="28" t="s">
        <v>129</v>
      </c>
      <c r="I11" s="28">
        <f>+F11*L12</f>
        <v>41.25</v>
      </c>
      <c r="J11" s="28"/>
      <c r="K11" s="7" t="s">
        <v>90</v>
      </c>
      <c r="L11" s="26"/>
    </row>
    <row r="12" spans="1:14" ht="18" customHeight="1" x14ac:dyDescent="0.25">
      <c r="A12" s="14">
        <f t="shared" si="0"/>
        <v>4</v>
      </c>
      <c r="B12" s="8">
        <v>45708</v>
      </c>
      <c r="C12" s="46" t="s">
        <v>281</v>
      </c>
      <c r="D12" s="214" t="s">
        <v>214</v>
      </c>
      <c r="E12" s="16"/>
      <c r="F12" s="17">
        <v>40</v>
      </c>
      <c r="G12" s="18">
        <f t="shared" si="1"/>
        <v>161</v>
      </c>
      <c r="H12" s="28" t="s">
        <v>129</v>
      </c>
      <c r="I12" s="28">
        <f>40*L12</f>
        <v>30</v>
      </c>
      <c r="J12" s="28"/>
      <c r="K12" s="7" t="s">
        <v>90</v>
      </c>
      <c r="L12" s="392">
        <f>+J9/E9</f>
        <v>0.75</v>
      </c>
    </row>
    <row r="13" spans="1:14" ht="18" customHeight="1" x14ac:dyDescent="0.25">
      <c r="A13" s="14">
        <f t="shared" si="0"/>
        <v>5</v>
      </c>
      <c r="B13" s="205">
        <v>45709</v>
      </c>
      <c r="C13" s="46" t="s">
        <v>281</v>
      </c>
      <c r="D13" s="214" t="s">
        <v>214</v>
      </c>
      <c r="E13" s="16"/>
      <c r="F13" s="17">
        <v>23</v>
      </c>
      <c r="G13" s="18">
        <f t="shared" si="1"/>
        <v>138</v>
      </c>
      <c r="H13" s="28" t="s">
        <v>91</v>
      </c>
      <c r="I13" s="28">
        <f>+F13*L12</f>
        <v>17.25</v>
      </c>
      <c r="J13" s="28"/>
      <c r="K13" s="7" t="s">
        <v>90</v>
      </c>
      <c r="L13" s="26"/>
      <c r="N13">
        <f>432/497</f>
        <v>0.86921529175050305</v>
      </c>
    </row>
    <row r="14" spans="1:14" ht="18" customHeight="1" x14ac:dyDescent="0.25">
      <c r="A14" s="14">
        <f t="shared" si="0"/>
        <v>6</v>
      </c>
      <c r="B14" s="8">
        <v>45757</v>
      </c>
      <c r="C14" s="46" t="s">
        <v>281</v>
      </c>
      <c r="D14" s="214" t="s">
        <v>214</v>
      </c>
      <c r="E14" s="16"/>
      <c r="F14" s="27">
        <v>41</v>
      </c>
      <c r="G14" s="18">
        <f t="shared" si="1"/>
        <v>97</v>
      </c>
      <c r="H14" s="28" t="s">
        <v>91</v>
      </c>
      <c r="I14" s="28">
        <f>+F14*L12</f>
        <v>30.75</v>
      </c>
      <c r="J14" s="28"/>
      <c r="K14" s="7" t="s">
        <v>90</v>
      </c>
    </row>
    <row r="15" spans="1:14" ht="18" customHeight="1" x14ac:dyDescent="0.25">
      <c r="A15" s="14">
        <f t="shared" si="0"/>
        <v>7</v>
      </c>
      <c r="B15" s="8">
        <v>45758</v>
      </c>
      <c r="C15" s="46" t="s">
        <v>281</v>
      </c>
      <c r="D15" s="214" t="s">
        <v>214</v>
      </c>
      <c r="E15" s="16"/>
      <c r="F15" s="27">
        <v>55</v>
      </c>
      <c r="G15" s="18">
        <f t="shared" si="1"/>
        <v>42</v>
      </c>
      <c r="H15" s="28" t="s">
        <v>91</v>
      </c>
      <c r="I15" s="28">
        <f>+F15*L12</f>
        <v>41.25</v>
      </c>
      <c r="J15" s="28"/>
      <c r="K15" s="7" t="s">
        <v>90</v>
      </c>
      <c r="L15" s="26"/>
      <c r="N15">
        <f>+N13*127</f>
        <v>110.39034205231388</v>
      </c>
    </row>
    <row r="16" spans="1:14" ht="18" customHeight="1" x14ac:dyDescent="0.25">
      <c r="A16" s="14">
        <f t="shared" si="0"/>
        <v>8</v>
      </c>
      <c r="B16" s="8">
        <v>45759</v>
      </c>
      <c r="C16" s="46" t="s">
        <v>281</v>
      </c>
      <c r="D16" s="214" t="s">
        <v>214</v>
      </c>
      <c r="E16" s="16">
        <v>300</v>
      </c>
      <c r="F16" s="27"/>
      <c r="G16" s="18">
        <f t="shared" si="1"/>
        <v>342</v>
      </c>
      <c r="H16" s="28" t="s">
        <v>91</v>
      </c>
      <c r="I16" s="28">
        <f>+F16*L12</f>
        <v>0</v>
      </c>
      <c r="J16" s="28"/>
      <c r="K16" s="7"/>
      <c r="L16" s="26"/>
    </row>
    <row r="17" spans="1:16" ht="18" customHeight="1" x14ac:dyDescent="0.25">
      <c r="A17" s="14">
        <f t="shared" si="0"/>
        <v>9</v>
      </c>
      <c r="B17" s="8">
        <v>45809</v>
      </c>
      <c r="C17" s="46" t="s">
        <v>281</v>
      </c>
      <c r="D17" s="214" t="s">
        <v>214</v>
      </c>
      <c r="E17" s="16"/>
      <c r="F17" s="27">
        <v>6</v>
      </c>
      <c r="G17" s="18">
        <f t="shared" si="1"/>
        <v>336</v>
      </c>
      <c r="H17" s="28" t="s">
        <v>91</v>
      </c>
      <c r="I17" s="28">
        <f>+F17*L12</f>
        <v>4.5</v>
      </c>
      <c r="J17" s="28"/>
      <c r="K17" s="7" t="s">
        <v>90</v>
      </c>
    </row>
    <row r="18" spans="1:16" ht="18" customHeight="1" x14ac:dyDescent="0.25">
      <c r="A18" s="14">
        <f t="shared" si="0"/>
        <v>10</v>
      </c>
      <c r="B18" s="8">
        <v>45810</v>
      </c>
      <c r="C18" s="46" t="s">
        <v>281</v>
      </c>
      <c r="D18" s="214" t="s">
        <v>214</v>
      </c>
      <c r="E18" s="30"/>
      <c r="F18" s="27">
        <v>86</v>
      </c>
      <c r="G18" s="18">
        <f t="shared" si="1"/>
        <v>250</v>
      </c>
      <c r="H18" s="28" t="s">
        <v>91</v>
      </c>
      <c r="I18" s="28">
        <f>+F18*L12</f>
        <v>64.5</v>
      </c>
      <c r="J18" s="28"/>
      <c r="K18" s="7" t="s">
        <v>90</v>
      </c>
    </row>
    <row r="19" spans="1:16" s="230" customFormat="1" ht="18" customHeight="1" x14ac:dyDescent="0.25">
      <c r="A19" s="14">
        <f t="shared" si="0"/>
        <v>11</v>
      </c>
      <c r="B19" s="224"/>
      <c r="C19" s="46" t="s">
        <v>281</v>
      </c>
      <c r="D19" s="214" t="s">
        <v>214</v>
      </c>
      <c r="E19" s="227"/>
      <c r="F19" s="228"/>
      <c r="G19" s="18">
        <f t="shared" si="1"/>
        <v>250</v>
      </c>
      <c r="H19" s="28" t="s">
        <v>91</v>
      </c>
      <c r="I19" s="28">
        <f>+F19*L12</f>
        <v>0</v>
      </c>
      <c r="J19" s="28"/>
      <c r="K19" s="7" t="s">
        <v>90</v>
      </c>
      <c r="M19" s="230">
        <f>8*20+15*20+40+23</f>
        <v>523</v>
      </c>
    </row>
    <row r="20" spans="1:16" s="230" customFormat="1" x14ac:dyDescent="0.25">
      <c r="A20" s="14">
        <f t="shared" si="0"/>
        <v>12</v>
      </c>
      <c r="B20" s="224"/>
      <c r="C20" s="46" t="s">
        <v>281</v>
      </c>
      <c r="D20" s="214" t="s">
        <v>214</v>
      </c>
      <c r="E20" s="231"/>
      <c r="F20" s="228"/>
      <c r="G20" s="18">
        <f t="shared" si="1"/>
        <v>250</v>
      </c>
      <c r="H20" s="28" t="s">
        <v>91</v>
      </c>
      <c r="I20" s="28">
        <f>+F20*L12</f>
        <v>0</v>
      </c>
      <c r="J20" s="28"/>
      <c r="K20" s="7" t="s">
        <v>90</v>
      </c>
    </row>
    <row r="21" spans="1:16" x14ac:dyDescent="0.25">
      <c r="A21" s="14">
        <f t="shared" si="0"/>
        <v>13</v>
      </c>
      <c r="B21" s="8"/>
      <c r="C21" s="46" t="s">
        <v>281</v>
      </c>
      <c r="D21" s="214" t="s">
        <v>214</v>
      </c>
      <c r="E21" s="32"/>
      <c r="F21" s="17"/>
      <c r="G21" s="18">
        <f t="shared" si="1"/>
        <v>250</v>
      </c>
      <c r="H21" s="28" t="s">
        <v>91</v>
      </c>
      <c r="I21" s="28">
        <f>+F21*L12</f>
        <v>0</v>
      </c>
      <c r="J21" s="28"/>
      <c r="K21" s="7" t="s">
        <v>90</v>
      </c>
      <c r="N21">
        <f>271-33</f>
        <v>238</v>
      </c>
      <c r="P21" s="26"/>
    </row>
    <row r="22" spans="1:16" ht="18" customHeight="1" x14ac:dyDescent="0.25">
      <c r="A22" s="14">
        <f t="shared" si="0"/>
        <v>14</v>
      </c>
      <c r="B22" s="8"/>
      <c r="C22" s="46" t="s">
        <v>281</v>
      </c>
      <c r="D22" s="214" t="s">
        <v>214</v>
      </c>
      <c r="E22" s="32"/>
      <c r="F22" s="27"/>
      <c r="G22" s="18">
        <f t="shared" si="1"/>
        <v>250</v>
      </c>
      <c r="H22" s="28" t="s">
        <v>91</v>
      </c>
      <c r="I22" s="28">
        <f>+F22*L12</f>
        <v>0</v>
      </c>
      <c r="J22" s="28"/>
      <c r="K22" s="7" t="s">
        <v>90</v>
      </c>
      <c r="N22">
        <f>62-33</f>
        <v>29</v>
      </c>
    </row>
    <row r="23" spans="1:16" ht="18" customHeight="1" x14ac:dyDescent="0.25">
      <c r="A23" s="14">
        <f t="shared" si="0"/>
        <v>15</v>
      </c>
      <c r="B23" s="232"/>
      <c r="C23" s="233"/>
      <c r="D23" s="214" t="s">
        <v>214</v>
      </c>
      <c r="E23" s="235"/>
      <c r="F23" s="172"/>
      <c r="G23" s="18">
        <f t="shared" si="1"/>
        <v>250</v>
      </c>
      <c r="H23" s="28" t="s">
        <v>129</v>
      </c>
      <c r="I23" s="28">
        <f>+F23*L12</f>
        <v>0</v>
      </c>
      <c r="J23" s="28"/>
      <c r="K23" s="7" t="s">
        <v>90</v>
      </c>
    </row>
    <row r="24" spans="1:16" ht="18" customHeight="1" x14ac:dyDescent="0.25">
      <c r="A24" s="14">
        <f t="shared" si="0"/>
        <v>16</v>
      </c>
      <c r="B24" s="8"/>
      <c r="C24" s="46"/>
      <c r="D24" s="214" t="s">
        <v>214</v>
      </c>
      <c r="E24" s="32"/>
      <c r="F24" s="17"/>
      <c r="G24" s="18">
        <f t="shared" si="1"/>
        <v>250</v>
      </c>
      <c r="H24" s="28" t="s">
        <v>129</v>
      </c>
      <c r="I24" s="28">
        <f>+F24*L12</f>
        <v>0</v>
      </c>
      <c r="J24" s="28"/>
      <c r="K24" s="7" t="s">
        <v>142</v>
      </c>
      <c r="N24">
        <f>211-33</f>
        <v>178</v>
      </c>
    </row>
    <row r="25" spans="1:16" ht="18" customHeight="1" x14ac:dyDescent="0.25">
      <c r="A25" s="14">
        <f t="shared" si="0"/>
        <v>17</v>
      </c>
      <c r="B25" s="8"/>
      <c r="C25" s="46"/>
      <c r="D25" s="214" t="s">
        <v>214</v>
      </c>
      <c r="E25" s="32"/>
      <c r="F25" s="17"/>
      <c r="G25" s="18">
        <f t="shared" si="1"/>
        <v>250</v>
      </c>
      <c r="H25" s="28" t="s">
        <v>91</v>
      </c>
      <c r="I25" s="28">
        <f>+F25*L12</f>
        <v>0</v>
      </c>
      <c r="J25" s="28"/>
      <c r="K25" s="7" t="s">
        <v>90</v>
      </c>
      <c r="L25">
        <v>129</v>
      </c>
    </row>
    <row r="26" spans="1:16" ht="18" customHeight="1" x14ac:dyDescent="0.25">
      <c r="A26" s="14">
        <f t="shared" si="0"/>
        <v>18</v>
      </c>
      <c r="B26" s="8"/>
      <c r="C26" s="46"/>
      <c r="D26" s="214" t="s">
        <v>214</v>
      </c>
      <c r="E26" s="32"/>
      <c r="F26" s="17"/>
      <c r="G26" s="18">
        <f t="shared" si="1"/>
        <v>250</v>
      </c>
      <c r="H26" s="28" t="s">
        <v>91</v>
      </c>
      <c r="I26" s="28">
        <f>+F26*L12</f>
        <v>0</v>
      </c>
      <c r="J26" s="28"/>
      <c r="K26" s="7" t="s">
        <v>90</v>
      </c>
    </row>
    <row r="27" spans="1:16" ht="18" customHeight="1" x14ac:dyDescent="0.25">
      <c r="A27" s="14">
        <f t="shared" si="0"/>
        <v>19</v>
      </c>
      <c r="B27" s="8"/>
      <c r="C27" s="46"/>
      <c r="D27" s="214" t="s">
        <v>214</v>
      </c>
      <c r="E27" s="32"/>
      <c r="F27" s="17"/>
      <c r="G27" s="18">
        <f t="shared" si="1"/>
        <v>250</v>
      </c>
      <c r="H27" s="28" t="s">
        <v>91</v>
      </c>
      <c r="I27" s="28">
        <f>+F27*L12</f>
        <v>0</v>
      </c>
      <c r="J27" s="28"/>
      <c r="K27" s="7" t="s">
        <v>90</v>
      </c>
      <c r="M27" s="162"/>
    </row>
    <row r="28" spans="1:16" ht="18" customHeight="1" x14ac:dyDescent="0.25">
      <c r="A28" s="14">
        <f t="shared" si="0"/>
        <v>20</v>
      </c>
      <c r="B28" s="8"/>
      <c r="C28" s="46"/>
      <c r="D28" s="214" t="s">
        <v>214</v>
      </c>
      <c r="E28" s="32"/>
      <c r="F28" s="17"/>
      <c r="G28" s="18">
        <f t="shared" si="1"/>
        <v>250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 t="s">
        <v>214</v>
      </c>
      <c r="E29" s="129"/>
      <c r="F29" s="17"/>
      <c r="G29" s="18">
        <f t="shared" si="1"/>
        <v>250</v>
      </c>
      <c r="H29" s="28" t="s">
        <v>91</v>
      </c>
      <c r="I29" s="28"/>
      <c r="J29" s="28"/>
      <c r="K29" s="7" t="s">
        <v>90</v>
      </c>
      <c r="N29">
        <f>4*16+9+18</f>
        <v>91</v>
      </c>
    </row>
    <row r="30" spans="1:16" ht="18" customHeight="1" x14ac:dyDescent="0.25">
      <c r="A30" s="14">
        <f t="shared" si="0"/>
        <v>22</v>
      </c>
      <c r="B30" s="8"/>
      <c r="C30" s="46"/>
      <c r="D30" s="214" t="s">
        <v>214</v>
      </c>
      <c r="E30" s="32"/>
      <c r="F30" s="172"/>
      <c r="G30" s="18">
        <f t="shared" si="1"/>
        <v>250</v>
      </c>
      <c r="H30" s="28" t="s">
        <v>91</v>
      </c>
      <c r="I30" s="28"/>
      <c r="J30" s="28"/>
      <c r="K30" s="7" t="s">
        <v>90</v>
      </c>
      <c r="N30">
        <f>+N29*10+7</f>
        <v>917</v>
      </c>
    </row>
    <row r="31" spans="1:16" ht="18" customHeight="1" x14ac:dyDescent="0.25">
      <c r="A31" s="14">
        <f t="shared" si="0"/>
        <v>23</v>
      </c>
      <c r="B31" s="8"/>
      <c r="C31" s="46"/>
      <c r="D31" s="214" t="s">
        <v>214</v>
      </c>
      <c r="E31" s="32"/>
      <c r="F31" s="17"/>
      <c r="G31" s="18">
        <f t="shared" si="1"/>
        <v>250</v>
      </c>
      <c r="H31" s="28" t="s">
        <v>91</v>
      </c>
      <c r="I31" s="28"/>
      <c r="J31" s="28"/>
      <c r="K31" s="7" t="s">
        <v>90</v>
      </c>
    </row>
    <row r="32" spans="1:16" ht="18" customHeight="1" x14ac:dyDescent="0.25">
      <c r="A32" s="14">
        <f t="shared" si="0"/>
        <v>24</v>
      </c>
      <c r="B32" s="8"/>
      <c r="C32" s="46"/>
      <c r="D32" s="214" t="s">
        <v>214</v>
      </c>
      <c r="E32" s="32"/>
      <c r="F32" s="17"/>
      <c r="G32" s="18">
        <f t="shared" si="1"/>
        <v>250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8"/>
      <c r="C33" s="46"/>
      <c r="D33" s="214" t="s">
        <v>214</v>
      </c>
      <c r="E33" s="13"/>
      <c r="F33" s="17"/>
      <c r="G33" s="18">
        <f t="shared" si="1"/>
        <v>250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0"/>
        <v>26</v>
      </c>
      <c r="B34" s="44"/>
      <c r="C34" s="46"/>
      <c r="D34" s="214" t="s">
        <v>214</v>
      </c>
      <c r="E34" s="13"/>
      <c r="F34" s="17"/>
      <c r="G34" s="18">
        <f t="shared" si="1"/>
        <v>250</v>
      </c>
      <c r="H34" s="178"/>
      <c r="I34" s="178"/>
      <c r="J34" s="178"/>
      <c r="K34" s="7"/>
      <c r="N34">
        <f>57*20</f>
        <v>1140</v>
      </c>
    </row>
    <row r="35" spans="1:18" ht="18" customHeight="1" x14ac:dyDescent="0.25">
      <c r="A35" s="14">
        <f t="shared" si="0"/>
        <v>27</v>
      </c>
      <c r="B35" s="8"/>
      <c r="C35" s="46"/>
      <c r="D35" s="214" t="s">
        <v>214</v>
      </c>
      <c r="E35" s="32"/>
      <c r="F35" s="40"/>
      <c r="G35" s="18">
        <f t="shared" si="1"/>
        <v>250</v>
      </c>
      <c r="H35" s="178"/>
      <c r="I35" s="178"/>
      <c r="J35" s="178"/>
      <c r="K35" s="7"/>
      <c r="N35">
        <f>+N34*91</f>
        <v>103740</v>
      </c>
    </row>
    <row r="36" spans="1:18" ht="18" customHeight="1" x14ac:dyDescent="0.25">
      <c r="A36" s="14">
        <f t="shared" si="0"/>
        <v>28</v>
      </c>
      <c r="B36" s="45"/>
      <c r="C36" s="46"/>
      <c r="D36" s="214" t="s">
        <v>214</v>
      </c>
      <c r="E36" s="32"/>
      <c r="F36" s="40"/>
      <c r="G36" s="18">
        <f t="shared" si="1"/>
        <v>250</v>
      </c>
      <c r="H36" s="178"/>
      <c r="I36" s="178"/>
      <c r="J36" s="178"/>
      <c r="K36" s="7"/>
      <c r="N36">
        <f>+N35/2730</f>
        <v>38</v>
      </c>
    </row>
    <row r="37" spans="1:18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40"/>
      <c r="G37" s="18">
        <f t="shared" si="1"/>
        <v>250</v>
      </c>
      <c r="H37" s="178"/>
      <c r="I37" s="178"/>
      <c r="J37" s="178"/>
      <c r="K37" s="7"/>
    </row>
    <row r="38" spans="1:18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250</v>
      </c>
      <c r="H38" s="178"/>
      <c r="I38" s="178"/>
      <c r="J38" s="178"/>
      <c r="K38" s="7"/>
      <c r="M38">
        <f>911-338</f>
        <v>573</v>
      </c>
    </row>
    <row r="39" spans="1:18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250</v>
      </c>
      <c r="H39" s="178"/>
      <c r="I39" s="178"/>
      <c r="J39" s="178"/>
      <c r="K39" s="7"/>
      <c r="M39">
        <f>+M38-314</f>
        <v>259</v>
      </c>
    </row>
    <row r="40" spans="1:18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250</v>
      </c>
      <c r="H40" s="178"/>
      <c r="I40" s="178"/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"/>
      <c r="G41" s="18">
        <f t="shared" si="1"/>
        <v>250</v>
      </c>
      <c r="H41" s="178"/>
      <c r="I41" s="178"/>
      <c r="J41" s="178"/>
      <c r="K41" s="7"/>
    </row>
    <row r="42" spans="1:18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2"/>
      <c r="G42" s="18">
        <f t="shared" si="1"/>
        <v>250</v>
      </c>
      <c r="H42" s="178"/>
      <c r="I42" s="178"/>
      <c r="J42" s="178"/>
      <c r="K42" s="7"/>
      <c r="R42" s="162"/>
    </row>
    <row r="43" spans="1:18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250</v>
      </c>
      <c r="H43" s="178"/>
      <c r="I43" s="178"/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250</v>
      </c>
      <c r="H44" s="178"/>
      <c r="I44" s="178"/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250</v>
      </c>
      <c r="H45" s="178"/>
      <c r="I45" s="178"/>
      <c r="J45" s="178"/>
      <c r="K45" s="7"/>
    </row>
    <row r="46" spans="1:18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250</v>
      </c>
      <c r="H46" s="178"/>
      <c r="I46" s="178"/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250</v>
      </c>
      <c r="H47" s="178"/>
      <c r="I47" s="178"/>
      <c r="J47" s="178"/>
      <c r="K47" s="29"/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250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250</v>
      </c>
      <c r="H49" s="178"/>
      <c r="I49" s="178"/>
      <c r="J49" s="178"/>
      <c r="K49" s="29"/>
    </row>
    <row r="50" spans="1:18" ht="18" customHeight="1" x14ac:dyDescent="0.25">
      <c r="A50" s="14">
        <f t="shared" si="0"/>
        <v>42</v>
      </c>
      <c r="B50" s="8"/>
      <c r="C50" s="46"/>
      <c r="D50" s="214" t="s">
        <v>214</v>
      </c>
      <c r="E50" s="32"/>
      <c r="F50" s="17"/>
      <c r="G50" s="18">
        <f t="shared" si="1"/>
        <v>250</v>
      </c>
      <c r="H50" s="178"/>
      <c r="I50" s="178"/>
      <c r="J50" s="178"/>
      <c r="K50" s="7"/>
    </row>
    <row r="51" spans="1:18" s="162" customFormat="1" ht="18" customHeight="1" x14ac:dyDescent="0.25">
      <c r="A51" s="14">
        <f t="shared" si="0"/>
        <v>43</v>
      </c>
      <c r="B51" s="174"/>
      <c r="C51" s="236"/>
      <c r="D51" s="214" t="s">
        <v>214</v>
      </c>
      <c r="E51" s="175"/>
      <c r="F51" s="172"/>
      <c r="G51" s="18">
        <f t="shared" si="1"/>
        <v>250</v>
      </c>
      <c r="H51" s="178"/>
      <c r="I51" s="178"/>
      <c r="J51" s="178"/>
      <c r="K51" s="7"/>
      <c r="R51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250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250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250</v>
      </c>
      <c r="H54" s="239"/>
      <c r="I54" s="239"/>
      <c r="J54" s="239"/>
      <c r="K54" s="7"/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250</v>
      </c>
      <c r="H55" s="28"/>
      <c r="I55" s="28"/>
      <c r="J55" s="28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250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250</v>
      </c>
      <c r="H57" s="240"/>
      <c r="I57" s="240"/>
      <c r="J57" s="240"/>
      <c r="K57" s="7"/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250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250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250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250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250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250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250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250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250</v>
      </c>
      <c r="H66" s="240"/>
      <c r="I66" s="240"/>
      <c r="J66" s="240"/>
      <c r="K66" s="7" t="s">
        <v>14</v>
      </c>
      <c r="L66" s="26"/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 t="shared" si="1"/>
        <v>250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 t="shared" si="1"/>
        <v>250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 t="shared" si="1"/>
        <v>250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250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250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64</v>
      </c>
      <c r="B72" s="8"/>
      <c r="C72" s="46"/>
      <c r="D72" s="214" t="s">
        <v>214</v>
      </c>
      <c r="E72" s="32"/>
      <c r="F72" s="17"/>
      <c r="G72" s="18">
        <f t="shared" si="1"/>
        <v>250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250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8" si="2">+A73+1</f>
        <v>66</v>
      </c>
      <c r="B74" s="8"/>
      <c r="C74" s="46"/>
      <c r="D74" s="214" t="s">
        <v>214</v>
      </c>
      <c r="E74" s="32"/>
      <c r="F74" s="17"/>
      <c r="G74" s="18">
        <f t="shared" ref="G74:G108" si="3">+G73+E74-F74</f>
        <v>250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67</v>
      </c>
      <c r="B75" s="8"/>
      <c r="C75" s="46"/>
      <c r="D75" s="214" t="s">
        <v>214</v>
      </c>
      <c r="E75" s="32"/>
      <c r="F75" s="17"/>
      <c r="G75" s="18">
        <f t="shared" si="3"/>
        <v>250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250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250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250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250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250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250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250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17"/>
      <c r="G83" s="18">
        <f t="shared" si="3"/>
        <v>250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27"/>
      <c r="G84" s="18">
        <f t="shared" si="3"/>
        <v>250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250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250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250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250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250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250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17"/>
      <c r="G91" s="18">
        <f t="shared" si="3"/>
        <v>250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 t="shared" si="3"/>
        <v>250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2"/>
        <v>85</v>
      </c>
      <c r="B93" s="8"/>
      <c r="C93" s="46"/>
      <c r="D93" s="214" t="s">
        <v>214</v>
      </c>
      <c r="E93" s="32"/>
      <c r="F93" s="27"/>
      <c r="G93" s="18">
        <f t="shared" si="3"/>
        <v>250</v>
      </c>
      <c r="H93" s="240"/>
      <c r="I93" s="240"/>
      <c r="J93" s="240"/>
      <c r="K93" s="7" t="s">
        <v>14</v>
      </c>
      <c r="N93" s="199"/>
      <c r="S93" s="199"/>
    </row>
    <row r="94" spans="1:19" s="179" customFormat="1" ht="18" customHeight="1" x14ac:dyDescent="0.25">
      <c r="A94" s="14">
        <f t="shared" si="2"/>
        <v>86</v>
      </c>
      <c r="B94" s="242"/>
      <c r="C94" s="243"/>
      <c r="D94" s="214" t="s">
        <v>214</v>
      </c>
      <c r="E94" s="245"/>
      <c r="F94" s="52"/>
      <c r="G94" s="18">
        <f t="shared" si="3"/>
        <v>250</v>
      </c>
      <c r="H94" s="240"/>
      <c r="I94" s="240"/>
      <c r="J94" s="240"/>
      <c r="K94" s="247" t="s">
        <v>14</v>
      </c>
      <c r="L94" s="179" t="s">
        <v>43</v>
      </c>
      <c r="N94" s="248"/>
      <c r="S94" s="248"/>
    </row>
    <row r="95" spans="1:19" s="179" customFormat="1" ht="18" customHeight="1" x14ac:dyDescent="0.25">
      <c r="A95" s="14">
        <f t="shared" si="2"/>
        <v>87</v>
      </c>
      <c r="B95" s="242"/>
      <c r="C95" s="243"/>
      <c r="D95" s="214" t="s">
        <v>214</v>
      </c>
      <c r="E95" s="245"/>
      <c r="F95" s="52"/>
      <c r="G95" s="18">
        <f t="shared" si="3"/>
        <v>250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14">
        <f t="shared" si="2"/>
        <v>88</v>
      </c>
      <c r="B96" s="242"/>
      <c r="C96" s="243"/>
      <c r="D96" s="214" t="s">
        <v>214</v>
      </c>
      <c r="E96" s="245"/>
      <c r="F96" s="52"/>
      <c r="G96" s="18">
        <f t="shared" si="3"/>
        <v>250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2"/>
        <v>89</v>
      </c>
      <c r="B97" s="242"/>
      <c r="C97" s="243"/>
      <c r="D97" s="214" t="s">
        <v>214</v>
      </c>
      <c r="E97" s="245"/>
      <c r="F97" s="52"/>
      <c r="G97" s="18">
        <f t="shared" si="3"/>
        <v>250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2"/>
        <v>90</v>
      </c>
      <c r="B98" s="242"/>
      <c r="C98" s="243"/>
      <c r="D98" s="214" t="s">
        <v>214</v>
      </c>
      <c r="E98" s="245"/>
      <c r="F98" s="52"/>
      <c r="G98" s="18">
        <f t="shared" si="3"/>
        <v>250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2"/>
        <v>91</v>
      </c>
      <c r="B99" s="242"/>
      <c r="C99" s="243"/>
      <c r="D99" s="214" t="s">
        <v>214</v>
      </c>
      <c r="E99" s="245"/>
      <c r="F99" s="52"/>
      <c r="G99" s="18">
        <f t="shared" si="3"/>
        <v>250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2"/>
        <v>92</v>
      </c>
      <c r="B100" s="242"/>
      <c r="C100" s="243"/>
      <c r="D100" s="214" t="s">
        <v>214</v>
      </c>
      <c r="E100" s="245"/>
      <c r="F100" s="52"/>
      <c r="G100" s="18">
        <f t="shared" si="3"/>
        <v>250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2"/>
        <v>93</v>
      </c>
      <c r="B101" s="242"/>
      <c r="C101" s="243"/>
      <c r="D101" s="214" t="s">
        <v>214</v>
      </c>
      <c r="E101" s="245"/>
      <c r="F101" s="52"/>
      <c r="G101" s="18">
        <f t="shared" si="3"/>
        <v>250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2"/>
        <v>94</v>
      </c>
      <c r="B102" s="242"/>
      <c r="C102" s="243"/>
      <c r="D102" s="214" t="s">
        <v>214</v>
      </c>
      <c r="E102" s="245"/>
      <c r="F102" s="52"/>
      <c r="G102" s="18">
        <f t="shared" si="3"/>
        <v>250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250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250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250</v>
      </c>
      <c r="H105" s="240"/>
      <c r="I105" s="240"/>
      <c r="J105" s="240"/>
      <c r="K105" s="247"/>
      <c r="N105" s="248"/>
      <c r="S105" s="248"/>
    </row>
    <row r="106" spans="1:19" ht="18" customHeight="1" x14ac:dyDescent="0.25">
      <c r="A106" s="14">
        <f t="shared" si="2"/>
        <v>98</v>
      </c>
      <c r="B106" s="8"/>
      <c r="C106" s="46"/>
      <c r="D106" s="214"/>
      <c r="E106" s="32"/>
      <c r="F106" s="27"/>
      <c r="G106" s="18">
        <f t="shared" si="3"/>
        <v>250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99</v>
      </c>
      <c r="B107" s="8"/>
      <c r="C107" s="46"/>
      <c r="D107" s="214"/>
      <c r="E107" s="32"/>
      <c r="F107" s="27"/>
      <c r="G107" s="18">
        <f t="shared" si="3"/>
        <v>250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2"/>
        <v>100</v>
      </c>
      <c r="B108" s="37"/>
      <c r="C108" s="46"/>
      <c r="D108" s="10"/>
      <c r="E108" s="32"/>
      <c r="F108" s="27"/>
      <c r="G108" s="18">
        <f t="shared" si="3"/>
        <v>250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7"/>
      <c r="B109" s="7"/>
      <c r="C109" s="34" t="s">
        <v>13</v>
      </c>
      <c r="D109" s="14"/>
      <c r="E109" s="35">
        <f>SUM(E8:E108)</f>
        <v>616</v>
      </c>
      <c r="F109" s="35">
        <f>SUM(F8:F108)</f>
        <v>366</v>
      </c>
      <c r="G109" s="35">
        <f>+E109-F109+G8</f>
        <v>250</v>
      </c>
      <c r="H109" s="35"/>
      <c r="I109" s="35"/>
      <c r="J109" s="35">
        <f>SUM(J9:J108)</f>
        <v>237</v>
      </c>
      <c r="K109" s="36"/>
    </row>
    <row r="110" spans="1:19" ht="18" customHeight="1" x14ac:dyDescent="0.25"/>
    <row r="113" spans="5:11" x14ac:dyDescent="0.25">
      <c r="E113" s="201"/>
      <c r="F113" s="201"/>
      <c r="G113" s="201"/>
      <c r="H113" s="201"/>
      <c r="I113" s="201"/>
      <c r="J113" s="201"/>
    </row>
    <row r="114" spans="5:11" x14ac:dyDescent="0.25">
      <c r="F114" s="26"/>
    </row>
    <row r="115" spans="5:11" x14ac:dyDescent="0.25">
      <c r="E115" s="26"/>
      <c r="F115" s="26"/>
      <c r="G115" s="26"/>
      <c r="H115" s="26"/>
      <c r="I115" s="26"/>
      <c r="J115" s="26"/>
      <c r="K115" s="26"/>
    </row>
    <row r="116" spans="5:11" x14ac:dyDescent="0.25">
      <c r="K116" s="202"/>
    </row>
    <row r="117" spans="5:11" x14ac:dyDescent="0.25">
      <c r="E117" s="199"/>
    </row>
    <row r="118" spans="5:11" x14ac:dyDescent="0.25">
      <c r="E118" s="26"/>
      <c r="F118" s="26"/>
    </row>
    <row r="119" spans="5:11" x14ac:dyDescent="0.25">
      <c r="E119" s="203"/>
      <c r="F119" s="204"/>
      <c r="G119" s="203"/>
      <c r="H119" s="203"/>
      <c r="I119" s="203"/>
      <c r="J119" s="203"/>
    </row>
    <row r="120" spans="5:11" x14ac:dyDescent="0.25">
      <c r="F120" s="26"/>
    </row>
  </sheetData>
  <mergeCells count="1">
    <mergeCell ref="A4:K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9B3B-00D7-4529-93FF-30842EB5E8FE}">
  <sheetPr codeName="Sheet112"/>
  <dimension ref="A1:S120"/>
  <sheetViews>
    <sheetView topLeftCell="A2"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62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8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/>
      <c r="J7" s="6" t="s">
        <v>23</v>
      </c>
      <c r="K7" s="4" t="s">
        <v>10</v>
      </c>
      <c r="N7" s="399"/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4" ht="17.25" customHeight="1" x14ac:dyDescent="0.25">
      <c r="A9" s="14">
        <v>1</v>
      </c>
      <c r="B9" s="8">
        <v>45805</v>
      </c>
      <c r="C9" s="46" t="s">
        <v>281</v>
      </c>
      <c r="D9" s="214" t="s">
        <v>214</v>
      </c>
      <c r="E9" s="30">
        <v>400</v>
      </c>
      <c r="F9" s="27">
        <v>10</v>
      </c>
      <c r="G9" s="18">
        <f>+G8+E9-F9</f>
        <v>390</v>
      </c>
      <c r="H9" s="28" t="s">
        <v>129</v>
      </c>
      <c r="I9" s="28"/>
      <c r="J9" s="28">
        <v>300</v>
      </c>
      <c r="K9" s="7"/>
    </row>
    <row r="10" spans="1:14" ht="17.25" customHeight="1" x14ac:dyDescent="0.25">
      <c r="A10" s="14">
        <f t="shared" ref="A10:A73" si="0">+A9+1</f>
        <v>2</v>
      </c>
      <c r="B10" s="8">
        <v>45814</v>
      </c>
      <c r="C10" s="46" t="s">
        <v>281</v>
      </c>
      <c r="D10" s="214" t="s">
        <v>214</v>
      </c>
      <c r="E10" s="30"/>
      <c r="F10" s="27">
        <v>10</v>
      </c>
      <c r="G10" s="18">
        <f t="shared" ref="G10:G73" si="1">+G9+E10-F10</f>
        <v>380</v>
      </c>
      <c r="H10" s="28" t="s">
        <v>129</v>
      </c>
      <c r="I10" s="28">
        <f>+F10*L12</f>
        <v>7.5</v>
      </c>
      <c r="J10" s="28"/>
      <c r="K10" s="7" t="s">
        <v>90</v>
      </c>
    </row>
    <row r="11" spans="1:14" ht="18" customHeight="1" x14ac:dyDescent="0.25">
      <c r="A11" s="14">
        <f t="shared" si="0"/>
        <v>3</v>
      </c>
      <c r="B11" s="8">
        <v>45834</v>
      </c>
      <c r="C11" s="46" t="s">
        <v>281</v>
      </c>
      <c r="D11" s="214" t="s">
        <v>214</v>
      </c>
      <c r="E11" s="16"/>
      <c r="F11" s="27">
        <v>60</v>
      </c>
      <c r="G11" s="18">
        <f t="shared" si="1"/>
        <v>320</v>
      </c>
      <c r="H11" s="28" t="s">
        <v>129</v>
      </c>
      <c r="I11" s="28">
        <f>+F11*L12</f>
        <v>45</v>
      </c>
      <c r="J11" s="28"/>
      <c r="K11" s="7" t="s">
        <v>90</v>
      </c>
      <c r="L11" s="26"/>
    </row>
    <row r="12" spans="1:14" ht="18" customHeight="1" x14ac:dyDescent="0.25">
      <c r="A12" s="14">
        <f t="shared" si="0"/>
        <v>4</v>
      </c>
      <c r="B12" s="8">
        <v>45835</v>
      </c>
      <c r="C12" s="46" t="s">
        <v>281</v>
      </c>
      <c r="D12" s="214" t="s">
        <v>214</v>
      </c>
      <c r="E12" s="16"/>
      <c r="F12" s="17">
        <v>75</v>
      </c>
      <c r="G12" s="18">
        <f t="shared" si="1"/>
        <v>245</v>
      </c>
      <c r="H12" s="28" t="s">
        <v>129</v>
      </c>
      <c r="I12" s="28">
        <f>40*L12</f>
        <v>30</v>
      </c>
      <c r="J12" s="28"/>
      <c r="K12" s="7" t="s">
        <v>90</v>
      </c>
      <c r="L12" s="392">
        <f>+J9/E9</f>
        <v>0.75</v>
      </c>
    </row>
    <row r="13" spans="1:14" ht="18" customHeight="1" x14ac:dyDescent="0.25">
      <c r="A13" s="14">
        <f t="shared" si="0"/>
        <v>5</v>
      </c>
      <c r="B13" s="205">
        <v>45842</v>
      </c>
      <c r="C13" s="46" t="s">
        <v>281</v>
      </c>
      <c r="D13" s="214" t="s">
        <v>214</v>
      </c>
      <c r="E13" s="16"/>
      <c r="F13" s="17">
        <v>10</v>
      </c>
      <c r="G13" s="18">
        <f t="shared" si="1"/>
        <v>235</v>
      </c>
      <c r="H13" s="28" t="s">
        <v>91</v>
      </c>
      <c r="I13" s="28">
        <f>+F13*L12</f>
        <v>7.5</v>
      </c>
      <c r="J13" s="28"/>
      <c r="K13" s="7" t="s">
        <v>90</v>
      </c>
      <c r="L13" s="26"/>
      <c r="N13">
        <f>432/497</f>
        <v>0.86921529175050305</v>
      </c>
    </row>
    <row r="14" spans="1:14" ht="18" customHeight="1" x14ac:dyDescent="0.25">
      <c r="A14" s="14">
        <f t="shared" si="0"/>
        <v>6</v>
      </c>
      <c r="B14" s="8">
        <v>45849</v>
      </c>
      <c r="C14" s="46" t="s">
        <v>281</v>
      </c>
      <c r="D14" s="214" t="s">
        <v>214</v>
      </c>
      <c r="E14" s="16"/>
      <c r="F14" s="27">
        <v>10</v>
      </c>
      <c r="G14" s="18">
        <f t="shared" si="1"/>
        <v>225</v>
      </c>
      <c r="H14" s="28" t="s">
        <v>91</v>
      </c>
      <c r="I14" s="28">
        <f>+F14*L12</f>
        <v>7.5</v>
      </c>
      <c r="J14" s="28"/>
      <c r="K14" s="7" t="s">
        <v>90</v>
      </c>
    </row>
    <row r="15" spans="1:14" ht="18" customHeight="1" x14ac:dyDescent="0.25">
      <c r="A15" s="14">
        <f t="shared" si="0"/>
        <v>7</v>
      </c>
      <c r="B15" s="8">
        <v>45854</v>
      </c>
      <c r="C15" s="46" t="s">
        <v>281</v>
      </c>
      <c r="D15" s="214" t="s">
        <v>214</v>
      </c>
      <c r="E15" s="16"/>
      <c r="F15" s="27">
        <v>10</v>
      </c>
      <c r="G15" s="18">
        <f t="shared" si="1"/>
        <v>215</v>
      </c>
      <c r="H15" s="28" t="s">
        <v>91</v>
      </c>
      <c r="I15" s="28">
        <f>+F15*L12</f>
        <v>7.5</v>
      </c>
      <c r="J15" s="28"/>
      <c r="K15" s="7" t="s">
        <v>90</v>
      </c>
      <c r="L15" s="26"/>
      <c r="N15">
        <f>+N13*127</f>
        <v>110.39034205231388</v>
      </c>
    </row>
    <row r="16" spans="1:14" ht="18" customHeight="1" x14ac:dyDescent="0.25">
      <c r="A16" s="14">
        <f t="shared" si="0"/>
        <v>8</v>
      </c>
      <c r="B16" s="8">
        <v>45861</v>
      </c>
      <c r="C16" s="46" t="s">
        <v>281</v>
      </c>
      <c r="D16" s="214" t="s">
        <v>214</v>
      </c>
      <c r="E16" s="16"/>
      <c r="F16" s="27">
        <v>10</v>
      </c>
      <c r="G16" s="18">
        <f t="shared" si="1"/>
        <v>205</v>
      </c>
      <c r="H16" s="28" t="s">
        <v>91</v>
      </c>
      <c r="I16" s="28">
        <f>+F16*L12</f>
        <v>7.5</v>
      </c>
      <c r="J16" s="28"/>
      <c r="K16" s="7"/>
      <c r="L16" s="26"/>
    </row>
    <row r="17" spans="1:16" ht="18" customHeight="1" x14ac:dyDescent="0.25">
      <c r="A17" s="14">
        <f t="shared" si="0"/>
        <v>9</v>
      </c>
      <c r="B17" s="8">
        <v>45875</v>
      </c>
      <c r="C17" s="46" t="s">
        <v>281</v>
      </c>
      <c r="D17" s="214" t="s">
        <v>214</v>
      </c>
      <c r="E17" s="16"/>
      <c r="F17" s="27">
        <v>20</v>
      </c>
      <c r="G17" s="18">
        <f t="shared" si="1"/>
        <v>185</v>
      </c>
      <c r="H17" s="28" t="s">
        <v>91</v>
      </c>
      <c r="I17" s="28">
        <f>+F17*L12</f>
        <v>15</v>
      </c>
      <c r="J17" s="28"/>
      <c r="K17" s="7" t="s">
        <v>90</v>
      </c>
    </row>
    <row r="18" spans="1:16" ht="18" customHeight="1" x14ac:dyDescent="0.25">
      <c r="A18" s="14">
        <f t="shared" si="0"/>
        <v>10</v>
      </c>
      <c r="B18" s="8">
        <v>45905</v>
      </c>
      <c r="C18" s="46" t="s">
        <v>281</v>
      </c>
      <c r="D18" s="214" t="s">
        <v>214</v>
      </c>
      <c r="E18" s="30"/>
      <c r="F18" s="27">
        <v>20</v>
      </c>
      <c r="G18" s="18">
        <f t="shared" si="1"/>
        <v>165</v>
      </c>
      <c r="H18" s="28" t="s">
        <v>91</v>
      </c>
      <c r="I18" s="28">
        <f>+F18*L12</f>
        <v>15</v>
      </c>
      <c r="J18" s="28"/>
      <c r="K18" s="7" t="s">
        <v>90</v>
      </c>
    </row>
    <row r="19" spans="1:16" s="230" customFormat="1" ht="18" customHeight="1" x14ac:dyDescent="0.25">
      <c r="A19" s="14">
        <f t="shared" si="0"/>
        <v>11</v>
      </c>
      <c r="B19" s="224">
        <v>45923</v>
      </c>
      <c r="C19" s="46" t="s">
        <v>281</v>
      </c>
      <c r="D19" s="214" t="s">
        <v>214</v>
      </c>
      <c r="E19" s="227"/>
      <c r="F19" s="228">
        <v>10</v>
      </c>
      <c r="G19" s="18">
        <f t="shared" si="1"/>
        <v>155</v>
      </c>
      <c r="H19" s="28" t="s">
        <v>91</v>
      </c>
      <c r="I19" s="28">
        <f>+F19*L12</f>
        <v>7.5</v>
      </c>
      <c r="J19" s="28"/>
      <c r="K19" s="7" t="s">
        <v>90</v>
      </c>
      <c r="M19" s="230">
        <f>8*20+15*20+40+23</f>
        <v>523</v>
      </c>
    </row>
    <row r="20" spans="1:16" s="230" customFormat="1" x14ac:dyDescent="0.25">
      <c r="A20" s="14">
        <f t="shared" si="0"/>
        <v>12</v>
      </c>
      <c r="B20" s="224">
        <v>45931</v>
      </c>
      <c r="C20" s="46" t="s">
        <v>281</v>
      </c>
      <c r="D20" s="214" t="s">
        <v>214</v>
      </c>
      <c r="E20" s="231"/>
      <c r="F20" s="228">
        <v>10</v>
      </c>
      <c r="G20" s="18">
        <f t="shared" si="1"/>
        <v>145</v>
      </c>
      <c r="H20" s="28" t="s">
        <v>91</v>
      </c>
      <c r="I20" s="28">
        <f>+F20*L12</f>
        <v>7.5</v>
      </c>
      <c r="J20" s="28"/>
      <c r="K20" s="7" t="s">
        <v>90</v>
      </c>
    </row>
    <row r="21" spans="1:16" x14ac:dyDescent="0.25">
      <c r="A21" s="14">
        <f t="shared" si="0"/>
        <v>13</v>
      </c>
      <c r="B21" s="8"/>
      <c r="C21" s="46" t="s">
        <v>281</v>
      </c>
      <c r="D21" s="214" t="s">
        <v>214</v>
      </c>
      <c r="E21" s="32"/>
      <c r="F21" s="17"/>
      <c r="G21" s="18">
        <f t="shared" si="1"/>
        <v>145</v>
      </c>
      <c r="H21" s="28" t="s">
        <v>91</v>
      </c>
      <c r="I21" s="28">
        <f>+F21*L12</f>
        <v>0</v>
      </c>
      <c r="J21" s="28"/>
      <c r="K21" s="7" t="s">
        <v>90</v>
      </c>
      <c r="N21">
        <f>271-33</f>
        <v>238</v>
      </c>
      <c r="P21" s="26"/>
    </row>
    <row r="22" spans="1:16" ht="18" customHeight="1" x14ac:dyDescent="0.25">
      <c r="A22" s="14">
        <f t="shared" si="0"/>
        <v>14</v>
      </c>
      <c r="B22" s="8"/>
      <c r="C22" s="46" t="s">
        <v>281</v>
      </c>
      <c r="D22" s="214" t="s">
        <v>214</v>
      </c>
      <c r="E22" s="32"/>
      <c r="F22" s="27"/>
      <c r="G22" s="18">
        <f t="shared" si="1"/>
        <v>145</v>
      </c>
      <c r="H22" s="28" t="s">
        <v>91</v>
      </c>
      <c r="I22" s="28">
        <f>+F22*L12</f>
        <v>0</v>
      </c>
      <c r="J22" s="28"/>
      <c r="K22" s="7" t="s">
        <v>90</v>
      </c>
      <c r="N22">
        <f>62-33</f>
        <v>29</v>
      </c>
    </row>
    <row r="23" spans="1:16" ht="18" customHeight="1" x14ac:dyDescent="0.25">
      <c r="A23" s="14">
        <f t="shared" si="0"/>
        <v>15</v>
      </c>
      <c r="B23" s="232"/>
      <c r="C23" s="233"/>
      <c r="D23" s="214" t="s">
        <v>214</v>
      </c>
      <c r="E23" s="235"/>
      <c r="F23" s="172"/>
      <c r="G23" s="18">
        <f t="shared" si="1"/>
        <v>145</v>
      </c>
      <c r="H23" s="28" t="s">
        <v>129</v>
      </c>
      <c r="I23" s="28">
        <f>+F23*L12</f>
        <v>0</v>
      </c>
      <c r="J23" s="28"/>
      <c r="K23" s="7" t="s">
        <v>90</v>
      </c>
    </row>
    <row r="24" spans="1:16" ht="18" customHeight="1" x14ac:dyDescent="0.25">
      <c r="A24" s="14">
        <f t="shared" si="0"/>
        <v>16</v>
      </c>
      <c r="B24" s="8"/>
      <c r="C24" s="46"/>
      <c r="D24" s="214" t="s">
        <v>214</v>
      </c>
      <c r="E24" s="32"/>
      <c r="F24" s="17"/>
      <c r="G24" s="18">
        <f t="shared" si="1"/>
        <v>145</v>
      </c>
      <c r="H24" s="28" t="s">
        <v>129</v>
      </c>
      <c r="I24" s="28">
        <f>+F24*L12</f>
        <v>0</v>
      </c>
      <c r="J24" s="28"/>
      <c r="K24" s="7" t="s">
        <v>142</v>
      </c>
      <c r="N24">
        <f>211-33</f>
        <v>178</v>
      </c>
    </row>
    <row r="25" spans="1:16" ht="18" customHeight="1" x14ac:dyDescent="0.25">
      <c r="A25" s="14">
        <f t="shared" si="0"/>
        <v>17</v>
      </c>
      <c r="B25" s="8"/>
      <c r="C25" s="46"/>
      <c r="D25" s="214" t="s">
        <v>214</v>
      </c>
      <c r="E25" s="32"/>
      <c r="F25" s="17"/>
      <c r="G25" s="18">
        <f t="shared" si="1"/>
        <v>145</v>
      </c>
      <c r="H25" s="28" t="s">
        <v>91</v>
      </c>
      <c r="I25" s="28">
        <f>+F25*L12</f>
        <v>0</v>
      </c>
      <c r="J25" s="28"/>
      <c r="K25" s="7" t="s">
        <v>90</v>
      </c>
      <c r="L25">
        <v>129</v>
      </c>
    </row>
    <row r="26" spans="1:16" ht="18" customHeight="1" x14ac:dyDescent="0.25">
      <c r="A26" s="14">
        <f t="shared" si="0"/>
        <v>18</v>
      </c>
      <c r="B26" s="8"/>
      <c r="C26" s="46"/>
      <c r="D26" s="214" t="s">
        <v>214</v>
      </c>
      <c r="E26" s="32"/>
      <c r="F26" s="17"/>
      <c r="G26" s="18">
        <f t="shared" si="1"/>
        <v>145</v>
      </c>
      <c r="H26" s="28" t="s">
        <v>91</v>
      </c>
      <c r="I26" s="28">
        <f>+F26*L12</f>
        <v>0</v>
      </c>
      <c r="J26" s="28"/>
      <c r="K26" s="7" t="s">
        <v>90</v>
      </c>
    </row>
    <row r="27" spans="1:16" ht="18" customHeight="1" x14ac:dyDescent="0.25">
      <c r="A27" s="14">
        <f t="shared" si="0"/>
        <v>19</v>
      </c>
      <c r="B27" s="8"/>
      <c r="C27" s="46"/>
      <c r="D27" s="214" t="s">
        <v>214</v>
      </c>
      <c r="E27" s="32"/>
      <c r="F27" s="17"/>
      <c r="G27" s="18">
        <f t="shared" si="1"/>
        <v>145</v>
      </c>
      <c r="H27" s="28" t="s">
        <v>91</v>
      </c>
      <c r="I27" s="28">
        <f>+F27*L12</f>
        <v>0</v>
      </c>
      <c r="J27" s="28"/>
      <c r="K27" s="7" t="s">
        <v>90</v>
      </c>
      <c r="M27" s="162"/>
    </row>
    <row r="28" spans="1:16" ht="18" customHeight="1" x14ac:dyDescent="0.25">
      <c r="A28" s="14">
        <f t="shared" si="0"/>
        <v>20</v>
      </c>
      <c r="B28" s="8"/>
      <c r="C28" s="46"/>
      <c r="D28" s="214" t="s">
        <v>214</v>
      </c>
      <c r="E28" s="32"/>
      <c r="F28" s="17"/>
      <c r="G28" s="18">
        <f t="shared" si="1"/>
        <v>145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 t="s">
        <v>214</v>
      </c>
      <c r="E29" s="129"/>
      <c r="F29" s="17"/>
      <c r="G29" s="18">
        <f t="shared" si="1"/>
        <v>145</v>
      </c>
      <c r="H29" s="28" t="s">
        <v>91</v>
      </c>
      <c r="I29" s="28"/>
      <c r="J29" s="28"/>
      <c r="K29" s="7" t="s">
        <v>90</v>
      </c>
      <c r="N29">
        <f>4*16+9+18</f>
        <v>91</v>
      </c>
    </row>
    <row r="30" spans="1:16" ht="18" customHeight="1" x14ac:dyDescent="0.25">
      <c r="A30" s="14">
        <f t="shared" si="0"/>
        <v>22</v>
      </c>
      <c r="B30" s="8"/>
      <c r="C30" s="46"/>
      <c r="D30" s="214" t="s">
        <v>214</v>
      </c>
      <c r="E30" s="32"/>
      <c r="F30" s="172"/>
      <c r="G30" s="18">
        <f t="shared" si="1"/>
        <v>145</v>
      </c>
      <c r="H30" s="28" t="s">
        <v>91</v>
      </c>
      <c r="I30" s="28"/>
      <c r="J30" s="28"/>
      <c r="K30" s="7" t="s">
        <v>90</v>
      </c>
      <c r="N30">
        <f>+N29*10+7</f>
        <v>917</v>
      </c>
    </row>
    <row r="31" spans="1:16" ht="18" customHeight="1" x14ac:dyDescent="0.25">
      <c r="A31" s="14">
        <f t="shared" si="0"/>
        <v>23</v>
      </c>
      <c r="B31" s="8"/>
      <c r="C31" s="46"/>
      <c r="D31" s="214" t="s">
        <v>214</v>
      </c>
      <c r="E31" s="32"/>
      <c r="F31" s="17"/>
      <c r="G31" s="18">
        <f t="shared" si="1"/>
        <v>145</v>
      </c>
      <c r="H31" s="28" t="s">
        <v>91</v>
      </c>
      <c r="I31" s="28"/>
      <c r="J31" s="28"/>
      <c r="K31" s="7" t="s">
        <v>90</v>
      </c>
    </row>
    <row r="32" spans="1:16" ht="18" customHeight="1" x14ac:dyDescent="0.25">
      <c r="A32" s="14">
        <f t="shared" si="0"/>
        <v>24</v>
      </c>
      <c r="B32" s="8"/>
      <c r="C32" s="46"/>
      <c r="D32" s="214" t="s">
        <v>214</v>
      </c>
      <c r="E32" s="32"/>
      <c r="F32" s="17"/>
      <c r="G32" s="18">
        <f t="shared" si="1"/>
        <v>145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8"/>
      <c r="C33" s="46"/>
      <c r="D33" s="214" t="s">
        <v>214</v>
      </c>
      <c r="E33" s="13"/>
      <c r="F33" s="17"/>
      <c r="G33" s="18">
        <f t="shared" si="1"/>
        <v>145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0"/>
        <v>26</v>
      </c>
      <c r="B34" s="44"/>
      <c r="C34" s="46"/>
      <c r="D34" s="214" t="s">
        <v>214</v>
      </c>
      <c r="E34" s="13"/>
      <c r="F34" s="17"/>
      <c r="G34" s="18">
        <f t="shared" si="1"/>
        <v>145</v>
      </c>
      <c r="H34" s="178"/>
      <c r="I34" s="178"/>
      <c r="J34" s="178"/>
      <c r="K34" s="7"/>
      <c r="N34">
        <f>57*20</f>
        <v>1140</v>
      </c>
    </row>
    <row r="35" spans="1:18" ht="18" customHeight="1" x14ac:dyDescent="0.25">
      <c r="A35" s="14">
        <f t="shared" si="0"/>
        <v>27</v>
      </c>
      <c r="B35" s="8"/>
      <c r="C35" s="46"/>
      <c r="D35" s="214" t="s">
        <v>214</v>
      </c>
      <c r="E35" s="32"/>
      <c r="F35" s="40"/>
      <c r="G35" s="18">
        <f t="shared" si="1"/>
        <v>145</v>
      </c>
      <c r="H35" s="178"/>
      <c r="I35" s="178"/>
      <c r="J35" s="178"/>
      <c r="K35" s="7"/>
      <c r="N35">
        <f>+N34*91</f>
        <v>103740</v>
      </c>
    </row>
    <row r="36" spans="1:18" ht="18" customHeight="1" x14ac:dyDescent="0.25">
      <c r="A36" s="14">
        <f t="shared" si="0"/>
        <v>28</v>
      </c>
      <c r="B36" s="45"/>
      <c r="C36" s="46"/>
      <c r="D36" s="214" t="s">
        <v>214</v>
      </c>
      <c r="E36" s="32"/>
      <c r="F36" s="40"/>
      <c r="G36" s="18">
        <f t="shared" si="1"/>
        <v>145</v>
      </c>
      <c r="H36" s="178"/>
      <c r="I36" s="178"/>
      <c r="J36" s="178"/>
      <c r="K36" s="7"/>
      <c r="N36">
        <f>+N35/2730</f>
        <v>38</v>
      </c>
    </row>
    <row r="37" spans="1:18" ht="18" customHeight="1" x14ac:dyDescent="0.25">
      <c r="A37" s="14">
        <f t="shared" si="0"/>
        <v>29</v>
      </c>
      <c r="B37" s="8"/>
      <c r="C37" s="46"/>
      <c r="D37" s="214" t="s">
        <v>214</v>
      </c>
      <c r="E37" s="32"/>
      <c r="F37" s="40"/>
      <c r="G37" s="18">
        <f t="shared" si="1"/>
        <v>145</v>
      </c>
      <c r="H37" s="178"/>
      <c r="I37" s="178"/>
      <c r="J37" s="178"/>
      <c r="K37" s="7"/>
    </row>
    <row r="38" spans="1:18" ht="18" customHeight="1" x14ac:dyDescent="0.25">
      <c r="A38" s="14">
        <f t="shared" si="0"/>
        <v>30</v>
      </c>
      <c r="B38" s="8"/>
      <c r="C38" s="46"/>
      <c r="D38" s="214" t="s">
        <v>214</v>
      </c>
      <c r="E38" s="32"/>
      <c r="F38" s="17"/>
      <c r="G38" s="18">
        <f t="shared" si="1"/>
        <v>145</v>
      </c>
      <c r="H38" s="178"/>
      <c r="I38" s="178"/>
      <c r="J38" s="178"/>
      <c r="K38" s="7"/>
      <c r="M38">
        <f>911-338</f>
        <v>573</v>
      </c>
    </row>
    <row r="39" spans="1:18" ht="18" customHeight="1" x14ac:dyDescent="0.25">
      <c r="A39" s="14">
        <f t="shared" si="0"/>
        <v>31</v>
      </c>
      <c r="B39" s="8"/>
      <c r="C39" s="46"/>
      <c r="D39" s="214" t="s">
        <v>214</v>
      </c>
      <c r="E39" s="32"/>
      <c r="F39" s="17"/>
      <c r="G39" s="18">
        <f t="shared" si="1"/>
        <v>145</v>
      </c>
      <c r="H39" s="178"/>
      <c r="I39" s="178"/>
      <c r="J39" s="178"/>
      <c r="K39" s="7"/>
      <c r="M39">
        <f>+M38-314</f>
        <v>259</v>
      </c>
    </row>
    <row r="40" spans="1:18" ht="18" customHeight="1" x14ac:dyDescent="0.25">
      <c r="A40" s="14">
        <f t="shared" si="0"/>
        <v>32</v>
      </c>
      <c r="B40" s="8"/>
      <c r="C40" s="46"/>
      <c r="D40" s="214" t="s">
        <v>214</v>
      </c>
      <c r="E40" s="32"/>
      <c r="F40" s="17"/>
      <c r="G40" s="18">
        <f t="shared" si="1"/>
        <v>145</v>
      </c>
      <c r="H40" s="178"/>
      <c r="I40" s="178"/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 t="s">
        <v>214</v>
      </c>
      <c r="E41" s="32"/>
      <c r="F41" s="17"/>
      <c r="G41" s="18">
        <f t="shared" si="1"/>
        <v>145</v>
      </c>
      <c r="H41" s="178"/>
      <c r="I41" s="178"/>
      <c r="J41" s="178"/>
      <c r="K41" s="7"/>
    </row>
    <row r="42" spans="1:18" ht="18" customHeight="1" x14ac:dyDescent="0.25">
      <c r="A42" s="14">
        <f t="shared" si="0"/>
        <v>34</v>
      </c>
      <c r="B42" s="8"/>
      <c r="C42" s="46"/>
      <c r="D42" s="214" t="s">
        <v>214</v>
      </c>
      <c r="E42" s="32"/>
      <c r="F42" s="172"/>
      <c r="G42" s="18">
        <f t="shared" si="1"/>
        <v>145</v>
      </c>
      <c r="H42" s="178"/>
      <c r="I42" s="178"/>
      <c r="J42" s="178"/>
      <c r="K42" s="7"/>
      <c r="R42" s="162"/>
    </row>
    <row r="43" spans="1:18" ht="18" customHeight="1" x14ac:dyDescent="0.25">
      <c r="A43" s="14">
        <f t="shared" si="0"/>
        <v>35</v>
      </c>
      <c r="B43" s="8"/>
      <c r="C43" s="46"/>
      <c r="D43" s="214" t="s">
        <v>214</v>
      </c>
      <c r="E43" s="32"/>
      <c r="F43" s="17"/>
      <c r="G43" s="18">
        <f t="shared" si="1"/>
        <v>145</v>
      </c>
      <c r="H43" s="178"/>
      <c r="I43" s="178"/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 t="s">
        <v>214</v>
      </c>
      <c r="E44" s="32"/>
      <c r="F44" s="17"/>
      <c r="G44" s="18">
        <f t="shared" si="1"/>
        <v>145</v>
      </c>
      <c r="H44" s="178"/>
      <c r="I44" s="178"/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 t="s">
        <v>214</v>
      </c>
      <c r="E45" s="32"/>
      <c r="F45" s="17"/>
      <c r="G45" s="18">
        <f t="shared" si="1"/>
        <v>145</v>
      </c>
      <c r="H45" s="178"/>
      <c r="I45" s="178"/>
      <c r="J45" s="178"/>
      <c r="K45" s="7"/>
    </row>
    <row r="46" spans="1:18" ht="18" customHeight="1" x14ac:dyDescent="0.25">
      <c r="A46" s="14">
        <f t="shared" si="0"/>
        <v>38</v>
      </c>
      <c r="B46" s="8"/>
      <c r="C46" s="46"/>
      <c r="D46" s="214" t="s">
        <v>214</v>
      </c>
      <c r="E46" s="32"/>
      <c r="F46" s="17"/>
      <c r="G46" s="18">
        <f t="shared" si="1"/>
        <v>145</v>
      </c>
      <c r="H46" s="178"/>
      <c r="I46" s="178"/>
      <c r="J46" s="178"/>
      <c r="K46" s="29"/>
    </row>
    <row r="47" spans="1:18" ht="18" customHeight="1" x14ac:dyDescent="0.25">
      <c r="A47" s="14">
        <f t="shared" si="0"/>
        <v>39</v>
      </c>
      <c r="B47" s="8"/>
      <c r="C47" s="46"/>
      <c r="D47" s="214" t="s">
        <v>214</v>
      </c>
      <c r="E47" s="32"/>
      <c r="F47" s="17"/>
      <c r="G47" s="18">
        <f t="shared" si="1"/>
        <v>145</v>
      </c>
      <c r="H47" s="178"/>
      <c r="I47" s="178"/>
      <c r="J47" s="178"/>
      <c r="K47" s="29"/>
    </row>
    <row r="48" spans="1:18" ht="18" customHeight="1" x14ac:dyDescent="0.25">
      <c r="A48" s="14">
        <f t="shared" si="0"/>
        <v>40</v>
      </c>
      <c r="B48" s="8"/>
      <c r="C48" s="46"/>
      <c r="D48" s="214" t="s">
        <v>214</v>
      </c>
      <c r="E48" s="32"/>
      <c r="F48" s="17"/>
      <c r="G48" s="18">
        <f t="shared" si="1"/>
        <v>145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 t="s">
        <v>214</v>
      </c>
      <c r="E49" s="32"/>
      <c r="F49" s="17"/>
      <c r="G49" s="18">
        <f t="shared" si="1"/>
        <v>145</v>
      </c>
      <c r="H49" s="178"/>
      <c r="I49" s="178"/>
      <c r="J49" s="178"/>
      <c r="K49" s="29"/>
    </row>
    <row r="50" spans="1:18" ht="18" customHeight="1" x14ac:dyDescent="0.25">
      <c r="A50" s="14">
        <f t="shared" si="0"/>
        <v>42</v>
      </c>
      <c r="B50" s="8"/>
      <c r="C50" s="46"/>
      <c r="D50" s="214" t="s">
        <v>214</v>
      </c>
      <c r="E50" s="32"/>
      <c r="F50" s="17"/>
      <c r="G50" s="18">
        <f t="shared" si="1"/>
        <v>145</v>
      </c>
      <c r="H50" s="178"/>
      <c r="I50" s="178"/>
      <c r="J50" s="178"/>
      <c r="K50" s="7"/>
    </row>
    <row r="51" spans="1:18" s="162" customFormat="1" ht="18" customHeight="1" x14ac:dyDescent="0.25">
      <c r="A51" s="14">
        <f t="shared" si="0"/>
        <v>43</v>
      </c>
      <c r="B51" s="174"/>
      <c r="C51" s="236"/>
      <c r="D51" s="214" t="s">
        <v>214</v>
      </c>
      <c r="E51" s="175"/>
      <c r="F51" s="172"/>
      <c r="G51" s="18">
        <f t="shared" si="1"/>
        <v>145</v>
      </c>
      <c r="H51" s="178"/>
      <c r="I51" s="178"/>
      <c r="J51" s="178"/>
      <c r="K51" s="7"/>
      <c r="R51"/>
    </row>
    <row r="52" spans="1:18" ht="18" customHeight="1" x14ac:dyDescent="0.25">
      <c r="A52" s="14">
        <f t="shared" si="0"/>
        <v>44</v>
      </c>
      <c r="B52" s="8"/>
      <c r="C52" s="46"/>
      <c r="D52" s="214" t="s">
        <v>214</v>
      </c>
      <c r="E52" s="32"/>
      <c r="F52" s="17"/>
      <c r="G52" s="18">
        <f t="shared" si="1"/>
        <v>145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214</v>
      </c>
      <c r="E53" s="32"/>
      <c r="F53" s="17"/>
      <c r="G53" s="18">
        <f t="shared" si="1"/>
        <v>145</v>
      </c>
      <c r="H53" s="239"/>
      <c r="I53" s="239"/>
      <c r="J53" s="239"/>
      <c r="K53" s="7"/>
    </row>
    <row r="54" spans="1:18" ht="18" customHeight="1" x14ac:dyDescent="0.25">
      <c r="A54" s="14">
        <f t="shared" si="0"/>
        <v>46</v>
      </c>
      <c r="B54" s="8"/>
      <c r="C54" s="46"/>
      <c r="D54" s="214" t="s">
        <v>214</v>
      </c>
      <c r="E54" s="32"/>
      <c r="F54" s="17"/>
      <c r="G54" s="18">
        <f t="shared" si="1"/>
        <v>145</v>
      </c>
      <c r="H54" s="239"/>
      <c r="I54" s="239"/>
      <c r="J54" s="239"/>
      <c r="K54" s="7"/>
    </row>
    <row r="55" spans="1:18" ht="18" customHeight="1" x14ac:dyDescent="0.25">
      <c r="A55" s="14">
        <f t="shared" si="0"/>
        <v>47</v>
      </c>
      <c r="B55" s="8"/>
      <c r="C55" s="46"/>
      <c r="D55" s="214" t="s">
        <v>214</v>
      </c>
      <c r="E55" s="32"/>
      <c r="F55" s="17"/>
      <c r="G55" s="18">
        <f t="shared" si="1"/>
        <v>145</v>
      </c>
      <c r="H55" s="28"/>
      <c r="I55" s="28"/>
      <c r="J55" s="28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214</v>
      </c>
      <c r="E56" s="32"/>
      <c r="F56" s="17"/>
      <c r="G56" s="18">
        <f t="shared" si="1"/>
        <v>145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214</v>
      </c>
      <c r="E57" s="32"/>
      <c r="F57" s="17"/>
      <c r="G57" s="18">
        <f t="shared" si="1"/>
        <v>145</v>
      </c>
      <c r="H57" s="240"/>
      <c r="I57" s="240"/>
      <c r="J57" s="240"/>
      <c r="K57" s="7"/>
    </row>
    <row r="58" spans="1:18" ht="18" customHeight="1" x14ac:dyDescent="0.25">
      <c r="A58" s="14">
        <f t="shared" si="0"/>
        <v>50</v>
      </c>
      <c r="B58" s="8"/>
      <c r="C58" s="46"/>
      <c r="D58" s="214" t="s">
        <v>214</v>
      </c>
      <c r="E58" s="32"/>
      <c r="F58" s="17"/>
      <c r="G58" s="18">
        <f t="shared" si="1"/>
        <v>145</v>
      </c>
      <c r="H58" s="240"/>
      <c r="I58" s="240"/>
      <c r="J58" s="240"/>
      <c r="K58" s="7" t="s">
        <v>14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214</v>
      </c>
      <c r="E59" s="32"/>
      <c r="F59" s="17"/>
      <c r="G59" s="18">
        <f t="shared" si="1"/>
        <v>145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214</v>
      </c>
      <c r="E60" s="32"/>
      <c r="F60" s="17"/>
      <c r="G60" s="18">
        <f t="shared" si="1"/>
        <v>145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214</v>
      </c>
      <c r="E61" s="32"/>
      <c r="F61" s="17"/>
      <c r="G61" s="18">
        <f t="shared" si="1"/>
        <v>145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214</v>
      </c>
      <c r="E62" s="32"/>
      <c r="F62" s="17"/>
      <c r="G62" s="18">
        <f t="shared" si="1"/>
        <v>145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214</v>
      </c>
      <c r="E63" s="32"/>
      <c r="F63" s="17"/>
      <c r="G63" s="18">
        <f t="shared" si="1"/>
        <v>145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214</v>
      </c>
      <c r="E64" s="32"/>
      <c r="F64" s="17"/>
      <c r="G64" s="18">
        <f t="shared" si="1"/>
        <v>145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214</v>
      </c>
      <c r="E65" s="32"/>
      <c r="F65" s="17"/>
      <c r="G65" s="18">
        <f t="shared" si="1"/>
        <v>145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58</v>
      </c>
      <c r="B66" s="8"/>
      <c r="C66" s="46"/>
      <c r="D66" s="214" t="s">
        <v>214</v>
      </c>
      <c r="E66" s="32"/>
      <c r="F66" s="17"/>
      <c r="G66" s="18">
        <f t="shared" si="1"/>
        <v>145</v>
      </c>
      <c r="H66" s="240"/>
      <c r="I66" s="240"/>
      <c r="J66" s="240"/>
      <c r="K66" s="7" t="s">
        <v>14</v>
      </c>
      <c r="L66" s="26"/>
    </row>
    <row r="67" spans="1:12" ht="18" customHeight="1" x14ac:dyDescent="0.25">
      <c r="A67" s="14">
        <f t="shared" si="0"/>
        <v>59</v>
      </c>
      <c r="B67" s="8"/>
      <c r="C67" s="46"/>
      <c r="D67" s="214" t="s">
        <v>214</v>
      </c>
      <c r="E67" s="32"/>
      <c r="F67" s="17"/>
      <c r="G67" s="18">
        <f t="shared" si="1"/>
        <v>145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214</v>
      </c>
      <c r="E68" s="32"/>
      <c r="F68" s="17"/>
      <c r="G68" s="18">
        <f t="shared" si="1"/>
        <v>145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214</v>
      </c>
      <c r="E69" s="32"/>
      <c r="F69" s="17"/>
      <c r="G69" s="18">
        <f t="shared" si="1"/>
        <v>145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214</v>
      </c>
      <c r="E70" s="32"/>
      <c r="F70" s="17"/>
      <c r="G70" s="18">
        <f t="shared" si="1"/>
        <v>145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214</v>
      </c>
      <c r="E71" s="32"/>
      <c r="F71" s="17"/>
      <c r="G71" s="18">
        <f t="shared" si="1"/>
        <v>145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64</v>
      </c>
      <c r="B72" s="8"/>
      <c r="C72" s="46"/>
      <c r="D72" s="214" t="s">
        <v>214</v>
      </c>
      <c r="E72" s="32"/>
      <c r="F72" s="17"/>
      <c r="G72" s="18">
        <f t="shared" si="1"/>
        <v>145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214</v>
      </c>
      <c r="E73" s="32"/>
      <c r="F73" s="17"/>
      <c r="G73" s="18">
        <f t="shared" si="1"/>
        <v>145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ref="A74:A108" si="2">+A73+1</f>
        <v>66</v>
      </c>
      <c r="B74" s="8"/>
      <c r="C74" s="46"/>
      <c r="D74" s="214" t="s">
        <v>214</v>
      </c>
      <c r="E74" s="32"/>
      <c r="F74" s="17"/>
      <c r="G74" s="18">
        <f t="shared" ref="G74:G108" si="3">+G73+E74-F74</f>
        <v>145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2"/>
        <v>67</v>
      </c>
      <c r="B75" s="8"/>
      <c r="C75" s="46"/>
      <c r="D75" s="214" t="s">
        <v>214</v>
      </c>
      <c r="E75" s="32"/>
      <c r="F75" s="17"/>
      <c r="G75" s="18">
        <f t="shared" si="3"/>
        <v>145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2"/>
        <v>68</v>
      </c>
      <c r="B76" s="8"/>
      <c r="C76" s="46"/>
      <c r="D76" s="214" t="s">
        <v>214</v>
      </c>
      <c r="E76" s="32"/>
      <c r="F76" s="17"/>
      <c r="G76" s="18">
        <f t="shared" si="3"/>
        <v>145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2"/>
        <v>69</v>
      </c>
      <c r="B77" s="8"/>
      <c r="C77" s="46"/>
      <c r="D77" s="214" t="s">
        <v>214</v>
      </c>
      <c r="E77" s="32"/>
      <c r="F77" s="17"/>
      <c r="G77" s="18">
        <f t="shared" si="3"/>
        <v>145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2"/>
        <v>70</v>
      </c>
      <c r="B78" s="8"/>
      <c r="C78" s="46"/>
      <c r="D78" s="214" t="s">
        <v>214</v>
      </c>
      <c r="E78" s="32"/>
      <c r="F78" s="17"/>
      <c r="G78" s="18">
        <f t="shared" si="3"/>
        <v>145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2"/>
        <v>71</v>
      </c>
      <c r="B79" s="8"/>
      <c r="C79" s="46"/>
      <c r="D79" s="214" t="s">
        <v>214</v>
      </c>
      <c r="E79" s="32"/>
      <c r="F79" s="17"/>
      <c r="G79" s="18">
        <f t="shared" si="3"/>
        <v>145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2"/>
        <v>72</v>
      </c>
      <c r="B80" s="8"/>
      <c r="C80" s="46"/>
      <c r="D80" s="214" t="s">
        <v>214</v>
      </c>
      <c r="E80" s="32"/>
      <c r="F80" s="17"/>
      <c r="G80" s="18">
        <f t="shared" si="3"/>
        <v>145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2"/>
        <v>73</v>
      </c>
      <c r="B81" s="8"/>
      <c r="C81" s="46"/>
      <c r="D81" s="214" t="s">
        <v>214</v>
      </c>
      <c r="E81" s="32"/>
      <c r="F81" s="17"/>
      <c r="G81" s="18">
        <f t="shared" si="3"/>
        <v>145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2"/>
        <v>74</v>
      </c>
      <c r="B82" s="8"/>
      <c r="C82" s="46"/>
      <c r="D82" s="214" t="s">
        <v>214</v>
      </c>
      <c r="E82" s="32"/>
      <c r="F82" s="17"/>
      <c r="G82" s="18">
        <f t="shared" si="3"/>
        <v>145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2"/>
        <v>75</v>
      </c>
      <c r="B83" s="8"/>
      <c r="C83" s="46"/>
      <c r="D83" s="214" t="s">
        <v>214</v>
      </c>
      <c r="E83" s="32"/>
      <c r="F83" s="17"/>
      <c r="G83" s="18">
        <f t="shared" si="3"/>
        <v>145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2"/>
        <v>76</v>
      </c>
      <c r="B84" s="8"/>
      <c r="C84" s="46"/>
      <c r="D84" s="214" t="s">
        <v>214</v>
      </c>
      <c r="E84" s="32"/>
      <c r="F84" s="27"/>
      <c r="G84" s="18">
        <f t="shared" si="3"/>
        <v>145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2"/>
        <v>77</v>
      </c>
      <c r="B85" s="8"/>
      <c r="C85" s="46"/>
      <c r="D85" s="214" t="s">
        <v>214</v>
      </c>
      <c r="E85" s="32"/>
      <c r="F85" s="17"/>
      <c r="G85" s="18">
        <f t="shared" si="3"/>
        <v>145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2"/>
        <v>78</v>
      </c>
      <c r="B86" s="8"/>
      <c r="C86" s="46"/>
      <c r="D86" s="214" t="s">
        <v>214</v>
      </c>
      <c r="E86" s="32"/>
      <c r="F86" s="17"/>
      <c r="G86" s="18">
        <f t="shared" si="3"/>
        <v>145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2"/>
        <v>79</v>
      </c>
      <c r="B87" s="8"/>
      <c r="C87" s="46"/>
      <c r="D87" s="214" t="s">
        <v>214</v>
      </c>
      <c r="E87" s="32"/>
      <c r="F87" s="17"/>
      <c r="G87" s="18">
        <f t="shared" si="3"/>
        <v>145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2"/>
        <v>80</v>
      </c>
      <c r="B88" s="8"/>
      <c r="C88" s="46"/>
      <c r="D88" s="214" t="s">
        <v>214</v>
      </c>
      <c r="E88" s="32"/>
      <c r="F88" s="17"/>
      <c r="G88" s="18">
        <f t="shared" si="3"/>
        <v>145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2"/>
        <v>81</v>
      </c>
      <c r="B89" s="8"/>
      <c r="C89" s="46"/>
      <c r="D89" s="214" t="s">
        <v>214</v>
      </c>
      <c r="E89" s="32"/>
      <c r="F89" s="17"/>
      <c r="G89" s="18">
        <f t="shared" si="3"/>
        <v>145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2"/>
        <v>82</v>
      </c>
      <c r="B90" s="8"/>
      <c r="C90" s="46"/>
      <c r="D90" s="214" t="s">
        <v>214</v>
      </c>
      <c r="E90" s="32"/>
      <c r="F90" s="17"/>
      <c r="G90" s="18">
        <f t="shared" si="3"/>
        <v>145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2"/>
        <v>83</v>
      </c>
      <c r="B91" s="8"/>
      <c r="C91" s="46"/>
      <c r="D91" s="214" t="s">
        <v>214</v>
      </c>
      <c r="E91" s="32"/>
      <c r="F91" s="17"/>
      <c r="G91" s="18">
        <f t="shared" si="3"/>
        <v>145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2"/>
        <v>84</v>
      </c>
      <c r="B92" s="8"/>
      <c r="C92" s="46"/>
      <c r="D92" s="214" t="s">
        <v>214</v>
      </c>
      <c r="E92" s="32"/>
      <c r="F92" s="27"/>
      <c r="G92" s="18">
        <f t="shared" si="3"/>
        <v>145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2"/>
        <v>85</v>
      </c>
      <c r="B93" s="8"/>
      <c r="C93" s="46"/>
      <c r="D93" s="214" t="s">
        <v>214</v>
      </c>
      <c r="E93" s="32"/>
      <c r="F93" s="27"/>
      <c r="G93" s="18">
        <f t="shared" si="3"/>
        <v>145</v>
      </c>
      <c r="H93" s="240"/>
      <c r="I93" s="240"/>
      <c r="J93" s="240"/>
      <c r="K93" s="7" t="s">
        <v>14</v>
      </c>
      <c r="N93" s="199"/>
      <c r="S93" s="199"/>
    </row>
    <row r="94" spans="1:19" s="179" customFormat="1" ht="18" customHeight="1" x14ac:dyDescent="0.25">
      <c r="A94" s="14">
        <f t="shared" si="2"/>
        <v>86</v>
      </c>
      <c r="B94" s="242"/>
      <c r="C94" s="243"/>
      <c r="D94" s="214" t="s">
        <v>214</v>
      </c>
      <c r="E94" s="245"/>
      <c r="F94" s="52"/>
      <c r="G94" s="18">
        <f t="shared" si="3"/>
        <v>145</v>
      </c>
      <c r="H94" s="240"/>
      <c r="I94" s="240"/>
      <c r="J94" s="240"/>
      <c r="K94" s="247" t="s">
        <v>14</v>
      </c>
      <c r="L94" s="179" t="s">
        <v>43</v>
      </c>
      <c r="N94" s="248"/>
      <c r="S94" s="248"/>
    </row>
    <row r="95" spans="1:19" s="179" customFormat="1" ht="18" customHeight="1" x14ac:dyDescent="0.25">
      <c r="A95" s="14">
        <f t="shared" si="2"/>
        <v>87</v>
      </c>
      <c r="B95" s="242"/>
      <c r="C95" s="243"/>
      <c r="D95" s="214" t="s">
        <v>214</v>
      </c>
      <c r="E95" s="245"/>
      <c r="F95" s="52"/>
      <c r="G95" s="18">
        <f t="shared" si="3"/>
        <v>145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14">
        <f t="shared" si="2"/>
        <v>88</v>
      </c>
      <c r="B96" s="242"/>
      <c r="C96" s="243"/>
      <c r="D96" s="214" t="s">
        <v>214</v>
      </c>
      <c r="E96" s="245"/>
      <c r="F96" s="52"/>
      <c r="G96" s="18">
        <f t="shared" si="3"/>
        <v>145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2"/>
        <v>89</v>
      </c>
      <c r="B97" s="242"/>
      <c r="C97" s="243"/>
      <c r="D97" s="214" t="s">
        <v>214</v>
      </c>
      <c r="E97" s="245"/>
      <c r="F97" s="52"/>
      <c r="G97" s="18">
        <f t="shared" si="3"/>
        <v>145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2"/>
        <v>90</v>
      </c>
      <c r="B98" s="242"/>
      <c r="C98" s="243"/>
      <c r="D98" s="214" t="s">
        <v>214</v>
      </c>
      <c r="E98" s="245"/>
      <c r="F98" s="52"/>
      <c r="G98" s="18">
        <f t="shared" si="3"/>
        <v>145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2"/>
        <v>91</v>
      </c>
      <c r="B99" s="242"/>
      <c r="C99" s="243"/>
      <c r="D99" s="214" t="s">
        <v>214</v>
      </c>
      <c r="E99" s="245"/>
      <c r="F99" s="52"/>
      <c r="G99" s="18">
        <f t="shared" si="3"/>
        <v>145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2"/>
        <v>92</v>
      </c>
      <c r="B100" s="242"/>
      <c r="C100" s="243"/>
      <c r="D100" s="214" t="s">
        <v>214</v>
      </c>
      <c r="E100" s="245"/>
      <c r="F100" s="52"/>
      <c r="G100" s="18">
        <f t="shared" si="3"/>
        <v>145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2"/>
        <v>93</v>
      </c>
      <c r="B101" s="242"/>
      <c r="C101" s="243"/>
      <c r="D101" s="214" t="s">
        <v>214</v>
      </c>
      <c r="E101" s="245"/>
      <c r="F101" s="52"/>
      <c r="G101" s="18">
        <f t="shared" si="3"/>
        <v>145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2"/>
        <v>94</v>
      </c>
      <c r="B102" s="242"/>
      <c r="C102" s="243"/>
      <c r="D102" s="214" t="s">
        <v>214</v>
      </c>
      <c r="E102" s="245"/>
      <c r="F102" s="52"/>
      <c r="G102" s="18">
        <f t="shared" si="3"/>
        <v>145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14">
        <f t="shared" si="2"/>
        <v>95</v>
      </c>
      <c r="B103" s="242"/>
      <c r="C103" s="243"/>
      <c r="D103" s="244"/>
      <c r="E103" s="245"/>
      <c r="F103" s="52"/>
      <c r="G103" s="18">
        <f t="shared" si="3"/>
        <v>145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2"/>
        <v>96</v>
      </c>
      <c r="B104" s="242"/>
      <c r="C104" s="243"/>
      <c r="D104" s="244"/>
      <c r="E104" s="245"/>
      <c r="F104" s="52"/>
      <c r="G104" s="18">
        <f t="shared" si="3"/>
        <v>145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2"/>
        <v>97</v>
      </c>
      <c r="B105" s="242"/>
      <c r="C105" s="243"/>
      <c r="D105" s="244"/>
      <c r="E105" s="245"/>
      <c r="F105" s="52"/>
      <c r="G105" s="18">
        <f t="shared" si="3"/>
        <v>145</v>
      </c>
      <c r="H105" s="240"/>
      <c r="I105" s="240"/>
      <c r="J105" s="240"/>
      <c r="K105" s="247"/>
      <c r="N105" s="248"/>
      <c r="S105" s="248"/>
    </row>
    <row r="106" spans="1:19" ht="18" customHeight="1" x14ac:dyDescent="0.25">
      <c r="A106" s="14">
        <f t="shared" si="2"/>
        <v>98</v>
      </c>
      <c r="B106" s="8"/>
      <c r="C106" s="46"/>
      <c r="D106" s="214"/>
      <c r="E106" s="32"/>
      <c r="F106" s="27"/>
      <c r="G106" s="18">
        <f t="shared" si="3"/>
        <v>145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2"/>
        <v>99</v>
      </c>
      <c r="B107" s="8"/>
      <c r="C107" s="46"/>
      <c r="D107" s="214"/>
      <c r="E107" s="32"/>
      <c r="F107" s="27"/>
      <c r="G107" s="18">
        <f t="shared" si="3"/>
        <v>145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2"/>
        <v>100</v>
      </c>
      <c r="B108" s="37"/>
      <c r="C108" s="46"/>
      <c r="D108" s="10"/>
      <c r="E108" s="32"/>
      <c r="F108" s="27"/>
      <c r="G108" s="18">
        <f t="shared" si="3"/>
        <v>145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7"/>
      <c r="B109" s="7"/>
      <c r="C109" s="34" t="s">
        <v>13</v>
      </c>
      <c r="D109" s="14"/>
      <c r="E109" s="35">
        <f>SUM(E8:E108)</f>
        <v>400</v>
      </c>
      <c r="F109" s="35">
        <f>SUM(F8:F108)</f>
        <v>255</v>
      </c>
      <c r="G109" s="35">
        <f>+E109-F109+G8</f>
        <v>145</v>
      </c>
      <c r="H109" s="35"/>
      <c r="I109" s="35"/>
      <c r="J109" s="35">
        <f>SUM(J9:J108)</f>
        <v>300</v>
      </c>
      <c r="K109" s="36"/>
    </row>
    <row r="110" spans="1:19" ht="18" customHeight="1" x14ac:dyDescent="0.25"/>
    <row r="113" spans="5:11" x14ac:dyDescent="0.25">
      <c r="E113" s="201"/>
      <c r="F113" s="201"/>
      <c r="G113" s="201"/>
      <c r="H113" s="201"/>
      <c r="I113" s="201"/>
      <c r="J113" s="201"/>
    </row>
    <row r="114" spans="5:11" x14ac:dyDescent="0.25">
      <c r="F114" s="26"/>
    </row>
    <row r="115" spans="5:11" x14ac:dyDescent="0.25">
      <c r="E115" s="26"/>
      <c r="F115" s="26"/>
      <c r="G115" s="26"/>
      <c r="H115" s="26"/>
      <c r="I115" s="26"/>
      <c r="J115" s="26"/>
      <c r="K115" s="26"/>
    </row>
    <row r="116" spans="5:11" x14ac:dyDescent="0.25">
      <c r="K116" s="202"/>
    </row>
    <row r="117" spans="5:11" x14ac:dyDescent="0.25">
      <c r="E117" s="199"/>
    </row>
    <row r="118" spans="5:11" x14ac:dyDescent="0.25">
      <c r="E118" s="26"/>
      <c r="F118" s="26"/>
    </row>
    <row r="119" spans="5:11" x14ac:dyDescent="0.25">
      <c r="E119" s="203"/>
      <c r="F119" s="204"/>
      <c r="G119" s="203"/>
      <c r="H119" s="203"/>
      <c r="I119" s="203"/>
      <c r="J119" s="203"/>
    </row>
    <row r="120" spans="5:11" x14ac:dyDescent="0.25">
      <c r="F120" s="26"/>
    </row>
  </sheetData>
  <mergeCells count="1">
    <mergeCell ref="A4:K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5E30-8596-4E39-9BC5-F5E166AE761B}">
  <sheetPr codeName="Sheet113"/>
  <dimension ref="A1:S120"/>
  <sheetViews>
    <sheetView topLeftCell="A7" workbookViewId="0">
      <selection activeCell="M35" sqref="M35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5.7109375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3" x14ac:dyDescent="0.25">
      <c r="A6" t="s">
        <v>354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322</v>
      </c>
      <c r="J7" s="6" t="s">
        <v>321</v>
      </c>
      <c r="K7" s="4" t="s">
        <v>10</v>
      </c>
    </row>
    <row r="8" spans="1:13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45699</v>
      </c>
      <c r="C9" s="46" t="s">
        <v>169</v>
      </c>
      <c r="D9" s="214" t="s">
        <v>19</v>
      </c>
      <c r="E9" s="30">
        <v>221</v>
      </c>
      <c r="F9" s="27"/>
      <c r="G9" s="18">
        <f>+G8+E9-F9</f>
        <v>221</v>
      </c>
      <c r="H9" s="28" t="s">
        <v>129</v>
      </c>
      <c r="I9" s="28"/>
      <c r="J9" s="347">
        <v>213</v>
      </c>
      <c r="K9" s="7" t="s">
        <v>177</v>
      </c>
      <c r="L9" s="392">
        <f>+J9/E9</f>
        <v>0.96380090497737558</v>
      </c>
    </row>
    <row r="10" spans="1:13" ht="17.25" customHeight="1" x14ac:dyDescent="0.25">
      <c r="A10" s="14">
        <f t="shared" ref="A10:A74" si="0">+A9+1</f>
        <v>2</v>
      </c>
      <c r="B10" s="8">
        <v>45700</v>
      </c>
      <c r="C10" s="46" t="s">
        <v>169</v>
      </c>
      <c r="D10" s="214" t="s">
        <v>19</v>
      </c>
      <c r="E10" s="30"/>
      <c r="F10" s="27">
        <v>32</v>
      </c>
      <c r="G10" s="18">
        <f t="shared" ref="G10:G74" si="1">+G9+E10-F10</f>
        <v>189</v>
      </c>
      <c r="H10" s="28" t="s">
        <v>129</v>
      </c>
      <c r="I10" s="28">
        <f>+E10*L9</f>
        <v>0</v>
      </c>
      <c r="J10" s="28"/>
      <c r="K10" s="7" t="s">
        <v>90</v>
      </c>
    </row>
    <row r="11" spans="1:13" ht="18" customHeight="1" x14ac:dyDescent="0.25">
      <c r="A11" s="14">
        <f t="shared" si="0"/>
        <v>3</v>
      </c>
      <c r="B11" s="8">
        <v>45701</v>
      </c>
      <c r="C11" s="46" t="s">
        <v>169</v>
      </c>
      <c r="D11" s="214" t="s">
        <v>19</v>
      </c>
      <c r="E11" s="16"/>
      <c r="F11" s="27">
        <v>189</v>
      </c>
      <c r="G11" s="18">
        <f t="shared" si="1"/>
        <v>0</v>
      </c>
      <c r="H11" s="28" t="s">
        <v>129</v>
      </c>
      <c r="I11" s="28">
        <v>183</v>
      </c>
      <c r="J11" s="28"/>
      <c r="K11" s="7" t="s">
        <v>90</v>
      </c>
      <c r="L11" s="26"/>
    </row>
    <row r="12" spans="1:13" ht="18" customHeight="1" x14ac:dyDescent="0.25">
      <c r="A12" s="14">
        <f t="shared" si="0"/>
        <v>4</v>
      </c>
      <c r="B12" s="8">
        <v>45701</v>
      </c>
      <c r="C12" s="46" t="s">
        <v>169</v>
      </c>
      <c r="D12" s="214" t="s">
        <v>19</v>
      </c>
      <c r="E12" s="16">
        <v>150</v>
      </c>
      <c r="F12" s="17">
        <v>96</v>
      </c>
      <c r="G12" s="18">
        <f t="shared" si="1"/>
        <v>54</v>
      </c>
      <c r="H12" s="28" t="s">
        <v>129</v>
      </c>
      <c r="I12" s="28">
        <f>+F12*L12</f>
        <v>96</v>
      </c>
      <c r="J12" s="28">
        <v>150</v>
      </c>
      <c r="K12" s="7" t="s">
        <v>90</v>
      </c>
      <c r="L12" s="26">
        <f>+J12/E12</f>
        <v>1</v>
      </c>
    </row>
    <row r="13" spans="1:13" ht="18" customHeight="1" x14ac:dyDescent="0.25">
      <c r="A13" s="14">
        <f t="shared" si="0"/>
        <v>5</v>
      </c>
      <c r="B13" s="205">
        <v>45741</v>
      </c>
      <c r="C13" s="46" t="s">
        <v>169</v>
      </c>
      <c r="D13" s="214" t="s">
        <v>19</v>
      </c>
      <c r="E13" s="16">
        <v>425</v>
      </c>
      <c r="F13" s="17">
        <v>54</v>
      </c>
      <c r="G13" s="18">
        <f t="shared" si="1"/>
        <v>425</v>
      </c>
      <c r="H13" s="28" t="s">
        <v>129</v>
      </c>
      <c r="I13" s="28">
        <f>+F13*L9</f>
        <v>52.04524886877828</v>
      </c>
      <c r="J13" s="28">
        <v>340</v>
      </c>
      <c r="K13" s="7" t="s">
        <v>90</v>
      </c>
      <c r="L13" s="26"/>
    </row>
    <row r="14" spans="1:13" ht="18" customHeight="1" x14ac:dyDescent="0.25">
      <c r="A14" s="14">
        <f t="shared" si="0"/>
        <v>6</v>
      </c>
      <c r="B14" s="8">
        <v>45742</v>
      </c>
      <c r="C14" s="46" t="s">
        <v>169</v>
      </c>
      <c r="D14" s="214" t="s">
        <v>19</v>
      </c>
      <c r="E14" s="16"/>
      <c r="F14" s="27">
        <v>87</v>
      </c>
      <c r="G14" s="18">
        <f t="shared" si="1"/>
        <v>338</v>
      </c>
      <c r="H14" s="28" t="s">
        <v>91</v>
      </c>
      <c r="I14" s="28">
        <f>+F14*M14</f>
        <v>69.600000000000009</v>
      </c>
      <c r="J14" s="28"/>
      <c r="K14" s="7" t="s">
        <v>90</v>
      </c>
      <c r="M14" s="404">
        <f>+J13/E13</f>
        <v>0.8</v>
      </c>
    </row>
    <row r="15" spans="1:13" ht="18" customHeight="1" x14ac:dyDescent="0.25">
      <c r="A15" s="14">
        <f t="shared" si="0"/>
        <v>7</v>
      </c>
      <c r="B15" s="8">
        <v>45759</v>
      </c>
      <c r="C15" s="46" t="s">
        <v>169</v>
      </c>
      <c r="D15" s="214" t="s">
        <v>19</v>
      </c>
      <c r="E15" s="16"/>
      <c r="F15" s="27">
        <v>77</v>
      </c>
      <c r="G15" s="18">
        <f t="shared" si="1"/>
        <v>261</v>
      </c>
      <c r="H15" s="28" t="s">
        <v>91</v>
      </c>
      <c r="I15" s="28">
        <f>+F15*M14</f>
        <v>61.6</v>
      </c>
      <c r="J15" s="28"/>
      <c r="K15" s="7" t="s">
        <v>90</v>
      </c>
      <c r="L15" s="26"/>
    </row>
    <row r="16" spans="1:13" ht="18" customHeight="1" x14ac:dyDescent="0.25">
      <c r="A16" s="14">
        <f t="shared" si="0"/>
        <v>8</v>
      </c>
      <c r="B16" s="8">
        <v>45761</v>
      </c>
      <c r="C16" s="46" t="s">
        <v>169</v>
      </c>
      <c r="D16" s="214" t="s">
        <v>19</v>
      </c>
      <c r="E16" s="16"/>
      <c r="F16" s="27">
        <v>67</v>
      </c>
      <c r="G16" s="18">
        <f t="shared" si="1"/>
        <v>194</v>
      </c>
      <c r="H16" s="28" t="s">
        <v>91</v>
      </c>
      <c r="I16" s="28">
        <v>53.6</v>
      </c>
      <c r="J16" s="28"/>
      <c r="K16" s="7" t="s">
        <v>90</v>
      </c>
      <c r="L16" s="26"/>
    </row>
    <row r="17" spans="1:16" ht="18" customHeight="1" x14ac:dyDescent="0.25">
      <c r="A17" s="14">
        <f t="shared" si="0"/>
        <v>9</v>
      </c>
      <c r="B17" s="8">
        <v>45771</v>
      </c>
      <c r="C17" s="46" t="s">
        <v>169</v>
      </c>
      <c r="D17" s="214" t="s">
        <v>19</v>
      </c>
      <c r="E17" s="16"/>
      <c r="F17" s="27">
        <v>70</v>
      </c>
      <c r="G17" s="18">
        <f t="shared" si="1"/>
        <v>124</v>
      </c>
      <c r="H17" s="28" t="s">
        <v>91</v>
      </c>
      <c r="I17" s="28">
        <f t="shared" ref="I17:I19" si="2">+F17*M17</f>
        <v>0</v>
      </c>
      <c r="J17" s="28"/>
      <c r="K17" s="7" t="s">
        <v>90</v>
      </c>
    </row>
    <row r="18" spans="1:16" ht="18" customHeight="1" x14ac:dyDescent="0.25">
      <c r="A18" s="14">
        <f t="shared" si="0"/>
        <v>10</v>
      </c>
      <c r="B18" s="8">
        <v>45773</v>
      </c>
      <c r="C18" s="46" t="s">
        <v>169</v>
      </c>
      <c r="D18" s="214" t="s">
        <v>19</v>
      </c>
      <c r="E18" s="30"/>
      <c r="F18" s="27">
        <v>48</v>
      </c>
      <c r="G18" s="18">
        <f t="shared" si="1"/>
        <v>76</v>
      </c>
      <c r="H18" s="28" t="s">
        <v>91</v>
      </c>
      <c r="I18" s="28">
        <f t="shared" si="2"/>
        <v>0</v>
      </c>
      <c r="J18" s="28"/>
      <c r="K18" s="7" t="s">
        <v>90</v>
      </c>
    </row>
    <row r="19" spans="1:16" s="230" customFormat="1" ht="18" customHeight="1" x14ac:dyDescent="0.25">
      <c r="A19" s="14">
        <f t="shared" si="0"/>
        <v>11</v>
      </c>
      <c r="B19" s="224">
        <v>45775</v>
      </c>
      <c r="C19" s="46" t="s">
        <v>169</v>
      </c>
      <c r="D19" s="226" t="s">
        <v>19</v>
      </c>
      <c r="E19" s="227"/>
      <c r="F19" s="228">
        <v>64</v>
      </c>
      <c r="G19" s="18">
        <f t="shared" si="1"/>
        <v>12</v>
      </c>
      <c r="H19" s="28" t="s">
        <v>91</v>
      </c>
      <c r="I19" s="28">
        <f t="shared" si="2"/>
        <v>0</v>
      </c>
      <c r="J19" s="28"/>
      <c r="K19" s="7" t="s">
        <v>90</v>
      </c>
    </row>
    <row r="20" spans="1:16" s="230" customFormat="1" ht="18" customHeight="1" x14ac:dyDescent="0.25">
      <c r="A20" s="14">
        <f t="shared" si="0"/>
        <v>12</v>
      </c>
      <c r="B20" s="224"/>
      <c r="C20" s="46" t="s">
        <v>169</v>
      </c>
      <c r="D20" s="226" t="s">
        <v>19</v>
      </c>
      <c r="E20" s="231"/>
      <c r="F20" s="228"/>
      <c r="G20" s="18">
        <f t="shared" si="1"/>
        <v>12</v>
      </c>
      <c r="H20" s="28" t="s">
        <v>91</v>
      </c>
      <c r="I20" s="28"/>
      <c r="J20" s="28"/>
      <c r="K20" s="7" t="s">
        <v>90</v>
      </c>
    </row>
    <row r="21" spans="1:16" ht="18" customHeight="1" x14ac:dyDescent="0.25">
      <c r="A21" s="14">
        <f t="shared" si="0"/>
        <v>13</v>
      </c>
      <c r="B21" s="8"/>
      <c r="C21" s="46" t="s">
        <v>169</v>
      </c>
      <c r="D21" s="214" t="s">
        <v>19</v>
      </c>
      <c r="E21" s="32"/>
      <c r="F21" s="17"/>
      <c r="G21" s="18">
        <f t="shared" si="1"/>
        <v>12</v>
      </c>
      <c r="H21" s="28" t="s">
        <v>91</v>
      </c>
      <c r="I21" s="28"/>
      <c r="J21" s="28"/>
      <c r="K21" s="7" t="s">
        <v>90</v>
      </c>
      <c r="P21" s="26"/>
    </row>
    <row r="22" spans="1:16" ht="18" customHeight="1" x14ac:dyDescent="0.25">
      <c r="A22" s="14">
        <f t="shared" si="0"/>
        <v>14</v>
      </c>
      <c r="B22" s="8"/>
      <c r="C22" s="46" t="s">
        <v>169</v>
      </c>
      <c r="D22" s="214" t="s">
        <v>19</v>
      </c>
      <c r="E22" s="32"/>
      <c r="F22" s="27"/>
      <c r="G22" s="18">
        <f t="shared" si="1"/>
        <v>12</v>
      </c>
      <c r="H22" s="28" t="s">
        <v>91</v>
      </c>
      <c r="I22" s="28"/>
      <c r="J22" s="28"/>
      <c r="K22" s="7" t="s">
        <v>90</v>
      </c>
      <c r="N22" s="162">
        <f>995.9/1081</f>
        <v>0.92127659574468079</v>
      </c>
    </row>
    <row r="23" spans="1:16" ht="18" customHeight="1" x14ac:dyDescent="0.25">
      <c r="A23" s="14">
        <f t="shared" si="0"/>
        <v>15</v>
      </c>
      <c r="B23" s="232"/>
      <c r="C23" s="46" t="s">
        <v>169</v>
      </c>
      <c r="D23" s="234" t="s">
        <v>19</v>
      </c>
      <c r="E23" s="235"/>
      <c r="F23" s="172"/>
      <c r="G23" s="18">
        <f t="shared" si="1"/>
        <v>12</v>
      </c>
      <c r="H23" s="28" t="s">
        <v>129</v>
      </c>
      <c r="I23" s="28"/>
      <c r="J23" s="28"/>
      <c r="K23" s="7" t="s">
        <v>90</v>
      </c>
    </row>
    <row r="24" spans="1:16" ht="18" customHeight="1" x14ac:dyDescent="0.25">
      <c r="A24" s="14">
        <f t="shared" si="0"/>
        <v>16</v>
      </c>
      <c r="B24" s="8"/>
      <c r="C24" s="46" t="s">
        <v>169</v>
      </c>
      <c r="D24" s="214" t="s">
        <v>19</v>
      </c>
      <c r="E24" s="32"/>
      <c r="F24" s="17"/>
      <c r="G24" s="18">
        <f t="shared" si="1"/>
        <v>12</v>
      </c>
      <c r="H24" s="28" t="s">
        <v>129</v>
      </c>
      <c r="I24" s="28"/>
      <c r="J24" s="28"/>
      <c r="K24" s="7" t="s">
        <v>142</v>
      </c>
    </row>
    <row r="25" spans="1:16" ht="18" customHeight="1" x14ac:dyDescent="0.25">
      <c r="A25" s="14">
        <f t="shared" si="0"/>
        <v>17</v>
      </c>
      <c r="B25" s="8"/>
      <c r="C25" s="46" t="s">
        <v>169</v>
      </c>
      <c r="D25" s="214" t="s">
        <v>19</v>
      </c>
      <c r="E25" s="32"/>
      <c r="F25" s="17"/>
      <c r="G25" s="18">
        <f t="shared" si="1"/>
        <v>12</v>
      </c>
      <c r="H25" s="28" t="s">
        <v>91</v>
      </c>
      <c r="I25" s="28"/>
      <c r="J25" s="28"/>
      <c r="K25" s="7" t="s">
        <v>90</v>
      </c>
    </row>
    <row r="26" spans="1:16" ht="18" customHeight="1" x14ac:dyDescent="0.25">
      <c r="A26" s="14">
        <f t="shared" si="0"/>
        <v>18</v>
      </c>
      <c r="B26" s="8"/>
      <c r="C26" s="46" t="s">
        <v>169</v>
      </c>
      <c r="D26" s="214" t="s">
        <v>19</v>
      </c>
      <c r="E26" s="32"/>
      <c r="F26" s="17"/>
      <c r="G26" s="18">
        <f t="shared" si="1"/>
        <v>12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 t="shared" si="0"/>
        <v>19</v>
      </c>
      <c r="B27" s="8"/>
      <c r="C27" s="46" t="s">
        <v>169</v>
      </c>
      <c r="D27" s="214" t="s">
        <v>19</v>
      </c>
      <c r="E27" s="32"/>
      <c r="F27" s="17"/>
      <c r="G27" s="18">
        <f t="shared" si="1"/>
        <v>12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0"/>
        <v>20</v>
      </c>
      <c r="B28" s="8"/>
      <c r="C28" s="46" t="s">
        <v>169</v>
      </c>
      <c r="D28" s="214" t="s">
        <v>19</v>
      </c>
      <c r="E28" s="32"/>
      <c r="F28" s="17"/>
      <c r="G28" s="18">
        <f t="shared" si="1"/>
        <v>12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0"/>
        <v>21</v>
      </c>
      <c r="B29" s="8"/>
      <c r="C29" s="46"/>
      <c r="D29" s="214" t="s">
        <v>19</v>
      </c>
      <c r="E29" s="129"/>
      <c r="F29" s="17"/>
      <c r="G29" s="18">
        <f t="shared" si="1"/>
        <v>12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0"/>
        <v>22</v>
      </c>
      <c r="B30" s="8"/>
      <c r="C30" s="46"/>
      <c r="D30" s="214" t="s">
        <v>19</v>
      </c>
      <c r="E30" s="32"/>
      <c r="F30" s="172"/>
      <c r="G30" s="18">
        <f t="shared" si="1"/>
        <v>12</v>
      </c>
      <c r="H30" s="28" t="s">
        <v>91</v>
      </c>
      <c r="I30" s="28"/>
      <c r="J30" s="28"/>
      <c r="K30" s="7" t="s">
        <v>90</v>
      </c>
      <c r="N30">
        <f>45*88</f>
        <v>3960</v>
      </c>
      <c r="P30">
        <f>112+70</f>
        <v>182</v>
      </c>
    </row>
    <row r="31" spans="1:16" ht="18" customHeight="1" x14ac:dyDescent="0.25">
      <c r="A31" s="14">
        <f t="shared" si="0"/>
        <v>23</v>
      </c>
      <c r="B31" s="8"/>
      <c r="C31" s="46"/>
      <c r="D31" s="214" t="s">
        <v>19</v>
      </c>
      <c r="E31" s="32"/>
      <c r="F31" s="17"/>
      <c r="G31" s="18">
        <f t="shared" si="1"/>
        <v>12</v>
      </c>
      <c r="H31" s="28" t="s">
        <v>91</v>
      </c>
      <c r="I31" s="28"/>
      <c r="J31" s="28"/>
      <c r="K31" s="7" t="s">
        <v>90</v>
      </c>
      <c r="N31">
        <f>+N30/285</f>
        <v>13.894736842105264</v>
      </c>
    </row>
    <row r="32" spans="1:16" ht="18" customHeight="1" x14ac:dyDescent="0.25">
      <c r="A32" s="14">
        <f t="shared" si="0"/>
        <v>24</v>
      </c>
      <c r="B32" s="8"/>
      <c r="C32" s="46"/>
      <c r="D32" s="214" t="s">
        <v>19</v>
      </c>
      <c r="E32" s="32"/>
      <c r="F32" s="17"/>
      <c r="G32" s="18">
        <f t="shared" si="1"/>
        <v>12</v>
      </c>
      <c r="H32" s="28" t="s">
        <v>91</v>
      </c>
      <c r="I32" s="28"/>
      <c r="J32" s="28"/>
      <c r="K32" s="7" t="s">
        <v>90</v>
      </c>
    </row>
    <row r="33" spans="1:18" ht="17.25" customHeight="1" x14ac:dyDescent="0.25">
      <c r="A33" s="14">
        <f t="shared" si="0"/>
        <v>25</v>
      </c>
      <c r="B33" s="8"/>
      <c r="C33" s="46"/>
      <c r="D33" s="214" t="s">
        <v>19</v>
      </c>
      <c r="E33" s="13"/>
      <c r="F33" s="17"/>
      <c r="G33" s="18">
        <f t="shared" si="1"/>
        <v>12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0"/>
        <v>26</v>
      </c>
      <c r="B34" s="44"/>
      <c r="C34" s="46"/>
      <c r="D34" s="214" t="s">
        <v>19</v>
      </c>
      <c r="E34" s="13"/>
      <c r="F34" s="17"/>
      <c r="G34" s="18">
        <f t="shared" si="1"/>
        <v>12</v>
      </c>
      <c r="H34" s="28" t="s">
        <v>91</v>
      </c>
      <c r="I34" s="28"/>
      <c r="J34" s="28"/>
      <c r="K34" s="7" t="s">
        <v>90</v>
      </c>
      <c r="M34">
        <f>111+12</f>
        <v>123</v>
      </c>
      <c r="R34">
        <f>1081-200</f>
        <v>881</v>
      </c>
    </row>
    <row r="35" spans="1:18" ht="18" customHeight="1" x14ac:dyDescent="0.25">
      <c r="A35" s="14">
        <f t="shared" si="0"/>
        <v>27</v>
      </c>
      <c r="B35" s="8"/>
      <c r="C35" s="46"/>
      <c r="D35" s="214" t="s">
        <v>19</v>
      </c>
      <c r="E35" s="32"/>
      <c r="F35" s="40"/>
      <c r="G35" s="18">
        <f t="shared" si="1"/>
        <v>12</v>
      </c>
      <c r="H35" s="28" t="s">
        <v>91</v>
      </c>
      <c r="I35" s="28"/>
      <c r="J35" s="28"/>
      <c r="K35" s="7" t="s">
        <v>90</v>
      </c>
      <c r="R35">
        <f>+N22*R34</f>
        <v>811.64468085106375</v>
      </c>
    </row>
    <row r="36" spans="1:18" ht="18" customHeight="1" x14ac:dyDescent="0.25">
      <c r="A36" s="14">
        <f t="shared" si="0"/>
        <v>28</v>
      </c>
      <c r="B36" s="45"/>
      <c r="C36" s="46"/>
      <c r="D36" s="214" t="s">
        <v>19</v>
      </c>
      <c r="E36" s="32"/>
      <c r="F36" s="40"/>
      <c r="G36" s="18">
        <f t="shared" si="1"/>
        <v>12</v>
      </c>
      <c r="H36" s="178"/>
      <c r="I36" s="178"/>
      <c r="J36" s="178"/>
      <c r="K36" s="7"/>
    </row>
    <row r="37" spans="1:18" ht="18" customHeight="1" x14ac:dyDescent="0.25">
      <c r="A37" s="14">
        <f t="shared" si="0"/>
        <v>29</v>
      </c>
      <c r="B37" s="8"/>
      <c r="C37" s="46"/>
      <c r="D37" s="214" t="s">
        <v>19</v>
      </c>
      <c r="E37" s="32"/>
      <c r="F37" s="40"/>
      <c r="G37" s="18">
        <f t="shared" si="1"/>
        <v>12</v>
      </c>
      <c r="H37" s="178"/>
      <c r="I37" s="178"/>
      <c r="J37" s="178"/>
      <c r="K37" s="7"/>
    </row>
    <row r="38" spans="1:18" ht="18" customHeight="1" x14ac:dyDescent="0.25">
      <c r="A38" s="14">
        <f t="shared" si="0"/>
        <v>30</v>
      </c>
      <c r="B38" s="8"/>
      <c r="C38" s="46"/>
      <c r="D38" s="214" t="s">
        <v>19</v>
      </c>
      <c r="E38" s="32"/>
      <c r="F38" s="17"/>
      <c r="G38" s="18">
        <f t="shared" si="1"/>
        <v>12</v>
      </c>
      <c r="H38" s="178"/>
      <c r="I38" s="178"/>
      <c r="J38" s="178"/>
      <c r="K38" s="7"/>
      <c r="M38">
        <f>911-338</f>
        <v>573</v>
      </c>
      <c r="O38">
        <f>300*87</f>
        <v>26100</v>
      </c>
      <c r="R38">
        <f>1081-891</f>
        <v>190</v>
      </c>
    </row>
    <row r="39" spans="1:18" ht="18" customHeight="1" x14ac:dyDescent="0.25">
      <c r="A39" s="14">
        <f t="shared" si="0"/>
        <v>31</v>
      </c>
      <c r="B39" s="8"/>
      <c r="C39" s="46"/>
      <c r="D39" s="214" t="s">
        <v>19</v>
      </c>
      <c r="E39" s="32"/>
      <c r="F39" s="17"/>
      <c r="G39" s="18">
        <f t="shared" si="1"/>
        <v>12</v>
      </c>
      <c r="H39" s="178"/>
      <c r="I39" s="385">
        <f>17*0.88</f>
        <v>14.96</v>
      </c>
      <c r="J39" s="178"/>
      <c r="K39" s="7"/>
      <c r="M39">
        <f>+M38-314</f>
        <v>259</v>
      </c>
      <c r="O39">
        <f>+O38/2850</f>
        <v>9.1578947368421044</v>
      </c>
    </row>
    <row r="40" spans="1:18" ht="18" customHeight="1" x14ac:dyDescent="0.25">
      <c r="A40" s="14">
        <f t="shared" si="0"/>
        <v>32</v>
      </c>
      <c r="B40" s="8"/>
      <c r="C40" s="46"/>
      <c r="D40" s="214" t="s">
        <v>19</v>
      </c>
      <c r="E40" s="32"/>
      <c r="F40" s="17"/>
      <c r="G40" s="18">
        <f t="shared" si="1"/>
        <v>12</v>
      </c>
      <c r="H40" s="178"/>
      <c r="I40" s="178">
        <f>20*0.88</f>
        <v>17.600000000000001</v>
      </c>
      <c r="J40" s="178"/>
      <c r="K40" s="7"/>
    </row>
    <row r="41" spans="1:18" ht="18" customHeight="1" x14ac:dyDescent="0.25">
      <c r="A41" s="14">
        <f t="shared" si="0"/>
        <v>33</v>
      </c>
      <c r="B41" s="8"/>
      <c r="C41" s="46"/>
      <c r="D41" s="214" t="s">
        <v>19</v>
      </c>
      <c r="E41" s="32"/>
      <c r="F41" s="17"/>
      <c r="G41" s="18">
        <f t="shared" si="1"/>
        <v>12</v>
      </c>
      <c r="H41" s="178"/>
      <c r="I41" s="178">
        <f>56*0.88</f>
        <v>49.28</v>
      </c>
      <c r="J41" s="178"/>
      <c r="K41" s="7"/>
    </row>
    <row r="42" spans="1:18" ht="18" customHeight="1" x14ac:dyDescent="0.25">
      <c r="A42" s="14">
        <f t="shared" si="0"/>
        <v>34</v>
      </c>
      <c r="B42" s="8"/>
      <c r="C42" s="46"/>
      <c r="D42" s="214" t="s">
        <v>19</v>
      </c>
      <c r="E42" s="32"/>
      <c r="F42" s="172"/>
      <c r="G42" s="18">
        <f t="shared" si="1"/>
        <v>12</v>
      </c>
      <c r="H42" s="178"/>
      <c r="I42" s="178">
        <f>54*0.88</f>
        <v>47.52</v>
      </c>
      <c r="J42" s="178"/>
      <c r="K42" s="7"/>
      <c r="R42" s="162"/>
    </row>
    <row r="43" spans="1:18" ht="18" customHeight="1" x14ac:dyDescent="0.25">
      <c r="A43" s="14">
        <f t="shared" si="0"/>
        <v>35</v>
      </c>
      <c r="B43" s="8"/>
      <c r="C43" s="46"/>
      <c r="D43" s="214" t="s">
        <v>19</v>
      </c>
      <c r="E43" s="32"/>
      <c r="F43" s="17"/>
      <c r="G43" s="18">
        <f t="shared" si="1"/>
        <v>12</v>
      </c>
      <c r="H43" s="178"/>
      <c r="I43" s="178">
        <f>7*0.88</f>
        <v>6.16</v>
      </c>
      <c r="J43" s="178"/>
      <c r="K43" s="7"/>
    </row>
    <row r="44" spans="1:18" ht="18" customHeight="1" x14ac:dyDescent="0.25">
      <c r="A44" s="14">
        <f t="shared" si="0"/>
        <v>36</v>
      </c>
      <c r="B44" s="8"/>
      <c r="C44" s="46"/>
      <c r="D44" s="214" t="s">
        <v>19</v>
      </c>
      <c r="E44" s="32"/>
      <c r="F44" s="17"/>
      <c r="G44" s="18">
        <f t="shared" si="1"/>
        <v>12</v>
      </c>
      <c r="H44" s="178"/>
      <c r="I44" s="178">
        <f>23*0.88</f>
        <v>20.239999999999998</v>
      </c>
      <c r="J44" s="178"/>
      <c r="K44" s="7"/>
    </row>
    <row r="45" spans="1:18" ht="18" customHeight="1" x14ac:dyDescent="0.25">
      <c r="A45" s="14">
        <f t="shared" si="0"/>
        <v>37</v>
      </c>
      <c r="B45" s="8"/>
      <c r="C45" s="46"/>
      <c r="D45" s="214" t="s">
        <v>19</v>
      </c>
      <c r="E45" s="32"/>
      <c r="F45" s="17"/>
      <c r="G45" s="18">
        <f t="shared" si="1"/>
        <v>12</v>
      </c>
      <c r="H45" s="178"/>
      <c r="I45" s="178">
        <f>+F45*0.88</f>
        <v>0</v>
      </c>
      <c r="J45" s="178"/>
      <c r="K45" s="7"/>
      <c r="N45">
        <f>61*20</f>
        <v>1220</v>
      </c>
    </row>
    <row r="46" spans="1:18" ht="18" customHeight="1" x14ac:dyDescent="0.25">
      <c r="A46" s="14">
        <f t="shared" si="0"/>
        <v>38</v>
      </c>
      <c r="B46" s="8"/>
      <c r="C46" s="46"/>
      <c r="D46" s="214" t="s">
        <v>19</v>
      </c>
      <c r="E46" s="32"/>
      <c r="F46" s="17"/>
      <c r="G46" s="18">
        <f t="shared" si="1"/>
        <v>12</v>
      </c>
      <c r="H46" s="178"/>
      <c r="I46" s="178"/>
      <c r="J46" s="178"/>
      <c r="K46" s="29"/>
      <c r="N46">
        <f>+N45*87</f>
        <v>106140</v>
      </c>
    </row>
    <row r="47" spans="1:18" ht="18" customHeight="1" x14ac:dyDescent="0.25">
      <c r="A47" s="14">
        <f t="shared" si="0"/>
        <v>39</v>
      </c>
      <c r="B47" s="8"/>
      <c r="C47" s="46"/>
      <c r="D47" s="214" t="s">
        <v>19</v>
      </c>
      <c r="E47" s="32"/>
      <c r="F47" s="17"/>
      <c r="G47" s="18">
        <f t="shared" si="1"/>
        <v>12</v>
      </c>
      <c r="H47" s="178"/>
      <c r="I47" s="178"/>
      <c r="J47" s="178"/>
      <c r="K47" s="29"/>
      <c r="N47">
        <f>+N46/2850</f>
        <v>37.242105263157896</v>
      </c>
    </row>
    <row r="48" spans="1:18" ht="18" customHeight="1" x14ac:dyDescent="0.25">
      <c r="A48" s="14">
        <f t="shared" si="0"/>
        <v>40</v>
      </c>
      <c r="B48" s="8"/>
      <c r="C48" s="46"/>
      <c r="D48" s="214" t="s">
        <v>19</v>
      </c>
      <c r="E48" s="32"/>
      <c r="F48" s="17"/>
      <c r="G48" s="18">
        <f t="shared" si="1"/>
        <v>12</v>
      </c>
      <c r="H48" s="178"/>
      <c r="I48" s="178"/>
      <c r="J48" s="178"/>
      <c r="K48" s="29"/>
    </row>
    <row r="49" spans="1:18" ht="18" customHeight="1" x14ac:dyDescent="0.25">
      <c r="A49" s="14">
        <f t="shared" si="0"/>
        <v>41</v>
      </c>
      <c r="B49" s="8"/>
      <c r="C49" s="46"/>
      <c r="D49" s="214" t="s">
        <v>19</v>
      </c>
      <c r="E49" s="32"/>
      <c r="F49" s="17"/>
      <c r="G49" s="18">
        <f t="shared" si="1"/>
        <v>12</v>
      </c>
      <c r="H49" s="178"/>
      <c r="I49" s="178"/>
      <c r="J49" s="178"/>
      <c r="K49" s="29"/>
    </row>
    <row r="50" spans="1:18" ht="18" customHeight="1" x14ac:dyDescent="0.25">
      <c r="A50" s="14">
        <f t="shared" si="0"/>
        <v>42</v>
      </c>
      <c r="B50" s="8"/>
      <c r="C50" s="46"/>
      <c r="D50" s="214" t="s">
        <v>19</v>
      </c>
      <c r="E50" s="32"/>
      <c r="F50" s="17"/>
      <c r="G50" s="18">
        <f t="shared" si="1"/>
        <v>12</v>
      </c>
      <c r="H50" s="178"/>
      <c r="I50" s="178"/>
      <c r="J50" s="178"/>
      <c r="K50" s="7"/>
    </row>
    <row r="51" spans="1:18" s="162" customFormat="1" ht="18" customHeight="1" x14ac:dyDescent="0.25">
      <c r="A51" s="14">
        <f t="shared" si="0"/>
        <v>43</v>
      </c>
      <c r="B51" s="174"/>
      <c r="C51" s="236"/>
      <c r="D51" s="237" t="s">
        <v>19</v>
      </c>
      <c r="E51" s="175"/>
      <c r="F51" s="172"/>
      <c r="G51" s="18">
        <f t="shared" si="1"/>
        <v>12</v>
      </c>
      <c r="H51" s="178"/>
      <c r="I51" s="178"/>
      <c r="J51" s="178"/>
      <c r="K51" s="7"/>
      <c r="R51"/>
    </row>
    <row r="52" spans="1:18" ht="18" customHeight="1" x14ac:dyDescent="0.25">
      <c r="A52" s="14">
        <f t="shared" si="0"/>
        <v>44</v>
      </c>
      <c r="B52" s="8"/>
      <c r="C52" s="46"/>
      <c r="D52" s="214" t="s">
        <v>19</v>
      </c>
      <c r="E52" s="32"/>
      <c r="F52" s="17"/>
      <c r="G52" s="18">
        <f t="shared" si="1"/>
        <v>12</v>
      </c>
      <c r="H52" s="239"/>
      <c r="I52" s="239"/>
      <c r="J52" s="239"/>
      <c r="K52" s="7"/>
    </row>
    <row r="53" spans="1:18" ht="18" customHeight="1" x14ac:dyDescent="0.25">
      <c r="A53" s="14">
        <f t="shared" si="0"/>
        <v>45</v>
      </c>
      <c r="B53" s="8"/>
      <c r="C53" s="46"/>
      <c r="D53" s="214" t="s">
        <v>19</v>
      </c>
      <c r="E53" s="32"/>
      <c r="F53" s="17"/>
      <c r="G53" s="18">
        <f t="shared" si="1"/>
        <v>12</v>
      </c>
      <c r="H53" s="239"/>
      <c r="I53" s="239"/>
      <c r="J53" s="239"/>
      <c r="K53" s="7"/>
      <c r="N53">
        <f>180*89</f>
        <v>16020</v>
      </c>
    </row>
    <row r="54" spans="1:18" ht="18" customHeight="1" x14ac:dyDescent="0.25">
      <c r="A54" s="14">
        <f t="shared" si="0"/>
        <v>46</v>
      </c>
      <c r="B54" s="8"/>
      <c r="C54" s="46"/>
      <c r="D54" s="214" t="s">
        <v>19</v>
      </c>
      <c r="E54" s="32"/>
      <c r="F54" s="17"/>
      <c r="G54" s="18">
        <f t="shared" si="1"/>
        <v>12</v>
      </c>
      <c r="H54" s="239"/>
      <c r="I54" s="239"/>
      <c r="J54" s="239"/>
      <c r="K54" s="7"/>
      <c r="N54">
        <f>+N53/2870</f>
        <v>5.5818815331010452</v>
      </c>
    </row>
    <row r="55" spans="1:18" ht="18" customHeight="1" x14ac:dyDescent="0.25">
      <c r="A55" s="14">
        <f t="shared" si="0"/>
        <v>47</v>
      </c>
      <c r="B55" s="8"/>
      <c r="C55" s="46"/>
      <c r="D55" s="214" t="s">
        <v>19</v>
      </c>
      <c r="E55" s="32"/>
      <c r="F55" s="17"/>
      <c r="G55" s="18">
        <f t="shared" si="1"/>
        <v>12</v>
      </c>
      <c r="H55" s="28"/>
      <c r="I55" s="28"/>
      <c r="J55" s="28"/>
      <c r="K55" s="7"/>
    </row>
    <row r="56" spans="1:18" ht="18" customHeight="1" x14ac:dyDescent="0.25">
      <c r="A56" s="14">
        <f t="shared" si="0"/>
        <v>48</v>
      </c>
      <c r="B56" s="8"/>
      <c r="C56" s="46"/>
      <c r="D56" s="214" t="s">
        <v>19</v>
      </c>
      <c r="E56" s="32"/>
      <c r="F56" s="17"/>
      <c r="G56" s="18">
        <f t="shared" si="1"/>
        <v>12</v>
      </c>
      <c r="H56" s="240"/>
      <c r="I56" s="240"/>
      <c r="J56" s="240"/>
      <c r="K56" s="7"/>
    </row>
    <row r="57" spans="1:18" ht="18" customHeight="1" x14ac:dyDescent="0.25">
      <c r="A57" s="14">
        <f t="shared" si="0"/>
        <v>49</v>
      </c>
      <c r="B57" s="8"/>
      <c r="C57" s="46"/>
      <c r="D57" s="214" t="s">
        <v>19</v>
      </c>
      <c r="E57" s="32"/>
      <c r="F57" s="17"/>
      <c r="G57" s="18">
        <f t="shared" si="1"/>
        <v>12</v>
      </c>
      <c r="H57" s="240"/>
      <c r="I57" s="240"/>
      <c r="J57" s="240"/>
      <c r="K57" s="7"/>
      <c r="N57">
        <f>13*12*144</f>
        <v>22464</v>
      </c>
    </row>
    <row r="58" spans="1:18" ht="18" customHeight="1" x14ac:dyDescent="0.25">
      <c r="A58" s="14">
        <f t="shared" si="0"/>
        <v>50</v>
      </c>
      <c r="B58" s="8"/>
      <c r="C58" s="46"/>
      <c r="D58" s="214" t="s">
        <v>19</v>
      </c>
      <c r="E58" s="32"/>
      <c r="F58" s="17"/>
      <c r="G58" s="18">
        <f t="shared" si="1"/>
        <v>12</v>
      </c>
      <c r="H58" s="240"/>
      <c r="I58" s="240"/>
      <c r="J58" s="240"/>
      <c r="K58" s="7" t="s">
        <v>14</v>
      </c>
      <c r="N58">
        <f>+N57/2870</f>
        <v>7.8271777003484324</v>
      </c>
    </row>
    <row r="59" spans="1:18" ht="18" customHeight="1" x14ac:dyDescent="0.25">
      <c r="A59" s="14">
        <f t="shared" si="0"/>
        <v>51</v>
      </c>
      <c r="B59" s="8"/>
      <c r="C59" s="46"/>
      <c r="D59" s="214" t="s">
        <v>19</v>
      </c>
      <c r="E59" s="32"/>
      <c r="F59" s="17"/>
      <c r="G59" s="18">
        <f t="shared" si="1"/>
        <v>12</v>
      </c>
      <c r="H59" s="240"/>
      <c r="I59" s="240"/>
      <c r="J59" s="240"/>
      <c r="K59" s="7" t="s">
        <v>14</v>
      </c>
    </row>
    <row r="60" spans="1:18" ht="18" customHeight="1" x14ac:dyDescent="0.25">
      <c r="A60" s="14">
        <f t="shared" si="0"/>
        <v>52</v>
      </c>
      <c r="B60" s="8"/>
      <c r="C60" s="46"/>
      <c r="D60" s="214" t="s">
        <v>19</v>
      </c>
      <c r="E60" s="32"/>
      <c r="F60" s="17"/>
      <c r="G60" s="18">
        <f t="shared" si="1"/>
        <v>12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0"/>
        <v>53</v>
      </c>
      <c r="B61" s="8"/>
      <c r="C61" s="46"/>
      <c r="D61" s="214" t="s">
        <v>19</v>
      </c>
      <c r="E61" s="32"/>
      <c r="F61" s="17"/>
      <c r="G61" s="18">
        <f t="shared" si="1"/>
        <v>12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0"/>
        <v>54</v>
      </c>
      <c r="B62" s="8"/>
      <c r="C62" s="46"/>
      <c r="D62" s="214" t="s">
        <v>19</v>
      </c>
      <c r="E62" s="32"/>
      <c r="F62" s="17"/>
      <c r="G62" s="18">
        <f t="shared" si="1"/>
        <v>12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0"/>
        <v>55</v>
      </c>
      <c r="B63" s="8"/>
      <c r="C63" s="46"/>
      <c r="D63" s="214" t="s">
        <v>19</v>
      </c>
      <c r="E63" s="32"/>
      <c r="F63" s="17"/>
      <c r="G63" s="18">
        <f t="shared" si="1"/>
        <v>12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0"/>
        <v>56</v>
      </c>
      <c r="B64" s="8"/>
      <c r="C64" s="46"/>
      <c r="D64" s="214" t="s">
        <v>19</v>
      </c>
      <c r="E64" s="32"/>
      <c r="F64" s="17"/>
      <c r="G64" s="18">
        <f t="shared" si="1"/>
        <v>12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0"/>
        <v>57</v>
      </c>
      <c r="B65" s="8"/>
      <c r="C65" s="46"/>
      <c r="D65" s="214" t="s">
        <v>19</v>
      </c>
      <c r="E65" s="32"/>
      <c r="F65" s="17"/>
      <c r="G65" s="18">
        <f t="shared" si="1"/>
        <v>12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0"/>
        <v>58</v>
      </c>
      <c r="B66" s="8"/>
      <c r="C66" s="46"/>
      <c r="D66" s="214" t="s">
        <v>19</v>
      </c>
      <c r="E66" s="32"/>
      <c r="F66" s="17"/>
      <c r="G66" s="18">
        <f t="shared" si="1"/>
        <v>12</v>
      </c>
      <c r="H66" s="240"/>
      <c r="I66" s="240"/>
      <c r="J66" s="240"/>
      <c r="K66" s="7" t="s">
        <v>14</v>
      </c>
      <c r="L66" s="26"/>
    </row>
    <row r="67" spans="1:12" ht="18" customHeight="1" x14ac:dyDescent="0.25">
      <c r="A67" s="14">
        <f t="shared" si="0"/>
        <v>59</v>
      </c>
      <c r="B67" s="8"/>
      <c r="C67" s="46"/>
      <c r="D67" s="214" t="s">
        <v>19</v>
      </c>
      <c r="E67" s="32"/>
      <c r="F67" s="17"/>
      <c r="G67" s="18">
        <f t="shared" si="1"/>
        <v>12</v>
      </c>
      <c r="H67" s="240"/>
      <c r="I67" s="240"/>
      <c r="J67" s="240"/>
      <c r="K67" s="7" t="s">
        <v>14</v>
      </c>
    </row>
    <row r="68" spans="1:12" ht="18" customHeight="1" x14ac:dyDescent="0.25">
      <c r="A68" s="14">
        <f t="shared" si="0"/>
        <v>60</v>
      </c>
      <c r="B68" s="8"/>
      <c r="C68" s="46"/>
      <c r="D68" s="214" t="s">
        <v>19</v>
      </c>
      <c r="E68" s="32"/>
      <c r="F68" s="17"/>
      <c r="G68" s="18">
        <f t="shared" si="1"/>
        <v>12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0"/>
        <v>61</v>
      </c>
      <c r="B69" s="8"/>
      <c r="C69" s="46"/>
      <c r="D69" s="214" t="s">
        <v>19</v>
      </c>
      <c r="E69" s="32"/>
      <c r="F69" s="17"/>
      <c r="G69" s="18">
        <f t="shared" si="1"/>
        <v>12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0"/>
        <v>62</v>
      </c>
      <c r="B70" s="8"/>
      <c r="C70" s="46"/>
      <c r="D70" s="214" t="s">
        <v>19</v>
      </c>
      <c r="E70" s="32"/>
      <c r="F70" s="17"/>
      <c r="G70" s="18">
        <f t="shared" si="1"/>
        <v>12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0"/>
        <v>63</v>
      </c>
      <c r="B71" s="8"/>
      <c r="C71" s="46"/>
      <c r="D71" s="214" t="s">
        <v>19</v>
      </c>
      <c r="E71" s="32"/>
      <c r="F71" s="17"/>
      <c r="G71" s="18">
        <f t="shared" si="1"/>
        <v>12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0"/>
        <v>64</v>
      </c>
      <c r="B72" s="8"/>
      <c r="C72" s="46"/>
      <c r="D72" s="214" t="s">
        <v>19</v>
      </c>
      <c r="E72" s="32"/>
      <c r="F72" s="17"/>
      <c r="G72" s="18">
        <f t="shared" si="1"/>
        <v>12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0"/>
        <v>65</v>
      </c>
      <c r="B73" s="8"/>
      <c r="C73" s="46"/>
      <c r="D73" s="214" t="s">
        <v>19</v>
      </c>
      <c r="E73" s="32"/>
      <c r="F73" s="17"/>
      <c r="G73" s="18">
        <f t="shared" si="1"/>
        <v>12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si="0"/>
        <v>66</v>
      </c>
      <c r="B74" s="8"/>
      <c r="C74" s="46"/>
      <c r="D74" s="214" t="s">
        <v>19</v>
      </c>
      <c r="E74" s="32"/>
      <c r="F74" s="17"/>
      <c r="G74" s="18">
        <f t="shared" si="1"/>
        <v>12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ref="A75:A108" si="3">+A74+1</f>
        <v>67</v>
      </c>
      <c r="B75" s="8"/>
      <c r="C75" s="46"/>
      <c r="D75" s="214" t="s">
        <v>19</v>
      </c>
      <c r="E75" s="32"/>
      <c r="F75" s="17"/>
      <c r="G75" s="18">
        <f t="shared" ref="G75:G108" si="4">+G74+E75-F75</f>
        <v>12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3"/>
        <v>68</v>
      </c>
      <c r="B76" s="8"/>
      <c r="C76" s="46"/>
      <c r="D76" s="214" t="s">
        <v>19</v>
      </c>
      <c r="E76" s="32"/>
      <c r="F76" s="17"/>
      <c r="G76" s="18">
        <f t="shared" si="4"/>
        <v>12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3"/>
        <v>69</v>
      </c>
      <c r="B77" s="8"/>
      <c r="C77" s="46"/>
      <c r="D77" s="214" t="s">
        <v>19</v>
      </c>
      <c r="E77" s="32"/>
      <c r="F77" s="17"/>
      <c r="G77" s="18">
        <f t="shared" si="4"/>
        <v>12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3"/>
        <v>70</v>
      </c>
      <c r="B78" s="8"/>
      <c r="C78" s="46"/>
      <c r="D78" s="214" t="s">
        <v>19</v>
      </c>
      <c r="E78" s="32"/>
      <c r="F78" s="17"/>
      <c r="G78" s="18">
        <f t="shared" si="4"/>
        <v>12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3"/>
        <v>71</v>
      </c>
      <c r="B79" s="8"/>
      <c r="C79" s="46"/>
      <c r="D79" s="214" t="s">
        <v>19</v>
      </c>
      <c r="E79" s="32"/>
      <c r="F79" s="17"/>
      <c r="G79" s="18">
        <f t="shared" si="4"/>
        <v>12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3"/>
        <v>72</v>
      </c>
      <c r="B80" s="8"/>
      <c r="C80" s="46"/>
      <c r="D80" s="214" t="s">
        <v>19</v>
      </c>
      <c r="E80" s="32"/>
      <c r="F80" s="17"/>
      <c r="G80" s="18">
        <f t="shared" si="4"/>
        <v>12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3"/>
        <v>73</v>
      </c>
      <c r="B81" s="8"/>
      <c r="C81" s="46"/>
      <c r="D81" s="214" t="s">
        <v>19</v>
      </c>
      <c r="E81" s="32"/>
      <c r="F81" s="17"/>
      <c r="G81" s="18">
        <f t="shared" si="4"/>
        <v>12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3"/>
        <v>74</v>
      </c>
      <c r="B82" s="8"/>
      <c r="C82" s="46"/>
      <c r="D82" s="214" t="s">
        <v>19</v>
      </c>
      <c r="E82" s="32"/>
      <c r="F82" s="17"/>
      <c r="G82" s="18">
        <f t="shared" si="4"/>
        <v>12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3"/>
        <v>75</v>
      </c>
      <c r="B83" s="8"/>
      <c r="C83" s="46"/>
      <c r="D83" s="214" t="s">
        <v>19</v>
      </c>
      <c r="E83" s="32"/>
      <c r="F83" s="17"/>
      <c r="G83" s="18">
        <f t="shared" si="4"/>
        <v>12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3"/>
        <v>76</v>
      </c>
      <c r="B84" s="8"/>
      <c r="C84" s="46"/>
      <c r="D84" s="214" t="s">
        <v>19</v>
      </c>
      <c r="E84" s="32"/>
      <c r="F84" s="27"/>
      <c r="G84" s="18">
        <f t="shared" si="4"/>
        <v>12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3"/>
        <v>77</v>
      </c>
      <c r="B85" s="8"/>
      <c r="C85" s="46"/>
      <c r="D85" s="214" t="s">
        <v>19</v>
      </c>
      <c r="E85" s="32"/>
      <c r="F85" s="17"/>
      <c r="G85" s="18">
        <f t="shared" si="4"/>
        <v>12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3"/>
        <v>78</v>
      </c>
      <c r="B86" s="8"/>
      <c r="C86" s="46"/>
      <c r="D86" s="214" t="s">
        <v>19</v>
      </c>
      <c r="E86" s="32"/>
      <c r="F86" s="17"/>
      <c r="G86" s="18">
        <f t="shared" si="4"/>
        <v>12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3"/>
        <v>79</v>
      </c>
      <c r="B87" s="8"/>
      <c r="C87" s="46"/>
      <c r="D87" s="214" t="s">
        <v>19</v>
      </c>
      <c r="E87" s="32"/>
      <c r="F87" s="17"/>
      <c r="G87" s="18">
        <f t="shared" si="4"/>
        <v>12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3"/>
        <v>80</v>
      </c>
      <c r="B88" s="8"/>
      <c r="C88" s="46"/>
      <c r="D88" s="214" t="s">
        <v>19</v>
      </c>
      <c r="E88" s="32"/>
      <c r="F88" s="17"/>
      <c r="G88" s="18">
        <f t="shared" si="4"/>
        <v>12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3"/>
        <v>81</v>
      </c>
      <c r="B89" s="8"/>
      <c r="C89" s="46"/>
      <c r="D89" s="214" t="s">
        <v>19</v>
      </c>
      <c r="E89" s="32"/>
      <c r="F89" s="17"/>
      <c r="G89" s="18">
        <f t="shared" si="4"/>
        <v>12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3"/>
        <v>82</v>
      </c>
      <c r="B90" s="8"/>
      <c r="C90" s="46"/>
      <c r="D90" s="214" t="s">
        <v>19</v>
      </c>
      <c r="E90" s="32"/>
      <c r="F90" s="17"/>
      <c r="G90" s="18">
        <f t="shared" si="4"/>
        <v>12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3"/>
        <v>83</v>
      </c>
      <c r="B91" s="8"/>
      <c r="C91" s="46"/>
      <c r="D91" s="214" t="s">
        <v>19</v>
      </c>
      <c r="E91" s="32"/>
      <c r="F91" s="17"/>
      <c r="G91" s="18">
        <f t="shared" si="4"/>
        <v>12</v>
      </c>
      <c r="H91" s="240"/>
      <c r="I91" s="240"/>
      <c r="J91" s="240"/>
      <c r="K91" s="7" t="s">
        <v>14</v>
      </c>
      <c r="N91" s="199"/>
      <c r="S91" s="199"/>
    </row>
    <row r="92" spans="1:19" ht="18" customHeight="1" x14ac:dyDescent="0.25">
      <c r="A92" s="14">
        <f t="shared" si="3"/>
        <v>84</v>
      </c>
      <c r="B92" s="8"/>
      <c r="C92" s="46"/>
      <c r="D92" s="214" t="s">
        <v>19</v>
      </c>
      <c r="E92" s="32"/>
      <c r="F92" s="27"/>
      <c r="G92" s="18">
        <f t="shared" si="4"/>
        <v>12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3"/>
        <v>85</v>
      </c>
      <c r="B93" s="8"/>
      <c r="C93" s="46"/>
      <c r="D93" s="214" t="s">
        <v>19</v>
      </c>
      <c r="E93" s="32"/>
      <c r="F93" s="27"/>
      <c r="G93" s="18">
        <f t="shared" si="4"/>
        <v>12</v>
      </c>
      <c r="H93" s="240"/>
      <c r="I93" s="240"/>
      <c r="J93" s="240"/>
      <c r="K93" s="7" t="s">
        <v>14</v>
      </c>
      <c r="N93" s="199"/>
      <c r="S93" s="199"/>
    </row>
    <row r="94" spans="1:19" s="179" customFormat="1" ht="18" customHeight="1" x14ac:dyDescent="0.25">
      <c r="A94" s="14">
        <f t="shared" si="3"/>
        <v>86</v>
      </c>
      <c r="B94" s="242"/>
      <c r="C94" s="243"/>
      <c r="D94" s="244" t="s">
        <v>19</v>
      </c>
      <c r="E94" s="245"/>
      <c r="F94" s="52"/>
      <c r="G94" s="18">
        <f t="shared" si="4"/>
        <v>12</v>
      </c>
      <c r="H94" s="240"/>
      <c r="I94" s="240"/>
      <c r="J94" s="240"/>
      <c r="K94" s="247" t="s">
        <v>14</v>
      </c>
      <c r="L94" s="179" t="s">
        <v>43</v>
      </c>
      <c r="N94" s="248"/>
      <c r="S94" s="248"/>
    </row>
    <row r="95" spans="1:19" s="179" customFormat="1" ht="18" customHeight="1" x14ac:dyDescent="0.25">
      <c r="A95" s="14">
        <f t="shared" si="3"/>
        <v>87</v>
      </c>
      <c r="B95" s="242"/>
      <c r="C95" s="243"/>
      <c r="D95" s="244" t="s">
        <v>19</v>
      </c>
      <c r="E95" s="245"/>
      <c r="F95" s="52"/>
      <c r="G95" s="18">
        <f t="shared" si="4"/>
        <v>12</v>
      </c>
      <c r="H95" s="240"/>
      <c r="I95" s="240"/>
      <c r="J95" s="240"/>
      <c r="K95" s="247" t="s">
        <v>14</v>
      </c>
      <c r="N95" s="248"/>
      <c r="S95" s="248"/>
    </row>
    <row r="96" spans="1:19" s="179" customFormat="1" ht="18" customHeight="1" x14ac:dyDescent="0.25">
      <c r="A96" s="14">
        <f t="shared" si="3"/>
        <v>88</v>
      </c>
      <c r="B96" s="242"/>
      <c r="C96" s="243"/>
      <c r="D96" s="244" t="s">
        <v>19</v>
      </c>
      <c r="E96" s="245"/>
      <c r="F96" s="52"/>
      <c r="G96" s="18">
        <f t="shared" si="4"/>
        <v>12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3"/>
        <v>89</v>
      </c>
      <c r="B97" s="242"/>
      <c r="C97" s="243"/>
      <c r="D97" s="244" t="s">
        <v>19</v>
      </c>
      <c r="E97" s="245"/>
      <c r="F97" s="52"/>
      <c r="G97" s="18">
        <f t="shared" si="4"/>
        <v>12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3"/>
        <v>90</v>
      </c>
      <c r="B98" s="242"/>
      <c r="C98" s="243"/>
      <c r="D98" s="244" t="s">
        <v>19</v>
      </c>
      <c r="E98" s="245"/>
      <c r="F98" s="52"/>
      <c r="G98" s="18">
        <f t="shared" si="4"/>
        <v>12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3"/>
        <v>91</v>
      </c>
      <c r="B99" s="242"/>
      <c r="C99" s="243"/>
      <c r="D99" s="244" t="s">
        <v>19</v>
      </c>
      <c r="E99" s="245"/>
      <c r="F99" s="52"/>
      <c r="G99" s="18">
        <f t="shared" si="4"/>
        <v>12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3"/>
        <v>92</v>
      </c>
      <c r="B100" s="242"/>
      <c r="C100" s="243"/>
      <c r="D100" s="244" t="s">
        <v>19</v>
      </c>
      <c r="E100" s="245"/>
      <c r="F100" s="52"/>
      <c r="G100" s="18">
        <f t="shared" si="4"/>
        <v>12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3"/>
        <v>93</v>
      </c>
      <c r="B101" s="242"/>
      <c r="C101" s="243"/>
      <c r="D101" s="244" t="s">
        <v>19</v>
      </c>
      <c r="E101" s="245"/>
      <c r="F101" s="52"/>
      <c r="G101" s="18">
        <f t="shared" si="4"/>
        <v>12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3"/>
        <v>94</v>
      </c>
      <c r="B102" s="242"/>
      <c r="C102" s="243"/>
      <c r="D102" s="244"/>
      <c r="E102" s="245"/>
      <c r="F102" s="52"/>
      <c r="G102" s="18">
        <f t="shared" si="4"/>
        <v>12</v>
      </c>
      <c r="H102" s="240"/>
      <c r="I102" s="240"/>
      <c r="J102" s="240"/>
      <c r="K102" s="247"/>
      <c r="N102" s="248"/>
      <c r="S102" s="248"/>
    </row>
    <row r="103" spans="1:19" s="179" customFormat="1" ht="18" customHeight="1" x14ac:dyDescent="0.25">
      <c r="A103" s="14">
        <f t="shared" si="3"/>
        <v>95</v>
      </c>
      <c r="B103" s="242"/>
      <c r="C103" s="243"/>
      <c r="D103" s="244"/>
      <c r="E103" s="245"/>
      <c r="F103" s="52"/>
      <c r="G103" s="18">
        <f t="shared" si="4"/>
        <v>12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3"/>
        <v>96</v>
      </c>
      <c r="B104" s="242"/>
      <c r="C104" s="243"/>
      <c r="D104" s="244"/>
      <c r="E104" s="245"/>
      <c r="F104" s="52"/>
      <c r="G104" s="18">
        <f t="shared" si="4"/>
        <v>12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3"/>
        <v>97</v>
      </c>
      <c r="B105" s="242"/>
      <c r="C105" s="243"/>
      <c r="D105" s="244"/>
      <c r="E105" s="245"/>
      <c r="F105" s="52"/>
      <c r="G105" s="18">
        <f t="shared" si="4"/>
        <v>12</v>
      </c>
      <c r="H105" s="240"/>
      <c r="I105" s="240"/>
      <c r="J105" s="240"/>
      <c r="K105" s="247"/>
      <c r="N105" s="248"/>
      <c r="S105" s="248"/>
    </row>
    <row r="106" spans="1:19" ht="18" customHeight="1" x14ac:dyDescent="0.25">
      <c r="A106" s="14">
        <f t="shared" si="3"/>
        <v>98</v>
      </c>
      <c r="B106" s="8"/>
      <c r="C106" s="46"/>
      <c r="D106" s="214"/>
      <c r="E106" s="32"/>
      <c r="F106" s="27"/>
      <c r="G106" s="18">
        <f t="shared" si="4"/>
        <v>12</v>
      </c>
      <c r="H106" s="28"/>
      <c r="I106" s="28"/>
      <c r="J106" s="28"/>
      <c r="K106" s="7"/>
      <c r="N106" s="199"/>
      <c r="S106" s="199"/>
    </row>
    <row r="107" spans="1:19" ht="18" customHeight="1" x14ac:dyDescent="0.25">
      <c r="A107" s="14">
        <f t="shared" si="3"/>
        <v>99</v>
      </c>
      <c r="B107" s="8"/>
      <c r="C107" s="46"/>
      <c r="D107" s="214"/>
      <c r="E107" s="32"/>
      <c r="F107" s="27"/>
      <c r="G107" s="18">
        <f t="shared" si="4"/>
        <v>12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3"/>
        <v>100</v>
      </c>
      <c r="B108" s="37"/>
      <c r="C108" s="46"/>
      <c r="D108" s="10"/>
      <c r="E108" s="32"/>
      <c r="F108" s="27"/>
      <c r="G108" s="18">
        <f t="shared" si="4"/>
        <v>12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7"/>
      <c r="B109" s="7"/>
      <c r="C109" s="34" t="s">
        <v>13</v>
      </c>
      <c r="D109" s="14"/>
      <c r="E109" s="35">
        <f>SUM(E8:E108)</f>
        <v>796</v>
      </c>
      <c r="F109" s="35">
        <f>SUM(F8:F108)</f>
        <v>784</v>
      </c>
      <c r="G109" s="35">
        <f>+E109-F109+G8</f>
        <v>12</v>
      </c>
      <c r="H109" s="35"/>
      <c r="I109" s="35"/>
      <c r="J109" s="35">
        <f>SUM(J9:J108)</f>
        <v>703</v>
      </c>
      <c r="K109" s="36"/>
    </row>
    <row r="110" spans="1:19" ht="18" customHeight="1" x14ac:dyDescent="0.25"/>
    <row r="113" spans="5:11" x14ac:dyDescent="0.25">
      <c r="E113" s="201"/>
      <c r="F113" s="201"/>
      <c r="G113" s="201"/>
      <c r="H113" s="201"/>
      <c r="I113" s="201"/>
      <c r="J113" s="201"/>
    </row>
    <row r="114" spans="5:11" x14ac:dyDescent="0.25">
      <c r="F114" s="26"/>
    </row>
    <row r="115" spans="5:11" x14ac:dyDescent="0.25">
      <c r="E115" s="26"/>
      <c r="F115" s="26"/>
      <c r="G115" s="26"/>
      <c r="H115" s="26"/>
      <c r="I115" s="26"/>
      <c r="J115" s="26"/>
      <c r="K115" s="26"/>
    </row>
    <row r="116" spans="5:11" x14ac:dyDescent="0.25">
      <c r="K116" s="202"/>
    </row>
    <row r="117" spans="5:11" x14ac:dyDescent="0.25">
      <c r="E117" s="199"/>
    </row>
    <row r="118" spans="5:11" x14ac:dyDescent="0.25">
      <c r="E118" s="26"/>
      <c r="F118" s="26"/>
    </row>
    <row r="119" spans="5:11" x14ac:dyDescent="0.25">
      <c r="E119" s="203"/>
      <c r="F119" s="204"/>
      <c r="G119" s="203"/>
      <c r="H119" s="203"/>
      <c r="I119" s="203"/>
      <c r="J119" s="203"/>
    </row>
    <row r="120" spans="5:11" x14ac:dyDescent="0.25">
      <c r="F120" s="26"/>
    </row>
  </sheetData>
  <mergeCells count="1">
    <mergeCell ref="A4:K5"/>
  </mergeCells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43D2-E528-48A2-9C0C-8B226F393B50}">
  <sheetPr codeName="Sheet114"/>
  <dimension ref="A1:S121"/>
  <sheetViews>
    <sheetView topLeftCell="A25" workbookViewId="0">
      <selection activeCell="F42" sqref="F42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5.7109375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3" x14ac:dyDescent="0.25">
      <c r="A6" t="s">
        <v>354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322</v>
      </c>
      <c r="J7" s="6" t="s">
        <v>321</v>
      </c>
      <c r="K7" s="4" t="s">
        <v>10</v>
      </c>
    </row>
    <row r="8" spans="1:13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45782</v>
      </c>
      <c r="C9" s="46" t="s">
        <v>169</v>
      </c>
      <c r="D9" s="214" t="s">
        <v>19</v>
      </c>
      <c r="E9" s="30">
        <v>940</v>
      </c>
      <c r="F9" s="27"/>
      <c r="G9" s="18">
        <f>+G8+E9-F9</f>
        <v>940</v>
      </c>
      <c r="H9" s="28" t="s">
        <v>129</v>
      </c>
      <c r="I9" s="28"/>
      <c r="J9" s="347">
        <v>883.6</v>
      </c>
      <c r="K9" s="7" t="s">
        <v>177</v>
      </c>
      <c r="L9" s="392">
        <f>+J9/E9</f>
        <v>0.94000000000000006</v>
      </c>
    </row>
    <row r="10" spans="1:13" ht="17.25" customHeight="1" x14ac:dyDescent="0.25">
      <c r="A10" s="14"/>
      <c r="B10" s="8">
        <v>45787</v>
      </c>
      <c r="C10" s="46" t="s">
        <v>169</v>
      </c>
      <c r="D10" s="214"/>
      <c r="E10" s="30"/>
      <c r="F10" s="27">
        <v>11</v>
      </c>
      <c r="G10" s="18">
        <f t="shared" ref="G10:G20" si="0">+G9+E10-F10</f>
        <v>929</v>
      </c>
      <c r="H10" s="28"/>
      <c r="I10" s="28"/>
      <c r="J10" s="347">
        <f>+F10*L9</f>
        <v>10.34</v>
      </c>
      <c r="K10" s="7"/>
      <c r="L10" s="392"/>
    </row>
    <row r="11" spans="1:13" ht="17.25" customHeight="1" x14ac:dyDescent="0.25">
      <c r="A11" s="14">
        <f>+A9+1</f>
        <v>2</v>
      </c>
      <c r="B11" s="8">
        <v>45790</v>
      </c>
      <c r="C11" s="46" t="s">
        <v>169</v>
      </c>
      <c r="D11" s="214" t="s">
        <v>19</v>
      </c>
      <c r="E11" s="30"/>
      <c r="F11" s="27">
        <v>41</v>
      </c>
      <c r="G11" s="18">
        <f t="shared" si="0"/>
        <v>888</v>
      </c>
      <c r="H11" s="28" t="s">
        <v>129</v>
      </c>
      <c r="I11" s="28"/>
      <c r="J11" s="28">
        <f>+F11*L9</f>
        <v>38.54</v>
      </c>
      <c r="K11" s="7" t="s">
        <v>90</v>
      </c>
    </row>
    <row r="12" spans="1:13" ht="18" customHeight="1" x14ac:dyDescent="0.25">
      <c r="A12" s="14">
        <f t="shared" ref="A12:A74" si="1">+A11+1</f>
        <v>3</v>
      </c>
      <c r="B12" s="8">
        <v>45791</v>
      </c>
      <c r="C12" s="46" t="s">
        <v>169</v>
      </c>
      <c r="D12" s="214" t="s">
        <v>19</v>
      </c>
      <c r="E12" s="16"/>
      <c r="F12" s="27">
        <v>24</v>
      </c>
      <c r="G12" s="18">
        <f t="shared" si="0"/>
        <v>864</v>
      </c>
      <c r="H12" s="28" t="s">
        <v>129</v>
      </c>
      <c r="I12" s="28"/>
      <c r="J12" s="28">
        <f>+F12+L9</f>
        <v>24.94</v>
      </c>
      <c r="K12" s="7" t="s">
        <v>90</v>
      </c>
      <c r="L12" s="26"/>
    </row>
    <row r="13" spans="1:13" ht="18" customHeight="1" x14ac:dyDescent="0.25">
      <c r="A13" s="14">
        <f t="shared" si="1"/>
        <v>4</v>
      </c>
      <c r="B13" s="8">
        <v>45792</v>
      </c>
      <c r="C13" s="46" t="s">
        <v>169</v>
      </c>
      <c r="D13" s="214" t="s">
        <v>19</v>
      </c>
      <c r="E13" s="16"/>
      <c r="F13" s="17">
        <v>2</v>
      </c>
      <c r="G13" s="18">
        <f t="shared" si="0"/>
        <v>862</v>
      </c>
      <c r="H13" s="28" t="s">
        <v>129</v>
      </c>
      <c r="I13" s="28"/>
      <c r="J13" s="28"/>
      <c r="K13" s="7" t="s">
        <v>90</v>
      </c>
      <c r="L13" s="26"/>
    </row>
    <row r="14" spans="1:13" ht="18" customHeight="1" x14ac:dyDescent="0.25">
      <c r="A14" s="14">
        <f t="shared" si="1"/>
        <v>5</v>
      </c>
      <c r="B14" s="205">
        <v>45796</v>
      </c>
      <c r="C14" s="46" t="s">
        <v>169</v>
      </c>
      <c r="D14" s="214" t="s">
        <v>19</v>
      </c>
      <c r="E14" s="16"/>
      <c r="F14" s="17">
        <v>4</v>
      </c>
      <c r="G14" s="18">
        <f t="shared" si="0"/>
        <v>858</v>
      </c>
      <c r="H14" s="28" t="s">
        <v>129</v>
      </c>
      <c r="I14" s="28"/>
      <c r="J14" s="28"/>
      <c r="K14" s="7" t="s">
        <v>90</v>
      </c>
      <c r="L14" s="26"/>
    </row>
    <row r="15" spans="1:13" ht="18" customHeight="1" x14ac:dyDescent="0.25">
      <c r="A15" s="14">
        <f t="shared" si="1"/>
        <v>6</v>
      </c>
      <c r="B15" s="8">
        <v>45812</v>
      </c>
      <c r="C15" s="46" t="s">
        <v>169</v>
      </c>
      <c r="D15" s="214" t="s">
        <v>19</v>
      </c>
      <c r="E15" s="16"/>
      <c r="F15" s="27">
        <v>110</v>
      </c>
      <c r="G15" s="18">
        <f t="shared" si="0"/>
        <v>748</v>
      </c>
      <c r="H15" s="28" t="s">
        <v>91</v>
      </c>
      <c r="I15" s="28">
        <f>+F15*L9</f>
        <v>103.4</v>
      </c>
      <c r="J15" s="28"/>
      <c r="K15" s="7" t="s">
        <v>90</v>
      </c>
      <c r="M15" s="404"/>
    </row>
    <row r="16" spans="1:13" ht="18" customHeight="1" x14ac:dyDescent="0.25">
      <c r="A16" s="14">
        <f t="shared" si="1"/>
        <v>7</v>
      </c>
      <c r="B16" s="8">
        <v>45824</v>
      </c>
      <c r="C16" s="46" t="s">
        <v>169</v>
      </c>
      <c r="D16" s="214" t="s">
        <v>19</v>
      </c>
      <c r="E16" s="16"/>
      <c r="F16" s="27">
        <v>164</v>
      </c>
      <c r="G16" s="18">
        <f t="shared" si="0"/>
        <v>584</v>
      </c>
      <c r="H16" s="28" t="s">
        <v>91</v>
      </c>
      <c r="I16" s="28">
        <f>+F16*L9</f>
        <v>154.16</v>
      </c>
      <c r="J16" s="28"/>
      <c r="K16" s="7" t="s">
        <v>90</v>
      </c>
      <c r="L16" s="26"/>
    </row>
    <row r="17" spans="1:18" ht="18" customHeight="1" x14ac:dyDescent="0.25">
      <c r="A17" s="14">
        <f t="shared" si="1"/>
        <v>8</v>
      </c>
      <c r="B17" s="8">
        <v>45825</v>
      </c>
      <c r="C17" s="46" t="s">
        <v>169</v>
      </c>
      <c r="D17" s="214" t="s">
        <v>19</v>
      </c>
      <c r="E17" s="16"/>
      <c r="F17" s="27">
        <v>22</v>
      </c>
      <c r="G17" s="18">
        <f t="shared" si="0"/>
        <v>562</v>
      </c>
      <c r="H17" s="28" t="s">
        <v>91</v>
      </c>
      <c r="I17" s="28">
        <f>+F17*L9</f>
        <v>20.68</v>
      </c>
      <c r="J17" s="28"/>
      <c r="K17" s="7" t="s">
        <v>90</v>
      </c>
      <c r="L17" s="26"/>
    </row>
    <row r="18" spans="1:18" ht="18" customHeight="1" x14ac:dyDescent="0.25">
      <c r="A18" s="14">
        <f t="shared" si="1"/>
        <v>9</v>
      </c>
      <c r="B18" s="8">
        <v>45833</v>
      </c>
      <c r="C18" s="46" t="s">
        <v>169</v>
      </c>
      <c r="D18" s="214" t="s">
        <v>19</v>
      </c>
      <c r="E18" s="16"/>
      <c r="F18" s="27">
        <v>5</v>
      </c>
      <c r="G18" s="18">
        <f t="shared" si="0"/>
        <v>557</v>
      </c>
      <c r="H18" s="28" t="s">
        <v>91</v>
      </c>
      <c r="I18" s="28">
        <f>+F18*L9</f>
        <v>4.7</v>
      </c>
      <c r="J18" s="28"/>
      <c r="K18" s="7" t="s">
        <v>90</v>
      </c>
      <c r="L18" t="s">
        <v>409</v>
      </c>
    </row>
    <row r="19" spans="1:18" ht="18" customHeight="1" x14ac:dyDescent="0.25">
      <c r="A19" s="14">
        <f t="shared" si="1"/>
        <v>10</v>
      </c>
      <c r="B19" s="8">
        <v>45834</v>
      </c>
      <c r="C19" s="46" t="s">
        <v>169</v>
      </c>
      <c r="D19" s="214" t="s">
        <v>19</v>
      </c>
      <c r="E19" s="30"/>
      <c r="F19" s="27">
        <v>85</v>
      </c>
      <c r="G19" s="18">
        <f t="shared" si="0"/>
        <v>472</v>
      </c>
      <c r="H19" s="28" t="s">
        <v>91</v>
      </c>
      <c r="I19" s="28">
        <f>+F19*L9</f>
        <v>79.900000000000006</v>
      </c>
      <c r="J19" s="28"/>
      <c r="K19" s="7" t="s">
        <v>90</v>
      </c>
    </row>
    <row r="20" spans="1:18" s="230" customFormat="1" ht="18" customHeight="1" x14ac:dyDescent="0.25">
      <c r="A20" s="14">
        <f t="shared" si="1"/>
        <v>11</v>
      </c>
      <c r="B20" s="224">
        <v>45835</v>
      </c>
      <c r="C20" s="46" t="s">
        <v>169</v>
      </c>
      <c r="D20" s="226" t="s">
        <v>19</v>
      </c>
      <c r="E20" s="227"/>
      <c r="F20" s="228">
        <v>75</v>
      </c>
      <c r="G20" s="18">
        <f t="shared" si="0"/>
        <v>397</v>
      </c>
      <c r="H20" s="28" t="s">
        <v>91</v>
      </c>
      <c r="I20" s="28">
        <f t="shared" ref="I20" si="2">+F20*M20</f>
        <v>0</v>
      </c>
      <c r="J20" s="28"/>
      <c r="K20" s="7" t="s">
        <v>90</v>
      </c>
    </row>
    <row r="21" spans="1:18" s="230" customFormat="1" ht="18" customHeight="1" x14ac:dyDescent="0.25">
      <c r="A21" s="14">
        <f t="shared" si="1"/>
        <v>12</v>
      </c>
      <c r="B21" s="224">
        <v>45839</v>
      </c>
      <c r="C21" s="46" t="s">
        <v>169</v>
      </c>
      <c r="D21" s="226" t="s">
        <v>19</v>
      </c>
      <c r="E21" s="231"/>
      <c r="F21" s="228">
        <v>70</v>
      </c>
      <c r="G21" s="18">
        <f t="shared" ref="G21:G74" si="3">+G20+E21-F21</f>
        <v>327</v>
      </c>
      <c r="H21" s="28" t="s">
        <v>91</v>
      </c>
      <c r="I21" s="28"/>
      <c r="J21" s="28"/>
      <c r="K21" s="7" t="s">
        <v>90</v>
      </c>
      <c r="P21" s="230">
        <f>68*88</f>
        <v>5984</v>
      </c>
      <c r="R21" s="230">
        <f>32*88</f>
        <v>2816</v>
      </c>
    </row>
    <row r="22" spans="1:18" ht="18" customHeight="1" x14ac:dyDescent="0.25">
      <c r="A22" s="14">
        <f t="shared" si="1"/>
        <v>13</v>
      </c>
      <c r="B22" s="8">
        <v>45843</v>
      </c>
      <c r="C22" s="46" t="s">
        <v>169</v>
      </c>
      <c r="D22" s="214" t="s">
        <v>19</v>
      </c>
      <c r="E22" s="32"/>
      <c r="F22" s="17">
        <v>56</v>
      </c>
      <c r="G22" s="18">
        <f t="shared" si="3"/>
        <v>271</v>
      </c>
      <c r="H22" s="28" t="s">
        <v>91</v>
      </c>
      <c r="I22" s="28"/>
      <c r="J22" s="28"/>
      <c r="K22" s="7" t="s">
        <v>90</v>
      </c>
      <c r="P22" s="26">
        <f>+P21/2816</f>
        <v>2.125</v>
      </c>
    </row>
    <row r="23" spans="1:18" ht="18" customHeight="1" x14ac:dyDescent="0.25">
      <c r="A23" s="14">
        <f t="shared" si="1"/>
        <v>14</v>
      </c>
      <c r="B23" s="8">
        <v>45845</v>
      </c>
      <c r="C23" s="46" t="s">
        <v>169</v>
      </c>
      <c r="D23" s="214" t="s">
        <v>19</v>
      </c>
      <c r="E23" s="32"/>
      <c r="F23" s="27">
        <v>77</v>
      </c>
      <c r="G23" s="18">
        <f t="shared" si="3"/>
        <v>194</v>
      </c>
      <c r="H23" s="28" t="s">
        <v>91</v>
      </c>
      <c r="I23" s="28"/>
      <c r="J23" s="28"/>
      <c r="K23" s="7" t="s">
        <v>90</v>
      </c>
      <c r="N23" s="162"/>
    </row>
    <row r="24" spans="1:18" ht="18" customHeight="1" x14ac:dyDescent="0.25">
      <c r="A24" s="14">
        <f t="shared" si="1"/>
        <v>15</v>
      </c>
      <c r="B24" s="425">
        <v>45859</v>
      </c>
      <c r="C24" s="236" t="s">
        <v>424</v>
      </c>
      <c r="D24" s="419" t="s">
        <v>19</v>
      </c>
      <c r="E24" s="426">
        <v>500</v>
      </c>
      <c r="F24" s="172">
        <v>83</v>
      </c>
      <c r="G24" s="238">
        <f t="shared" si="3"/>
        <v>611</v>
      </c>
      <c r="H24" s="28" t="s">
        <v>129</v>
      </c>
      <c r="I24" s="28"/>
      <c r="J24" s="28">
        <v>400</v>
      </c>
      <c r="K24" s="7" t="s">
        <v>90</v>
      </c>
    </row>
    <row r="25" spans="1:18" ht="18" customHeight="1" x14ac:dyDescent="0.25">
      <c r="A25" s="14">
        <f t="shared" si="1"/>
        <v>16</v>
      </c>
      <c r="B25" s="8">
        <v>45868</v>
      </c>
      <c r="C25" s="46" t="s">
        <v>169</v>
      </c>
      <c r="D25" s="214" t="s">
        <v>19</v>
      </c>
      <c r="E25" s="32"/>
      <c r="F25" s="17">
        <v>130</v>
      </c>
      <c r="G25" s="18">
        <f t="shared" si="3"/>
        <v>481</v>
      </c>
      <c r="H25" s="28" t="s">
        <v>129</v>
      </c>
      <c r="I25" s="28"/>
      <c r="J25" s="28"/>
      <c r="K25" s="7" t="s">
        <v>142</v>
      </c>
      <c r="Q25">
        <v>1500</v>
      </c>
    </row>
    <row r="26" spans="1:18" ht="18" customHeight="1" x14ac:dyDescent="0.25">
      <c r="A26" s="241">
        <f t="shared" si="1"/>
        <v>17</v>
      </c>
      <c r="B26" s="242">
        <v>45873</v>
      </c>
      <c r="C26" s="243" t="s">
        <v>169</v>
      </c>
      <c r="D26" s="244" t="s">
        <v>19</v>
      </c>
      <c r="E26" s="245">
        <v>550</v>
      </c>
      <c r="F26" s="53"/>
      <c r="G26" s="18">
        <f t="shared" si="3"/>
        <v>1031</v>
      </c>
      <c r="H26" s="28" t="s">
        <v>91</v>
      </c>
      <c r="I26" s="28"/>
      <c r="J26" s="28">
        <v>495</v>
      </c>
      <c r="K26" s="7" t="s">
        <v>90</v>
      </c>
    </row>
    <row r="27" spans="1:18" ht="18" customHeight="1" x14ac:dyDescent="0.25">
      <c r="A27" s="14">
        <f t="shared" si="1"/>
        <v>18</v>
      </c>
      <c r="B27" s="174">
        <v>45873</v>
      </c>
      <c r="C27" s="236" t="s">
        <v>424</v>
      </c>
      <c r="D27" s="237" t="s">
        <v>19</v>
      </c>
      <c r="E27" s="175">
        <v>160</v>
      </c>
      <c r="F27" s="172"/>
      <c r="G27" s="238">
        <f t="shared" si="3"/>
        <v>1191</v>
      </c>
      <c r="H27" s="28" t="s">
        <v>91</v>
      </c>
      <c r="I27" s="28"/>
      <c r="J27" s="28">
        <v>100</v>
      </c>
      <c r="K27" s="7" t="s">
        <v>90</v>
      </c>
      <c r="O27">
        <f>10*32+24</f>
        <v>344</v>
      </c>
    </row>
    <row r="28" spans="1:18" ht="18" customHeight="1" x14ac:dyDescent="0.25">
      <c r="A28" s="14">
        <f t="shared" si="1"/>
        <v>19</v>
      </c>
      <c r="B28" s="8">
        <v>45878</v>
      </c>
      <c r="C28" s="46" t="s">
        <v>169</v>
      </c>
      <c r="D28" s="214" t="s">
        <v>19</v>
      </c>
      <c r="E28" s="32"/>
      <c r="F28" s="17"/>
      <c r="G28" s="18">
        <f t="shared" si="3"/>
        <v>1191</v>
      </c>
      <c r="H28" s="28" t="s">
        <v>91</v>
      </c>
      <c r="I28" s="28"/>
      <c r="J28" s="28"/>
      <c r="K28" s="7" t="s">
        <v>90</v>
      </c>
      <c r="O28">
        <f>+O27*10</f>
        <v>3440</v>
      </c>
      <c r="Q28">
        <f>3440+1500</f>
        <v>4940</v>
      </c>
      <c r="R28">
        <f>+Q28/31</f>
        <v>159.35483870967741</v>
      </c>
    </row>
    <row r="29" spans="1:18" ht="18" customHeight="1" x14ac:dyDescent="0.25">
      <c r="A29" s="14">
        <f t="shared" si="1"/>
        <v>20</v>
      </c>
      <c r="B29" s="8">
        <v>45880</v>
      </c>
      <c r="C29" s="46" t="s">
        <v>169</v>
      </c>
      <c r="D29" s="214" t="s">
        <v>19</v>
      </c>
      <c r="E29" s="32"/>
      <c r="F29" s="17">
        <v>60</v>
      </c>
      <c r="G29" s="18">
        <f t="shared" si="3"/>
        <v>1131</v>
      </c>
      <c r="H29" s="28" t="s">
        <v>91</v>
      </c>
      <c r="I29" s="28"/>
      <c r="J29" s="28"/>
      <c r="K29" s="7" t="s">
        <v>90</v>
      </c>
    </row>
    <row r="30" spans="1:18" ht="18" customHeight="1" x14ac:dyDescent="0.25">
      <c r="A30" s="14">
        <f t="shared" si="1"/>
        <v>21</v>
      </c>
      <c r="B30" s="8">
        <v>45881</v>
      </c>
      <c r="C30" s="46"/>
      <c r="D30" s="214" t="s">
        <v>19</v>
      </c>
      <c r="E30" s="129"/>
      <c r="F30" s="17">
        <v>90</v>
      </c>
      <c r="G30" s="18">
        <f t="shared" si="3"/>
        <v>1041</v>
      </c>
      <c r="H30" s="28" t="s">
        <v>91</v>
      </c>
      <c r="I30" s="28"/>
      <c r="J30" s="28"/>
      <c r="K30" s="7" t="s">
        <v>90</v>
      </c>
    </row>
    <row r="31" spans="1:18" ht="18" customHeight="1" x14ac:dyDescent="0.25">
      <c r="A31" s="14">
        <f t="shared" si="1"/>
        <v>22</v>
      </c>
      <c r="B31" s="8">
        <v>45882</v>
      </c>
      <c r="C31" s="46"/>
      <c r="D31" s="214" t="s">
        <v>19</v>
      </c>
      <c r="E31" s="32"/>
      <c r="F31" s="172">
        <v>65</v>
      </c>
      <c r="G31" s="18">
        <f t="shared" si="3"/>
        <v>976</v>
      </c>
      <c r="H31" s="28" t="s">
        <v>91</v>
      </c>
      <c r="I31" s="28"/>
      <c r="J31" s="28"/>
      <c r="K31" s="7" t="s">
        <v>90</v>
      </c>
      <c r="N31">
        <f>45*88</f>
        <v>3960</v>
      </c>
    </row>
    <row r="32" spans="1:18" ht="18" customHeight="1" x14ac:dyDescent="0.25">
      <c r="A32" s="14">
        <f t="shared" si="1"/>
        <v>23</v>
      </c>
      <c r="B32" s="8">
        <v>45894</v>
      </c>
      <c r="C32" s="46"/>
      <c r="D32" s="214" t="s">
        <v>19</v>
      </c>
      <c r="E32" s="32"/>
      <c r="F32" s="17">
        <v>76</v>
      </c>
      <c r="G32" s="18">
        <f t="shared" si="3"/>
        <v>900</v>
      </c>
      <c r="H32" s="28" t="s">
        <v>91</v>
      </c>
      <c r="I32" s="28"/>
      <c r="J32" s="28"/>
      <c r="K32" s="7" t="s">
        <v>90</v>
      </c>
      <c r="N32">
        <f>+N31/285</f>
        <v>13.894736842105264</v>
      </c>
    </row>
    <row r="33" spans="1:18" ht="18" customHeight="1" x14ac:dyDescent="0.25">
      <c r="A33" s="14">
        <f t="shared" si="1"/>
        <v>24</v>
      </c>
      <c r="B33" s="8">
        <v>45895</v>
      </c>
      <c r="C33" s="46"/>
      <c r="D33" s="214" t="s">
        <v>19</v>
      </c>
      <c r="E33" s="32"/>
      <c r="F33" s="17">
        <v>110</v>
      </c>
      <c r="G33" s="18">
        <f t="shared" si="3"/>
        <v>790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1"/>
        <v>25</v>
      </c>
      <c r="B34" s="8">
        <v>45896</v>
      </c>
      <c r="C34" s="46"/>
      <c r="D34" s="214" t="s">
        <v>19</v>
      </c>
      <c r="E34" s="13"/>
      <c r="F34" s="17">
        <v>110</v>
      </c>
      <c r="G34" s="18">
        <f t="shared" si="3"/>
        <v>680</v>
      </c>
      <c r="H34" s="28" t="s">
        <v>91</v>
      </c>
      <c r="I34" s="28"/>
      <c r="J34" s="28"/>
      <c r="K34" s="7" t="s">
        <v>90</v>
      </c>
    </row>
    <row r="35" spans="1:18" ht="17.25" customHeight="1" x14ac:dyDescent="0.25">
      <c r="A35" s="14">
        <f t="shared" si="1"/>
        <v>26</v>
      </c>
      <c r="B35" s="44">
        <v>45897</v>
      </c>
      <c r="C35" s="46"/>
      <c r="D35" s="214" t="s">
        <v>19</v>
      </c>
      <c r="E35" s="13"/>
      <c r="F35" s="17">
        <v>80</v>
      </c>
      <c r="G35" s="18">
        <f t="shared" si="3"/>
        <v>600</v>
      </c>
      <c r="H35" s="28" t="s">
        <v>91</v>
      </c>
      <c r="I35" s="28"/>
      <c r="J35" s="28"/>
      <c r="K35" s="7" t="s">
        <v>90</v>
      </c>
      <c r="R35">
        <f>1081-200</f>
        <v>881</v>
      </c>
    </row>
    <row r="36" spans="1:18" ht="18" customHeight="1" x14ac:dyDescent="0.25">
      <c r="A36" s="14">
        <f t="shared" si="1"/>
        <v>27</v>
      </c>
      <c r="B36" s="8">
        <v>45899</v>
      </c>
      <c r="C36" s="46"/>
      <c r="D36" s="214" t="s">
        <v>19</v>
      </c>
      <c r="E36" s="32"/>
      <c r="F36" s="40">
        <v>32</v>
      </c>
      <c r="G36" s="18">
        <f t="shared" si="3"/>
        <v>568</v>
      </c>
      <c r="H36" s="28" t="s">
        <v>91</v>
      </c>
      <c r="I36" s="28"/>
      <c r="J36" s="28"/>
      <c r="K36" s="7" t="s">
        <v>90</v>
      </c>
      <c r="R36">
        <f>+N23*R35</f>
        <v>0</v>
      </c>
    </row>
    <row r="37" spans="1:18" ht="18" customHeight="1" x14ac:dyDescent="0.25">
      <c r="A37" s="14">
        <f t="shared" si="1"/>
        <v>28</v>
      </c>
      <c r="B37" s="45">
        <v>45903</v>
      </c>
      <c r="C37" s="46"/>
      <c r="D37" s="214" t="s">
        <v>19</v>
      </c>
      <c r="E37" s="32"/>
      <c r="F37" s="40">
        <v>33</v>
      </c>
      <c r="G37" s="18">
        <f t="shared" si="3"/>
        <v>535</v>
      </c>
      <c r="H37" s="178"/>
      <c r="I37" s="178"/>
      <c r="J37" s="178"/>
      <c r="K37" s="7"/>
    </row>
    <row r="38" spans="1:18" ht="18" customHeight="1" x14ac:dyDescent="0.25">
      <c r="A38" s="14">
        <f t="shared" si="1"/>
        <v>29</v>
      </c>
      <c r="B38" s="8">
        <v>45910</v>
      </c>
      <c r="C38" s="46"/>
      <c r="D38" s="214" t="s">
        <v>19</v>
      </c>
      <c r="E38" s="32"/>
      <c r="F38" s="40">
        <v>123</v>
      </c>
      <c r="G38" s="18">
        <f t="shared" si="3"/>
        <v>412</v>
      </c>
      <c r="H38" s="178"/>
      <c r="I38" s="178"/>
      <c r="J38" s="178"/>
      <c r="K38" s="7"/>
    </row>
    <row r="39" spans="1:18" ht="18" customHeight="1" x14ac:dyDescent="0.25">
      <c r="A39" s="14">
        <f t="shared" si="1"/>
        <v>30</v>
      </c>
      <c r="B39" s="8">
        <v>45911</v>
      </c>
      <c r="C39" s="46"/>
      <c r="D39" s="214" t="s">
        <v>19</v>
      </c>
      <c r="E39" s="32"/>
      <c r="F39" s="17">
        <v>70</v>
      </c>
      <c r="G39" s="18">
        <f t="shared" si="3"/>
        <v>342</v>
      </c>
      <c r="H39" s="178"/>
      <c r="I39" s="178"/>
      <c r="J39" s="178"/>
      <c r="K39" s="7"/>
      <c r="M39">
        <f>911-338</f>
        <v>573</v>
      </c>
      <c r="O39">
        <f>300*87</f>
        <v>26100</v>
      </c>
      <c r="R39">
        <f>1081-891</f>
        <v>190</v>
      </c>
    </row>
    <row r="40" spans="1:18" ht="18" customHeight="1" x14ac:dyDescent="0.25">
      <c r="A40" s="14">
        <f t="shared" si="1"/>
        <v>31</v>
      </c>
      <c r="B40" s="8">
        <v>45918</v>
      </c>
      <c r="C40" s="46"/>
      <c r="D40" s="214" t="s">
        <v>19</v>
      </c>
      <c r="E40" s="32"/>
      <c r="F40" s="17">
        <v>34</v>
      </c>
      <c r="G40" s="18">
        <f t="shared" si="3"/>
        <v>308</v>
      </c>
      <c r="H40" s="178"/>
      <c r="I40" s="385">
        <f>17*0.88</f>
        <v>14.96</v>
      </c>
      <c r="J40" s="178"/>
      <c r="K40" s="7"/>
      <c r="M40">
        <f>+M39-314</f>
        <v>259</v>
      </c>
      <c r="O40">
        <f>+O39/2850</f>
        <v>9.1578947368421044</v>
      </c>
    </row>
    <row r="41" spans="1:18" ht="18" customHeight="1" x14ac:dyDescent="0.25">
      <c r="A41" s="14">
        <f t="shared" si="1"/>
        <v>32</v>
      </c>
      <c r="B41" s="8">
        <v>45924</v>
      </c>
      <c r="C41" s="46"/>
      <c r="D41" s="214" t="s">
        <v>19</v>
      </c>
      <c r="E41" s="32"/>
      <c r="F41" s="17">
        <v>77</v>
      </c>
      <c r="G41" s="18">
        <f t="shared" si="3"/>
        <v>231</v>
      </c>
      <c r="H41" s="178"/>
      <c r="I41" s="178">
        <f>20*0.88</f>
        <v>17.600000000000001</v>
      </c>
      <c r="J41" s="178"/>
      <c r="K41" s="7"/>
    </row>
    <row r="42" spans="1:18" ht="18" customHeight="1" x14ac:dyDescent="0.25">
      <c r="A42" s="14">
        <f t="shared" si="1"/>
        <v>33</v>
      </c>
      <c r="B42" s="8">
        <v>45925</v>
      </c>
      <c r="C42" s="46"/>
      <c r="D42" s="214" t="s">
        <v>19</v>
      </c>
      <c r="E42" s="32"/>
      <c r="F42" s="17">
        <v>74</v>
      </c>
      <c r="G42" s="18">
        <f t="shared" si="3"/>
        <v>157</v>
      </c>
      <c r="H42" s="178"/>
      <c r="I42" s="178">
        <f>56*0.88</f>
        <v>49.28</v>
      </c>
      <c r="J42" s="178"/>
      <c r="K42" s="7"/>
    </row>
    <row r="43" spans="1:18" ht="18" customHeight="1" x14ac:dyDescent="0.25">
      <c r="A43" s="14">
        <f t="shared" si="1"/>
        <v>34</v>
      </c>
      <c r="B43" s="8"/>
      <c r="C43" s="46"/>
      <c r="D43" s="214" t="s">
        <v>19</v>
      </c>
      <c r="E43" s="32"/>
      <c r="F43" s="172"/>
      <c r="G43" s="18">
        <f t="shared" si="3"/>
        <v>157</v>
      </c>
      <c r="H43" s="178"/>
      <c r="I43" s="178">
        <f>54*0.88</f>
        <v>47.52</v>
      </c>
      <c r="J43" s="178"/>
      <c r="K43" s="7"/>
      <c r="R43" s="162"/>
    </row>
    <row r="44" spans="1:18" ht="18" customHeight="1" x14ac:dyDescent="0.25">
      <c r="A44" s="14">
        <f t="shared" si="1"/>
        <v>35</v>
      </c>
      <c r="B44" s="8"/>
      <c r="C44" s="46"/>
      <c r="D44" s="214" t="s">
        <v>19</v>
      </c>
      <c r="E44" s="32"/>
      <c r="F44" s="17"/>
      <c r="G44" s="18">
        <f t="shared" si="3"/>
        <v>157</v>
      </c>
      <c r="H44" s="178"/>
      <c r="I44" s="178">
        <f>7*0.88</f>
        <v>6.16</v>
      </c>
      <c r="J44" s="178"/>
      <c r="K44" s="7"/>
    </row>
    <row r="45" spans="1:18" ht="18" customHeight="1" x14ac:dyDescent="0.25">
      <c r="A45" s="14">
        <f t="shared" si="1"/>
        <v>36</v>
      </c>
      <c r="B45" s="8"/>
      <c r="C45" s="46"/>
      <c r="D45" s="214" t="s">
        <v>19</v>
      </c>
      <c r="E45" s="32"/>
      <c r="F45" s="17"/>
      <c r="G45" s="18">
        <f t="shared" si="3"/>
        <v>157</v>
      </c>
      <c r="H45" s="178"/>
      <c r="I45" s="178">
        <f>23*0.88</f>
        <v>20.239999999999998</v>
      </c>
      <c r="J45" s="178"/>
      <c r="K45" s="7"/>
    </row>
    <row r="46" spans="1:18" ht="18" customHeight="1" x14ac:dyDescent="0.25">
      <c r="A46" s="14">
        <f t="shared" si="1"/>
        <v>37</v>
      </c>
      <c r="B46" s="8"/>
      <c r="C46" s="46"/>
      <c r="D46" s="214" t="s">
        <v>19</v>
      </c>
      <c r="E46" s="32"/>
      <c r="F46" s="17"/>
      <c r="G46" s="18">
        <f t="shared" si="3"/>
        <v>157</v>
      </c>
      <c r="H46" s="178"/>
      <c r="I46" s="178">
        <f>+F46*0.88</f>
        <v>0</v>
      </c>
      <c r="J46" s="178"/>
      <c r="K46" s="7"/>
      <c r="N46">
        <f>61*20</f>
        <v>1220</v>
      </c>
    </row>
    <row r="47" spans="1:18" ht="18" customHeight="1" x14ac:dyDescent="0.25">
      <c r="A47" s="14">
        <f t="shared" si="1"/>
        <v>38</v>
      </c>
      <c r="B47" s="8"/>
      <c r="C47" s="46"/>
      <c r="D47" s="214" t="s">
        <v>19</v>
      </c>
      <c r="E47" s="32"/>
      <c r="F47" s="17"/>
      <c r="G47" s="18">
        <f t="shared" si="3"/>
        <v>157</v>
      </c>
      <c r="H47" s="178"/>
      <c r="I47" s="178"/>
      <c r="J47" s="178"/>
      <c r="K47" s="29"/>
      <c r="N47">
        <f>+N46*87</f>
        <v>106140</v>
      </c>
    </row>
    <row r="48" spans="1:18" ht="18" customHeight="1" x14ac:dyDescent="0.25">
      <c r="A48" s="14">
        <f t="shared" si="1"/>
        <v>39</v>
      </c>
      <c r="B48" s="8"/>
      <c r="C48" s="46"/>
      <c r="D48" s="214" t="s">
        <v>19</v>
      </c>
      <c r="E48" s="32"/>
      <c r="F48" s="17"/>
      <c r="G48" s="18">
        <f t="shared" si="3"/>
        <v>157</v>
      </c>
      <c r="H48" s="178"/>
      <c r="I48" s="178"/>
      <c r="J48" s="178"/>
      <c r="K48" s="29"/>
      <c r="N48">
        <f>+N47/2850</f>
        <v>37.242105263157896</v>
      </c>
    </row>
    <row r="49" spans="1:18" ht="18" customHeight="1" x14ac:dyDescent="0.25">
      <c r="A49" s="14">
        <f t="shared" si="1"/>
        <v>40</v>
      </c>
      <c r="B49" s="8"/>
      <c r="C49" s="46"/>
      <c r="D49" s="214" t="s">
        <v>19</v>
      </c>
      <c r="E49" s="32"/>
      <c r="F49" s="17"/>
      <c r="G49" s="18">
        <f t="shared" si="3"/>
        <v>157</v>
      </c>
      <c r="H49" s="178"/>
      <c r="I49" s="178"/>
      <c r="J49" s="178"/>
      <c r="K49" s="29"/>
    </row>
    <row r="50" spans="1:18" ht="18" customHeight="1" x14ac:dyDescent="0.25">
      <c r="A50" s="14">
        <f t="shared" si="1"/>
        <v>41</v>
      </c>
      <c r="B50" s="8"/>
      <c r="C50" s="46"/>
      <c r="D50" s="214" t="s">
        <v>19</v>
      </c>
      <c r="E50" s="32"/>
      <c r="F50" s="17"/>
      <c r="G50" s="18">
        <f t="shared" si="3"/>
        <v>157</v>
      </c>
      <c r="H50" s="178"/>
      <c r="I50" s="178"/>
      <c r="J50" s="178"/>
      <c r="K50" s="29"/>
    </row>
    <row r="51" spans="1:18" ht="18" customHeight="1" x14ac:dyDescent="0.25">
      <c r="A51" s="14">
        <f t="shared" si="1"/>
        <v>42</v>
      </c>
      <c r="B51" s="8"/>
      <c r="C51" s="46"/>
      <c r="D51" s="214" t="s">
        <v>19</v>
      </c>
      <c r="E51" s="32"/>
      <c r="F51" s="17"/>
      <c r="G51" s="18">
        <f t="shared" si="3"/>
        <v>157</v>
      </c>
      <c r="H51" s="178"/>
      <c r="I51" s="178"/>
      <c r="J51" s="178"/>
      <c r="K51" s="7"/>
    </row>
    <row r="52" spans="1:18" s="162" customFormat="1" ht="18" customHeight="1" x14ac:dyDescent="0.25">
      <c r="A52" s="14">
        <f t="shared" si="1"/>
        <v>43</v>
      </c>
      <c r="B52" s="174"/>
      <c r="C52" s="236"/>
      <c r="D52" s="237" t="s">
        <v>19</v>
      </c>
      <c r="E52" s="175"/>
      <c r="F52" s="172"/>
      <c r="G52" s="18">
        <f t="shared" si="3"/>
        <v>157</v>
      </c>
      <c r="H52" s="178"/>
      <c r="I52" s="178"/>
      <c r="J52" s="178"/>
      <c r="K52" s="7"/>
      <c r="R52"/>
    </row>
    <row r="53" spans="1:18" ht="18" customHeight="1" x14ac:dyDescent="0.25">
      <c r="A53" s="14">
        <f t="shared" si="1"/>
        <v>44</v>
      </c>
      <c r="B53" s="8"/>
      <c r="C53" s="46"/>
      <c r="D53" s="214" t="s">
        <v>19</v>
      </c>
      <c r="E53" s="32"/>
      <c r="F53" s="17"/>
      <c r="G53" s="18">
        <f t="shared" si="3"/>
        <v>157</v>
      </c>
      <c r="H53" s="239"/>
      <c r="I53" s="239"/>
      <c r="J53" s="239"/>
      <c r="K53" s="7"/>
    </row>
    <row r="54" spans="1:18" ht="18" customHeight="1" x14ac:dyDescent="0.25">
      <c r="A54" s="14">
        <f t="shared" si="1"/>
        <v>45</v>
      </c>
      <c r="B54" s="8"/>
      <c r="C54" s="46"/>
      <c r="D54" s="214" t="s">
        <v>19</v>
      </c>
      <c r="E54" s="32"/>
      <c r="F54" s="17"/>
      <c r="G54" s="18">
        <f t="shared" si="3"/>
        <v>157</v>
      </c>
      <c r="H54" s="239"/>
      <c r="I54" s="239"/>
      <c r="J54" s="239"/>
      <c r="K54" s="7"/>
      <c r="N54">
        <f>180*89</f>
        <v>16020</v>
      </c>
    </row>
    <row r="55" spans="1:18" ht="18" customHeight="1" x14ac:dyDescent="0.25">
      <c r="A55" s="14">
        <f t="shared" si="1"/>
        <v>46</v>
      </c>
      <c r="B55" s="8"/>
      <c r="C55" s="46"/>
      <c r="D55" s="214" t="s">
        <v>19</v>
      </c>
      <c r="E55" s="32"/>
      <c r="F55" s="17"/>
      <c r="G55" s="18">
        <f t="shared" si="3"/>
        <v>157</v>
      </c>
      <c r="H55" s="239"/>
      <c r="I55" s="239"/>
      <c r="J55" s="239"/>
      <c r="K55" s="7"/>
      <c r="N55">
        <f>+N54/2870</f>
        <v>5.5818815331010452</v>
      </c>
    </row>
    <row r="56" spans="1:18" ht="18" customHeight="1" x14ac:dyDescent="0.25">
      <c r="A56" s="14">
        <f t="shared" si="1"/>
        <v>47</v>
      </c>
      <c r="B56" s="8"/>
      <c r="C56" s="46"/>
      <c r="D56" s="214" t="s">
        <v>19</v>
      </c>
      <c r="E56" s="32"/>
      <c r="F56" s="17"/>
      <c r="G56" s="18">
        <f t="shared" si="3"/>
        <v>157</v>
      </c>
      <c r="H56" s="28"/>
      <c r="I56" s="28"/>
      <c r="J56" s="28"/>
      <c r="K56" s="7"/>
    </row>
    <row r="57" spans="1:18" ht="18" customHeight="1" x14ac:dyDescent="0.25">
      <c r="A57" s="14">
        <f t="shared" si="1"/>
        <v>48</v>
      </c>
      <c r="B57" s="8"/>
      <c r="C57" s="46"/>
      <c r="D57" s="214" t="s">
        <v>19</v>
      </c>
      <c r="E57" s="32"/>
      <c r="F57" s="17"/>
      <c r="G57" s="18">
        <f t="shared" si="3"/>
        <v>157</v>
      </c>
      <c r="H57" s="240"/>
      <c r="I57" s="240"/>
      <c r="J57" s="240"/>
      <c r="K57" s="7"/>
    </row>
    <row r="58" spans="1:18" ht="18" customHeight="1" x14ac:dyDescent="0.25">
      <c r="A58" s="14">
        <f t="shared" si="1"/>
        <v>49</v>
      </c>
      <c r="B58" s="8"/>
      <c r="C58" s="46"/>
      <c r="D58" s="214" t="s">
        <v>19</v>
      </c>
      <c r="E58" s="32"/>
      <c r="F58" s="17"/>
      <c r="G58" s="18">
        <f t="shared" si="3"/>
        <v>157</v>
      </c>
      <c r="H58" s="240"/>
      <c r="I58" s="240"/>
      <c r="J58" s="240"/>
      <c r="K58" s="7"/>
      <c r="N58">
        <f>13*12*144</f>
        <v>22464</v>
      </c>
    </row>
    <row r="59" spans="1:18" ht="18" customHeight="1" x14ac:dyDescent="0.25">
      <c r="A59" s="14">
        <f t="shared" si="1"/>
        <v>50</v>
      </c>
      <c r="B59" s="8"/>
      <c r="C59" s="46"/>
      <c r="D59" s="214" t="s">
        <v>19</v>
      </c>
      <c r="E59" s="32"/>
      <c r="F59" s="17"/>
      <c r="G59" s="18">
        <f t="shared" si="3"/>
        <v>157</v>
      </c>
      <c r="H59" s="240"/>
      <c r="I59" s="240"/>
      <c r="J59" s="240"/>
      <c r="K59" s="7" t="s">
        <v>14</v>
      </c>
      <c r="N59">
        <f>+N58/2870</f>
        <v>7.8271777003484324</v>
      </c>
    </row>
    <row r="60" spans="1:18" ht="18" customHeight="1" x14ac:dyDescent="0.25">
      <c r="A60" s="14">
        <f t="shared" si="1"/>
        <v>51</v>
      </c>
      <c r="B60" s="8"/>
      <c r="C60" s="46"/>
      <c r="D60" s="214" t="s">
        <v>19</v>
      </c>
      <c r="E60" s="32"/>
      <c r="F60" s="17"/>
      <c r="G60" s="18">
        <f t="shared" si="3"/>
        <v>157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1"/>
        <v>52</v>
      </c>
      <c r="B61" s="8"/>
      <c r="C61" s="46"/>
      <c r="D61" s="214" t="s">
        <v>19</v>
      </c>
      <c r="E61" s="32"/>
      <c r="F61" s="17"/>
      <c r="G61" s="18">
        <f t="shared" si="3"/>
        <v>157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1"/>
        <v>53</v>
      </c>
      <c r="B62" s="8"/>
      <c r="C62" s="46"/>
      <c r="D62" s="214" t="s">
        <v>19</v>
      </c>
      <c r="E62" s="32"/>
      <c r="F62" s="17"/>
      <c r="G62" s="18">
        <f t="shared" si="3"/>
        <v>157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1"/>
        <v>54</v>
      </c>
      <c r="B63" s="8"/>
      <c r="C63" s="46"/>
      <c r="D63" s="214" t="s">
        <v>19</v>
      </c>
      <c r="E63" s="32"/>
      <c r="F63" s="17"/>
      <c r="G63" s="18">
        <f t="shared" si="3"/>
        <v>157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1"/>
        <v>55</v>
      </c>
      <c r="B64" s="8"/>
      <c r="C64" s="46"/>
      <c r="D64" s="214" t="s">
        <v>19</v>
      </c>
      <c r="E64" s="32"/>
      <c r="F64" s="17"/>
      <c r="G64" s="18">
        <f t="shared" si="3"/>
        <v>157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1"/>
        <v>56</v>
      </c>
      <c r="B65" s="8"/>
      <c r="C65" s="46"/>
      <c r="D65" s="214" t="s">
        <v>19</v>
      </c>
      <c r="E65" s="32"/>
      <c r="F65" s="17"/>
      <c r="G65" s="18">
        <f t="shared" si="3"/>
        <v>157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1"/>
        <v>57</v>
      </c>
      <c r="B66" s="8"/>
      <c r="C66" s="46"/>
      <c r="D66" s="214" t="s">
        <v>19</v>
      </c>
      <c r="E66" s="32"/>
      <c r="F66" s="17"/>
      <c r="G66" s="18">
        <f t="shared" si="3"/>
        <v>157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1"/>
        <v>58</v>
      </c>
      <c r="B67" s="8"/>
      <c r="C67" s="46"/>
      <c r="D67" s="214" t="s">
        <v>19</v>
      </c>
      <c r="E67" s="32"/>
      <c r="F67" s="17"/>
      <c r="G67" s="18">
        <f t="shared" si="3"/>
        <v>157</v>
      </c>
      <c r="H67" s="240"/>
      <c r="I67" s="240"/>
      <c r="J67" s="240"/>
      <c r="K67" s="7" t="s">
        <v>14</v>
      </c>
      <c r="L67" s="26"/>
    </row>
    <row r="68" spans="1:12" ht="18" customHeight="1" x14ac:dyDescent="0.25">
      <c r="A68" s="14">
        <f t="shared" si="1"/>
        <v>59</v>
      </c>
      <c r="B68" s="8"/>
      <c r="C68" s="46"/>
      <c r="D68" s="214" t="s">
        <v>19</v>
      </c>
      <c r="E68" s="32"/>
      <c r="F68" s="17"/>
      <c r="G68" s="18">
        <f t="shared" si="3"/>
        <v>157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1"/>
        <v>60</v>
      </c>
      <c r="B69" s="8"/>
      <c r="C69" s="46"/>
      <c r="D69" s="214" t="s">
        <v>19</v>
      </c>
      <c r="E69" s="32"/>
      <c r="F69" s="17"/>
      <c r="G69" s="18">
        <f t="shared" si="3"/>
        <v>157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1"/>
        <v>61</v>
      </c>
      <c r="B70" s="8"/>
      <c r="C70" s="46"/>
      <c r="D70" s="214" t="s">
        <v>19</v>
      </c>
      <c r="E70" s="32"/>
      <c r="F70" s="17"/>
      <c r="G70" s="18">
        <f t="shared" si="3"/>
        <v>157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1"/>
        <v>62</v>
      </c>
      <c r="B71" s="8"/>
      <c r="C71" s="46"/>
      <c r="D71" s="214" t="s">
        <v>19</v>
      </c>
      <c r="E71" s="32"/>
      <c r="F71" s="17"/>
      <c r="G71" s="18">
        <f t="shared" si="3"/>
        <v>157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1"/>
        <v>63</v>
      </c>
      <c r="B72" s="8"/>
      <c r="C72" s="46"/>
      <c r="D72" s="214" t="s">
        <v>19</v>
      </c>
      <c r="E72" s="32"/>
      <c r="F72" s="17"/>
      <c r="G72" s="18">
        <f t="shared" si="3"/>
        <v>157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1"/>
        <v>64</v>
      </c>
      <c r="B73" s="8"/>
      <c r="C73" s="46"/>
      <c r="D73" s="214" t="s">
        <v>19</v>
      </c>
      <c r="E73" s="32"/>
      <c r="F73" s="17"/>
      <c r="G73" s="18">
        <f t="shared" si="3"/>
        <v>157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si="1"/>
        <v>65</v>
      </c>
      <c r="B74" s="8"/>
      <c r="C74" s="46"/>
      <c r="D74" s="214" t="s">
        <v>19</v>
      </c>
      <c r="E74" s="32"/>
      <c r="F74" s="17"/>
      <c r="G74" s="18">
        <f t="shared" si="3"/>
        <v>157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ref="A75:A109" si="4">+A74+1</f>
        <v>66</v>
      </c>
      <c r="B75" s="8"/>
      <c r="C75" s="46"/>
      <c r="D75" s="214" t="s">
        <v>19</v>
      </c>
      <c r="E75" s="32"/>
      <c r="F75" s="17"/>
      <c r="G75" s="18">
        <f t="shared" ref="G75:G109" si="5">+G74+E75-F75</f>
        <v>157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si="4"/>
        <v>67</v>
      </c>
      <c r="B76" s="8"/>
      <c r="C76" s="46"/>
      <c r="D76" s="214" t="s">
        <v>19</v>
      </c>
      <c r="E76" s="32"/>
      <c r="F76" s="17"/>
      <c r="G76" s="18">
        <f t="shared" si="5"/>
        <v>157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4"/>
        <v>68</v>
      </c>
      <c r="B77" s="8"/>
      <c r="C77" s="46"/>
      <c r="D77" s="214" t="s">
        <v>19</v>
      </c>
      <c r="E77" s="32"/>
      <c r="F77" s="17"/>
      <c r="G77" s="18">
        <f t="shared" si="5"/>
        <v>157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4"/>
        <v>69</v>
      </c>
      <c r="B78" s="8"/>
      <c r="C78" s="46"/>
      <c r="D78" s="214" t="s">
        <v>19</v>
      </c>
      <c r="E78" s="32"/>
      <c r="F78" s="17"/>
      <c r="G78" s="18">
        <f t="shared" si="5"/>
        <v>157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4"/>
        <v>70</v>
      </c>
      <c r="B79" s="8"/>
      <c r="C79" s="46"/>
      <c r="D79" s="214" t="s">
        <v>19</v>
      </c>
      <c r="E79" s="32"/>
      <c r="F79" s="17"/>
      <c r="G79" s="18">
        <f t="shared" si="5"/>
        <v>157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4"/>
        <v>71</v>
      </c>
      <c r="B80" s="8"/>
      <c r="C80" s="46"/>
      <c r="D80" s="214" t="s">
        <v>19</v>
      </c>
      <c r="E80" s="32"/>
      <c r="F80" s="17"/>
      <c r="G80" s="18">
        <f t="shared" si="5"/>
        <v>157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4"/>
        <v>72</v>
      </c>
      <c r="B81" s="8"/>
      <c r="C81" s="46"/>
      <c r="D81" s="214" t="s">
        <v>19</v>
      </c>
      <c r="E81" s="32"/>
      <c r="F81" s="17"/>
      <c r="G81" s="18">
        <f t="shared" si="5"/>
        <v>157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4"/>
        <v>73</v>
      </c>
      <c r="B82" s="8"/>
      <c r="C82" s="46"/>
      <c r="D82" s="214" t="s">
        <v>19</v>
      </c>
      <c r="E82" s="32"/>
      <c r="F82" s="17"/>
      <c r="G82" s="18">
        <f t="shared" si="5"/>
        <v>157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4"/>
        <v>74</v>
      </c>
      <c r="B83" s="8"/>
      <c r="C83" s="46"/>
      <c r="D83" s="214" t="s">
        <v>19</v>
      </c>
      <c r="E83" s="32"/>
      <c r="F83" s="17"/>
      <c r="G83" s="18">
        <f t="shared" si="5"/>
        <v>157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4"/>
        <v>75</v>
      </c>
      <c r="B84" s="8"/>
      <c r="C84" s="46"/>
      <c r="D84" s="214" t="s">
        <v>19</v>
      </c>
      <c r="E84" s="32"/>
      <c r="F84" s="17"/>
      <c r="G84" s="18">
        <f t="shared" si="5"/>
        <v>157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4"/>
        <v>76</v>
      </c>
      <c r="B85" s="8"/>
      <c r="C85" s="46"/>
      <c r="D85" s="214" t="s">
        <v>19</v>
      </c>
      <c r="E85" s="32"/>
      <c r="F85" s="27"/>
      <c r="G85" s="18">
        <f t="shared" si="5"/>
        <v>157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4"/>
        <v>77</v>
      </c>
      <c r="B86" s="8"/>
      <c r="C86" s="46"/>
      <c r="D86" s="214" t="s">
        <v>19</v>
      </c>
      <c r="E86" s="32"/>
      <c r="F86" s="17"/>
      <c r="G86" s="18">
        <f t="shared" si="5"/>
        <v>157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4"/>
        <v>78</v>
      </c>
      <c r="B87" s="8"/>
      <c r="C87" s="46"/>
      <c r="D87" s="214" t="s">
        <v>19</v>
      </c>
      <c r="E87" s="32"/>
      <c r="F87" s="17"/>
      <c r="G87" s="18">
        <f t="shared" si="5"/>
        <v>157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4"/>
        <v>79</v>
      </c>
      <c r="B88" s="8"/>
      <c r="C88" s="46"/>
      <c r="D88" s="214" t="s">
        <v>19</v>
      </c>
      <c r="E88" s="32"/>
      <c r="F88" s="17"/>
      <c r="G88" s="18">
        <f t="shared" si="5"/>
        <v>157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4"/>
        <v>80</v>
      </c>
      <c r="B89" s="8"/>
      <c r="C89" s="46"/>
      <c r="D89" s="214" t="s">
        <v>19</v>
      </c>
      <c r="E89" s="32"/>
      <c r="F89" s="17"/>
      <c r="G89" s="18">
        <f t="shared" si="5"/>
        <v>157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4"/>
        <v>81</v>
      </c>
      <c r="B90" s="8"/>
      <c r="C90" s="46"/>
      <c r="D90" s="214" t="s">
        <v>19</v>
      </c>
      <c r="E90" s="32"/>
      <c r="F90" s="17"/>
      <c r="G90" s="18">
        <f t="shared" si="5"/>
        <v>157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4"/>
        <v>82</v>
      </c>
      <c r="B91" s="8"/>
      <c r="C91" s="46"/>
      <c r="D91" s="214" t="s">
        <v>19</v>
      </c>
      <c r="E91" s="32"/>
      <c r="F91" s="17"/>
      <c r="G91" s="18">
        <f t="shared" si="5"/>
        <v>157</v>
      </c>
      <c r="H91" s="240"/>
      <c r="I91" s="240"/>
      <c r="J91" s="240"/>
      <c r="K91" s="7" t="s">
        <v>14</v>
      </c>
    </row>
    <row r="92" spans="1:19" ht="18" customHeight="1" x14ac:dyDescent="0.25">
      <c r="A92" s="14">
        <f t="shared" si="4"/>
        <v>83</v>
      </c>
      <c r="B92" s="8"/>
      <c r="C92" s="46"/>
      <c r="D92" s="214" t="s">
        <v>19</v>
      </c>
      <c r="E92" s="32"/>
      <c r="F92" s="17"/>
      <c r="G92" s="18">
        <f t="shared" si="5"/>
        <v>157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4"/>
        <v>84</v>
      </c>
      <c r="B93" s="8"/>
      <c r="C93" s="46"/>
      <c r="D93" s="214" t="s">
        <v>19</v>
      </c>
      <c r="E93" s="32"/>
      <c r="F93" s="27"/>
      <c r="G93" s="18">
        <f t="shared" si="5"/>
        <v>157</v>
      </c>
      <c r="H93" s="240"/>
      <c r="I93" s="240"/>
      <c r="J93" s="240"/>
      <c r="K93" s="7" t="s">
        <v>14</v>
      </c>
      <c r="N93" s="199"/>
      <c r="S93" s="199"/>
    </row>
    <row r="94" spans="1:19" ht="18" customHeight="1" x14ac:dyDescent="0.25">
      <c r="A94" s="14">
        <f t="shared" si="4"/>
        <v>85</v>
      </c>
      <c r="B94" s="8"/>
      <c r="C94" s="46"/>
      <c r="D94" s="214" t="s">
        <v>19</v>
      </c>
      <c r="E94" s="32"/>
      <c r="F94" s="27"/>
      <c r="G94" s="18">
        <f t="shared" si="5"/>
        <v>157</v>
      </c>
      <c r="H94" s="240"/>
      <c r="I94" s="240"/>
      <c r="J94" s="240"/>
      <c r="K94" s="7" t="s">
        <v>14</v>
      </c>
      <c r="N94" s="199"/>
      <c r="S94" s="199"/>
    </row>
    <row r="95" spans="1:19" s="179" customFormat="1" ht="18" customHeight="1" x14ac:dyDescent="0.25">
      <c r="A95" s="14">
        <f t="shared" si="4"/>
        <v>86</v>
      </c>
      <c r="B95" s="242"/>
      <c r="C95" s="243"/>
      <c r="D95" s="244" t="s">
        <v>19</v>
      </c>
      <c r="E95" s="245"/>
      <c r="F95" s="52"/>
      <c r="G95" s="18">
        <f t="shared" si="5"/>
        <v>157</v>
      </c>
      <c r="H95" s="240"/>
      <c r="I95" s="240"/>
      <c r="J95" s="240"/>
      <c r="K95" s="247" t="s">
        <v>14</v>
      </c>
      <c r="L95" s="179" t="s">
        <v>43</v>
      </c>
      <c r="N95" s="248"/>
      <c r="S95" s="248"/>
    </row>
    <row r="96" spans="1:19" s="179" customFormat="1" ht="18" customHeight="1" x14ac:dyDescent="0.25">
      <c r="A96" s="14">
        <f t="shared" si="4"/>
        <v>87</v>
      </c>
      <c r="B96" s="242"/>
      <c r="C96" s="243"/>
      <c r="D96" s="244" t="s">
        <v>19</v>
      </c>
      <c r="E96" s="245"/>
      <c r="F96" s="52"/>
      <c r="G96" s="18">
        <f t="shared" si="5"/>
        <v>157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4"/>
        <v>88</v>
      </c>
      <c r="B97" s="242"/>
      <c r="C97" s="243"/>
      <c r="D97" s="244" t="s">
        <v>19</v>
      </c>
      <c r="E97" s="245"/>
      <c r="F97" s="52"/>
      <c r="G97" s="18">
        <f t="shared" si="5"/>
        <v>157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4"/>
        <v>89</v>
      </c>
      <c r="B98" s="242"/>
      <c r="C98" s="243"/>
      <c r="D98" s="244" t="s">
        <v>19</v>
      </c>
      <c r="E98" s="245"/>
      <c r="F98" s="52"/>
      <c r="G98" s="18">
        <f t="shared" si="5"/>
        <v>157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4"/>
        <v>90</v>
      </c>
      <c r="B99" s="242"/>
      <c r="C99" s="243"/>
      <c r="D99" s="244" t="s">
        <v>19</v>
      </c>
      <c r="E99" s="245"/>
      <c r="F99" s="52"/>
      <c r="G99" s="18">
        <f t="shared" si="5"/>
        <v>157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4"/>
        <v>91</v>
      </c>
      <c r="B100" s="242"/>
      <c r="C100" s="243"/>
      <c r="D100" s="244" t="s">
        <v>19</v>
      </c>
      <c r="E100" s="245"/>
      <c r="F100" s="52"/>
      <c r="G100" s="18">
        <f t="shared" si="5"/>
        <v>157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4"/>
        <v>92</v>
      </c>
      <c r="B101" s="242"/>
      <c r="C101" s="243"/>
      <c r="D101" s="244" t="s">
        <v>19</v>
      </c>
      <c r="E101" s="245"/>
      <c r="F101" s="52"/>
      <c r="G101" s="18">
        <f t="shared" si="5"/>
        <v>157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4"/>
        <v>93</v>
      </c>
      <c r="B102" s="242"/>
      <c r="C102" s="243"/>
      <c r="D102" s="244" t="s">
        <v>19</v>
      </c>
      <c r="E102" s="245"/>
      <c r="F102" s="52"/>
      <c r="G102" s="18">
        <f t="shared" si="5"/>
        <v>157</v>
      </c>
      <c r="H102" s="240"/>
      <c r="I102" s="240"/>
      <c r="J102" s="240"/>
      <c r="K102" s="247" t="s">
        <v>14</v>
      </c>
      <c r="N102" s="248"/>
      <c r="S102" s="248"/>
    </row>
    <row r="103" spans="1:19" s="179" customFormat="1" ht="18" customHeight="1" x14ac:dyDescent="0.25">
      <c r="A103" s="14">
        <f t="shared" si="4"/>
        <v>94</v>
      </c>
      <c r="B103" s="242"/>
      <c r="C103" s="243"/>
      <c r="D103" s="244"/>
      <c r="E103" s="245"/>
      <c r="F103" s="52"/>
      <c r="G103" s="18">
        <f t="shared" si="5"/>
        <v>157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4"/>
        <v>95</v>
      </c>
      <c r="B104" s="242"/>
      <c r="C104" s="243"/>
      <c r="D104" s="244"/>
      <c r="E104" s="245"/>
      <c r="F104" s="52"/>
      <c r="G104" s="18">
        <f t="shared" si="5"/>
        <v>157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4"/>
        <v>96</v>
      </c>
      <c r="B105" s="242"/>
      <c r="C105" s="243"/>
      <c r="D105" s="244"/>
      <c r="E105" s="245"/>
      <c r="F105" s="52"/>
      <c r="G105" s="18">
        <f t="shared" si="5"/>
        <v>157</v>
      </c>
      <c r="H105" s="240"/>
      <c r="I105" s="240"/>
      <c r="J105" s="240"/>
      <c r="K105" s="247"/>
      <c r="N105" s="248"/>
      <c r="S105" s="248"/>
    </row>
    <row r="106" spans="1:19" s="179" customFormat="1" ht="18" customHeight="1" x14ac:dyDescent="0.25">
      <c r="A106" s="14">
        <f t="shared" si="4"/>
        <v>97</v>
      </c>
      <c r="B106" s="242"/>
      <c r="C106" s="243"/>
      <c r="D106" s="244"/>
      <c r="E106" s="245"/>
      <c r="F106" s="52"/>
      <c r="G106" s="18">
        <f t="shared" si="5"/>
        <v>157</v>
      </c>
      <c r="H106" s="240"/>
      <c r="I106" s="240"/>
      <c r="J106" s="240"/>
      <c r="K106" s="247"/>
      <c r="N106" s="248"/>
      <c r="S106" s="248"/>
    </row>
    <row r="107" spans="1:19" ht="18" customHeight="1" x14ac:dyDescent="0.25">
      <c r="A107" s="14">
        <f t="shared" si="4"/>
        <v>98</v>
      </c>
      <c r="B107" s="8"/>
      <c r="C107" s="46"/>
      <c r="D107" s="214"/>
      <c r="E107" s="32"/>
      <c r="F107" s="27"/>
      <c r="G107" s="18">
        <f t="shared" si="5"/>
        <v>157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4"/>
        <v>99</v>
      </c>
      <c r="B108" s="8"/>
      <c r="C108" s="46"/>
      <c r="D108" s="214"/>
      <c r="E108" s="32"/>
      <c r="F108" s="27"/>
      <c r="G108" s="18">
        <f t="shared" si="5"/>
        <v>157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14">
        <f t="shared" si="4"/>
        <v>100</v>
      </c>
      <c r="B109" s="37"/>
      <c r="C109" s="46"/>
      <c r="D109" s="10"/>
      <c r="E109" s="32"/>
      <c r="F109" s="27"/>
      <c r="G109" s="18">
        <f t="shared" si="5"/>
        <v>157</v>
      </c>
      <c r="H109" s="28"/>
      <c r="I109" s="28"/>
      <c r="J109" s="28"/>
      <c r="K109" s="7"/>
      <c r="N109" s="199"/>
      <c r="S109" s="199"/>
    </row>
    <row r="110" spans="1:19" ht="18" customHeight="1" x14ac:dyDescent="0.25">
      <c r="A110" s="7"/>
      <c r="B110" s="7"/>
      <c r="C110" s="34" t="s">
        <v>13</v>
      </c>
      <c r="D110" s="14"/>
      <c r="E110" s="35">
        <f>SUM(E8:E109)</f>
        <v>2150</v>
      </c>
      <c r="F110" s="35">
        <f>SUM(F8:F109)</f>
        <v>1993</v>
      </c>
      <c r="G110" s="35">
        <f>+E110-F110+G8</f>
        <v>157</v>
      </c>
      <c r="H110" s="35"/>
      <c r="I110" s="35"/>
      <c r="J110" s="35">
        <f>SUM(J9:J109)</f>
        <v>1952.42</v>
      </c>
      <c r="K110" s="36"/>
    </row>
    <row r="111" spans="1:19" ht="18" customHeight="1" x14ac:dyDescent="0.25"/>
    <row r="114" spans="5:11" x14ac:dyDescent="0.25">
      <c r="E114" s="201"/>
      <c r="F114" s="201"/>
      <c r="G114" s="201"/>
      <c r="H114" s="201"/>
      <c r="I114" s="201"/>
      <c r="J114" s="201"/>
    </row>
    <row r="115" spans="5:11" x14ac:dyDescent="0.25">
      <c r="F115" s="26"/>
    </row>
    <row r="116" spans="5:11" x14ac:dyDescent="0.25">
      <c r="E116" s="26"/>
      <c r="F116" s="26"/>
      <c r="G116" s="26"/>
      <c r="H116" s="26"/>
      <c r="I116" s="26"/>
      <c r="J116" s="26"/>
      <c r="K116" s="26"/>
    </row>
    <row r="117" spans="5:11" x14ac:dyDescent="0.25">
      <c r="K117" s="202"/>
    </row>
    <row r="118" spans="5:11" x14ac:dyDescent="0.25">
      <c r="E118" s="199"/>
    </row>
    <row r="119" spans="5:11" x14ac:dyDescent="0.25">
      <c r="E119" s="26"/>
      <c r="F119" s="26"/>
    </row>
    <row r="120" spans="5:11" x14ac:dyDescent="0.25">
      <c r="E120" s="203"/>
      <c r="F120" s="204"/>
      <c r="G120" s="203"/>
      <c r="H120" s="203"/>
      <c r="I120" s="203"/>
      <c r="J120" s="203"/>
    </row>
    <row r="121" spans="5:11" x14ac:dyDescent="0.25">
      <c r="F121" s="26"/>
    </row>
  </sheetData>
  <mergeCells count="1">
    <mergeCell ref="A4:K5"/>
  </mergeCells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7C16-5D29-4CD1-B9BB-F589D6F2C984}">
  <sheetPr codeName="Sheet115"/>
  <dimension ref="A1:S121"/>
  <sheetViews>
    <sheetView topLeftCell="B1" workbookViewId="0">
      <selection activeCell="F21" sqref="F21"/>
    </sheetView>
  </sheetViews>
  <sheetFormatPr defaultRowHeight="15" x14ac:dyDescent="0.25"/>
  <cols>
    <col min="1" max="1" width="6" customWidth="1"/>
    <col min="2" max="2" width="11.5703125" customWidth="1"/>
    <col min="3" max="3" width="53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5.7109375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4" spans="1:14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4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4" x14ac:dyDescent="0.25">
      <c r="A6" t="s">
        <v>354</v>
      </c>
    </row>
    <row r="7" spans="1:14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322</v>
      </c>
      <c r="J7" s="6" t="s">
        <v>321</v>
      </c>
      <c r="K7" s="4" t="s">
        <v>10</v>
      </c>
    </row>
    <row r="8" spans="1:14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4" ht="17.25" customHeight="1" x14ac:dyDescent="0.25">
      <c r="A9" s="14">
        <v>1</v>
      </c>
      <c r="B9" s="8">
        <v>45794</v>
      </c>
      <c r="C9" s="46" t="s">
        <v>169</v>
      </c>
      <c r="D9" s="214" t="s">
        <v>19</v>
      </c>
      <c r="E9" s="30">
        <v>550</v>
      </c>
      <c r="F9" s="27"/>
      <c r="G9" s="18">
        <f>+G8+E9-F9</f>
        <v>550</v>
      </c>
      <c r="H9" s="28" t="s">
        <v>129</v>
      </c>
      <c r="I9" s="28"/>
      <c r="J9" s="347">
        <v>510</v>
      </c>
      <c r="K9" s="7" t="s">
        <v>177</v>
      </c>
      <c r="L9" s="392">
        <f>+J9/E9</f>
        <v>0.92727272727272725</v>
      </c>
    </row>
    <row r="10" spans="1:14" ht="17.25" customHeight="1" x14ac:dyDescent="0.25">
      <c r="A10" s="14"/>
      <c r="B10" s="8">
        <v>45805</v>
      </c>
      <c r="C10" s="46" t="s">
        <v>169</v>
      </c>
      <c r="D10" s="214"/>
      <c r="E10" s="30"/>
      <c r="F10" s="27">
        <v>2</v>
      </c>
      <c r="G10" s="18">
        <f t="shared" ref="G10:G73" si="0">+G9+E10-F10</f>
        <v>548</v>
      </c>
      <c r="H10" s="28"/>
      <c r="I10" s="28"/>
      <c r="J10" s="347">
        <f>+F10*L9</f>
        <v>1.8545454545454545</v>
      </c>
      <c r="K10" s="7"/>
      <c r="L10" s="392"/>
    </row>
    <row r="11" spans="1:14" ht="17.25" customHeight="1" x14ac:dyDescent="0.25">
      <c r="A11" s="14">
        <f>+A9+1</f>
        <v>2</v>
      </c>
      <c r="B11" s="8">
        <v>45857</v>
      </c>
      <c r="C11" s="46" t="s">
        <v>169</v>
      </c>
      <c r="D11" s="214" t="s">
        <v>19</v>
      </c>
      <c r="E11" s="30"/>
      <c r="F11" s="27">
        <v>50</v>
      </c>
      <c r="G11" s="18">
        <f t="shared" si="0"/>
        <v>498</v>
      </c>
      <c r="H11" s="28" t="s">
        <v>129</v>
      </c>
      <c r="I11" s="28"/>
      <c r="J11" s="28">
        <f>+F11*L9</f>
        <v>46.36363636363636</v>
      </c>
      <c r="K11" s="7" t="s">
        <v>90</v>
      </c>
    </row>
    <row r="12" spans="1:14" ht="18" customHeight="1" x14ac:dyDescent="0.25">
      <c r="A12" s="14">
        <f t="shared" ref="A12:A75" si="1">+A11+1</f>
        <v>3</v>
      </c>
      <c r="B12" s="8">
        <v>45859</v>
      </c>
      <c r="C12" s="46" t="s">
        <v>169</v>
      </c>
      <c r="D12" s="214" t="s">
        <v>19</v>
      </c>
      <c r="E12" s="16"/>
      <c r="F12" s="27">
        <v>37</v>
      </c>
      <c r="G12" s="18">
        <f t="shared" si="0"/>
        <v>461</v>
      </c>
      <c r="H12" s="28" t="s">
        <v>129</v>
      </c>
      <c r="I12" s="28"/>
      <c r="J12" s="28">
        <f>+F12+L9</f>
        <v>37.927272727272729</v>
      </c>
      <c r="K12" s="7" t="s">
        <v>90</v>
      </c>
      <c r="L12" s="26"/>
    </row>
    <row r="13" spans="1:14" ht="18" customHeight="1" x14ac:dyDescent="0.25">
      <c r="A13" s="14">
        <f t="shared" si="1"/>
        <v>4</v>
      </c>
      <c r="B13" s="8">
        <v>45860</v>
      </c>
      <c r="C13" s="46" t="s">
        <v>169</v>
      </c>
      <c r="D13" s="214" t="s">
        <v>19</v>
      </c>
      <c r="E13" s="16"/>
      <c r="F13" s="17">
        <v>120</v>
      </c>
      <c r="G13" s="18">
        <f t="shared" si="0"/>
        <v>341</v>
      </c>
      <c r="H13" s="28" t="s">
        <v>129</v>
      </c>
      <c r="I13" s="28"/>
      <c r="J13" s="28">
        <f>+F13/L9</f>
        <v>129.41176470588235</v>
      </c>
      <c r="K13" s="7" t="s">
        <v>90</v>
      </c>
      <c r="L13" s="26"/>
    </row>
    <row r="14" spans="1:14" ht="18" customHeight="1" x14ac:dyDescent="0.25">
      <c r="A14" s="14">
        <f t="shared" si="1"/>
        <v>5</v>
      </c>
      <c r="B14" s="205">
        <v>45869</v>
      </c>
      <c r="C14" s="46" t="s">
        <v>169</v>
      </c>
      <c r="D14" s="214" t="s">
        <v>19</v>
      </c>
      <c r="E14" s="16"/>
      <c r="F14" s="17">
        <v>95</v>
      </c>
      <c r="G14" s="18">
        <f t="shared" si="0"/>
        <v>246</v>
      </c>
      <c r="H14" s="28" t="s">
        <v>129</v>
      </c>
      <c r="I14" s="28"/>
      <c r="J14" s="28"/>
      <c r="K14" s="7" t="s">
        <v>90</v>
      </c>
      <c r="L14" s="26"/>
      <c r="N14">
        <f>175-3.9</f>
        <v>171.1</v>
      </c>
    </row>
    <row r="15" spans="1:14" ht="18" customHeight="1" x14ac:dyDescent="0.25">
      <c r="A15" s="14">
        <f t="shared" si="1"/>
        <v>6</v>
      </c>
      <c r="B15" s="8">
        <v>45870</v>
      </c>
      <c r="C15" s="46" t="s">
        <v>169</v>
      </c>
      <c r="D15" s="214" t="s">
        <v>19</v>
      </c>
      <c r="E15" s="16"/>
      <c r="F15" s="27">
        <v>97</v>
      </c>
      <c r="G15" s="18">
        <f t="shared" si="0"/>
        <v>149</v>
      </c>
      <c r="H15" s="28" t="s">
        <v>91</v>
      </c>
      <c r="I15" s="28"/>
      <c r="J15" s="28"/>
      <c r="K15" s="7" t="s">
        <v>90</v>
      </c>
      <c r="M15" s="404"/>
    </row>
    <row r="16" spans="1:14" ht="18" customHeight="1" x14ac:dyDescent="0.25">
      <c r="A16" s="14">
        <f t="shared" si="1"/>
        <v>7</v>
      </c>
      <c r="B16" s="8">
        <v>45890</v>
      </c>
      <c r="C16" s="46" t="s">
        <v>169</v>
      </c>
      <c r="D16" s="214" t="s">
        <v>19</v>
      </c>
      <c r="E16" s="16"/>
      <c r="F16" s="27">
        <v>85</v>
      </c>
      <c r="G16" s="18">
        <f t="shared" si="0"/>
        <v>64</v>
      </c>
      <c r="H16" s="28" t="s">
        <v>91</v>
      </c>
      <c r="I16" s="28"/>
      <c r="J16" s="28"/>
      <c r="K16" s="7" t="s">
        <v>90</v>
      </c>
      <c r="L16" s="26"/>
      <c r="M16">
        <f>120/0.93</f>
        <v>129.03225806451613</v>
      </c>
    </row>
    <row r="17" spans="1:17" ht="18" customHeight="1" x14ac:dyDescent="0.25">
      <c r="A17" s="14">
        <f t="shared" si="1"/>
        <v>8</v>
      </c>
      <c r="B17" s="8">
        <v>45891</v>
      </c>
      <c r="C17" s="46" t="s">
        <v>169</v>
      </c>
      <c r="D17" s="214" t="s">
        <v>19</v>
      </c>
      <c r="E17" s="16"/>
      <c r="F17" s="27">
        <v>52</v>
      </c>
      <c r="G17" s="18">
        <f t="shared" si="0"/>
        <v>12</v>
      </c>
      <c r="H17" s="28" t="s">
        <v>91</v>
      </c>
      <c r="I17" s="28"/>
      <c r="J17" s="28"/>
      <c r="K17" s="7" t="s">
        <v>90</v>
      </c>
      <c r="L17" s="26"/>
    </row>
    <row r="18" spans="1:17" ht="18" customHeight="1" x14ac:dyDescent="0.25">
      <c r="A18" s="14">
        <f t="shared" si="1"/>
        <v>9</v>
      </c>
      <c r="B18" s="8">
        <v>45892</v>
      </c>
      <c r="C18" s="46" t="s">
        <v>169</v>
      </c>
      <c r="D18" s="214" t="s">
        <v>19</v>
      </c>
      <c r="E18" s="16"/>
      <c r="F18" s="27">
        <v>18</v>
      </c>
      <c r="G18" s="18">
        <f t="shared" si="0"/>
        <v>-6</v>
      </c>
      <c r="H18" s="28" t="s">
        <v>91</v>
      </c>
      <c r="I18" s="28">
        <f t="shared" ref="I18:I20" si="2">+F18*M18</f>
        <v>0</v>
      </c>
      <c r="J18" s="28"/>
      <c r="K18" s="7" t="s">
        <v>90</v>
      </c>
    </row>
    <row r="19" spans="1:17" ht="18" customHeight="1" x14ac:dyDescent="0.25">
      <c r="A19" s="14">
        <f t="shared" si="1"/>
        <v>10</v>
      </c>
      <c r="B19" s="8">
        <v>45906</v>
      </c>
      <c r="C19" s="46" t="s">
        <v>169</v>
      </c>
      <c r="D19" s="214" t="s">
        <v>19</v>
      </c>
      <c r="E19" s="30">
        <v>530</v>
      </c>
      <c r="F19" s="27"/>
      <c r="G19" s="18">
        <f t="shared" si="0"/>
        <v>524</v>
      </c>
      <c r="H19" s="28" t="s">
        <v>91</v>
      </c>
      <c r="I19" s="28">
        <f t="shared" si="2"/>
        <v>0</v>
      </c>
      <c r="J19" s="28"/>
      <c r="K19" s="7" t="s">
        <v>90</v>
      </c>
    </row>
    <row r="20" spans="1:17" s="230" customFormat="1" ht="18" customHeight="1" x14ac:dyDescent="0.25">
      <c r="A20" s="14">
        <f t="shared" si="1"/>
        <v>11</v>
      </c>
      <c r="B20" s="224">
        <v>45926</v>
      </c>
      <c r="C20" s="46" t="s">
        <v>169</v>
      </c>
      <c r="D20" s="226" t="s">
        <v>19</v>
      </c>
      <c r="E20" s="227"/>
      <c r="F20" s="228">
        <v>63</v>
      </c>
      <c r="G20" s="18">
        <f t="shared" si="0"/>
        <v>461</v>
      </c>
      <c r="H20" s="28" t="s">
        <v>91</v>
      </c>
      <c r="I20" s="28">
        <f t="shared" si="2"/>
        <v>0</v>
      </c>
      <c r="J20" s="28"/>
      <c r="K20" s="7" t="s">
        <v>90</v>
      </c>
    </row>
    <row r="21" spans="1:17" s="230" customFormat="1" ht="18" customHeight="1" x14ac:dyDescent="0.25">
      <c r="A21" s="14">
        <f t="shared" si="1"/>
        <v>12</v>
      </c>
      <c r="B21" s="224">
        <v>45927</v>
      </c>
      <c r="C21" s="46" t="s">
        <v>169</v>
      </c>
      <c r="D21" s="226" t="s">
        <v>19</v>
      </c>
      <c r="E21" s="231"/>
      <c r="F21" s="228">
        <v>23</v>
      </c>
      <c r="G21" s="18">
        <f t="shared" si="0"/>
        <v>438</v>
      </c>
      <c r="H21" s="28" t="s">
        <v>91</v>
      </c>
      <c r="I21" s="28"/>
      <c r="J21" s="28"/>
      <c r="K21" s="7" t="s">
        <v>90</v>
      </c>
    </row>
    <row r="22" spans="1:17" ht="18" customHeight="1" x14ac:dyDescent="0.25">
      <c r="A22" s="14">
        <f t="shared" si="1"/>
        <v>13</v>
      </c>
      <c r="B22" s="8"/>
      <c r="C22" s="46" t="s">
        <v>169</v>
      </c>
      <c r="D22" s="214" t="s">
        <v>19</v>
      </c>
      <c r="E22" s="32"/>
      <c r="F22" s="17"/>
      <c r="G22" s="18">
        <f t="shared" si="0"/>
        <v>438</v>
      </c>
      <c r="H22" s="28" t="s">
        <v>91</v>
      </c>
      <c r="I22" s="28"/>
      <c r="J22" s="28"/>
      <c r="K22" s="7" t="s">
        <v>90</v>
      </c>
      <c r="P22" s="26"/>
    </row>
    <row r="23" spans="1:17" ht="18" customHeight="1" x14ac:dyDescent="0.25">
      <c r="A23" s="14">
        <f t="shared" si="1"/>
        <v>14</v>
      </c>
      <c r="B23" s="8"/>
      <c r="C23" s="46" t="s">
        <v>169</v>
      </c>
      <c r="D23" s="214" t="s">
        <v>19</v>
      </c>
      <c r="E23" s="32"/>
      <c r="F23" s="27"/>
      <c r="G23" s="18">
        <f t="shared" si="0"/>
        <v>438</v>
      </c>
      <c r="H23" s="28" t="s">
        <v>91</v>
      </c>
      <c r="I23" s="28"/>
      <c r="J23" s="28"/>
      <c r="K23" s="7" t="s">
        <v>90</v>
      </c>
      <c r="N23" s="162"/>
    </row>
    <row r="24" spans="1:17" ht="18" customHeight="1" x14ac:dyDescent="0.25">
      <c r="A24" s="14">
        <f t="shared" si="1"/>
        <v>15</v>
      </c>
      <c r="B24" s="232"/>
      <c r="C24" s="46" t="s">
        <v>169</v>
      </c>
      <c r="D24" s="234" t="s">
        <v>19</v>
      </c>
      <c r="E24" s="235"/>
      <c r="F24" s="172"/>
      <c r="G24" s="18">
        <f t="shared" si="0"/>
        <v>438</v>
      </c>
      <c r="H24" s="28" t="s">
        <v>129</v>
      </c>
      <c r="I24" s="28"/>
      <c r="J24" s="28"/>
      <c r="K24" s="7" t="s">
        <v>90</v>
      </c>
    </row>
    <row r="25" spans="1:17" ht="18" customHeight="1" x14ac:dyDescent="0.25">
      <c r="A25" s="14">
        <f t="shared" si="1"/>
        <v>16</v>
      </c>
      <c r="B25" s="8"/>
      <c r="C25" s="46" t="s">
        <v>169</v>
      </c>
      <c r="D25" s="214" t="s">
        <v>19</v>
      </c>
      <c r="E25" s="32"/>
      <c r="F25" s="17"/>
      <c r="G25" s="18">
        <f t="shared" si="0"/>
        <v>438</v>
      </c>
      <c r="H25" s="28" t="s">
        <v>129</v>
      </c>
      <c r="I25" s="28"/>
      <c r="J25" s="28"/>
      <c r="K25" s="7" t="s">
        <v>142</v>
      </c>
      <c r="Q25">
        <f>969*91</f>
        <v>88179</v>
      </c>
    </row>
    <row r="26" spans="1:17" ht="18" customHeight="1" x14ac:dyDescent="0.25">
      <c r="A26" s="14">
        <f t="shared" si="1"/>
        <v>17</v>
      </c>
      <c r="B26" s="8"/>
      <c r="C26" s="46" t="s">
        <v>169</v>
      </c>
      <c r="D26" s="214" t="s">
        <v>19</v>
      </c>
      <c r="E26" s="32"/>
      <c r="F26" s="17"/>
      <c r="G26" s="18">
        <f t="shared" si="0"/>
        <v>438</v>
      </c>
      <c r="H26" s="28" t="s">
        <v>91</v>
      </c>
      <c r="I26" s="28"/>
      <c r="J26" s="28"/>
      <c r="K26" s="7" t="s">
        <v>90</v>
      </c>
    </row>
    <row r="27" spans="1:17" ht="18" customHeight="1" x14ac:dyDescent="0.25">
      <c r="A27" s="14">
        <f t="shared" si="1"/>
        <v>18</v>
      </c>
      <c r="B27" s="8"/>
      <c r="C27" s="46" t="s">
        <v>169</v>
      </c>
      <c r="D27" s="214" t="s">
        <v>19</v>
      </c>
      <c r="E27" s="32"/>
      <c r="F27" s="17"/>
      <c r="G27" s="18">
        <f t="shared" si="0"/>
        <v>438</v>
      </c>
      <c r="H27" s="28" t="s">
        <v>91</v>
      </c>
      <c r="I27" s="28"/>
      <c r="J27" s="28"/>
      <c r="K27" s="7" t="s">
        <v>90</v>
      </c>
    </row>
    <row r="28" spans="1:17" ht="18" customHeight="1" x14ac:dyDescent="0.25">
      <c r="A28" s="14">
        <f t="shared" si="1"/>
        <v>19</v>
      </c>
      <c r="B28" s="8"/>
      <c r="C28" s="46" t="s">
        <v>169</v>
      </c>
      <c r="D28" s="214" t="s">
        <v>19</v>
      </c>
      <c r="E28" s="32"/>
      <c r="F28" s="17"/>
      <c r="G28" s="18">
        <f t="shared" si="0"/>
        <v>438</v>
      </c>
      <c r="H28" s="28" t="s">
        <v>91</v>
      </c>
      <c r="I28" s="28"/>
      <c r="J28" s="28"/>
      <c r="K28" s="7" t="s">
        <v>90</v>
      </c>
    </row>
    <row r="29" spans="1:17" ht="18" customHeight="1" x14ac:dyDescent="0.25">
      <c r="A29" s="14">
        <f t="shared" si="1"/>
        <v>20</v>
      </c>
      <c r="B29" s="8"/>
      <c r="C29" s="46" t="s">
        <v>169</v>
      </c>
      <c r="D29" s="214" t="s">
        <v>19</v>
      </c>
      <c r="E29" s="32"/>
      <c r="F29" s="17"/>
      <c r="G29" s="18">
        <f t="shared" si="0"/>
        <v>438</v>
      </c>
      <c r="H29" s="28" t="s">
        <v>91</v>
      </c>
      <c r="I29" s="28"/>
      <c r="J29" s="28"/>
      <c r="K29" s="7" t="s">
        <v>90</v>
      </c>
    </row>
    <row r="30" spans="1:17" ht="18" customHeight="1" x14ac:dyDescent="0.25">
      <c r="A30" s="14">
        <f t="shared" si="1"/>
        <v>21</v>
      </c>
      <c r="B30" s="8"/>
      <c r="C30" s="46"/>
      <c r="D30" s="214" t="s">
        <v>19</v>
      </c>
      <c r="E30" s="129"/>
      <c r="F30" s="17"/>
      <c r="G30" s="18">
        <f t="shared" si="0"/>
        <v>438</v>
      </c>
      <c r="H30" s="28" t="s">
        <v>91</v>
      </c>
      <c r="I30" s="28"/>
      <c r="J30" s="28"/>
      <c r="K30" s="7" t="s">
        <v>90</v>
      </c>
    </row>
    <row r="31" spans="1:17" ht="18" customHeight="1" x14ac:dyDescent="0.25">
      <c r="A31" s="14">
        <f t="shared" si="1"/>
        <v>22</v>
      </c>
      <c r="B31" s="8"/>
      <c r="C31" s="46"/>
      <c r="D31" s="214" t="s">
        <v>19</v>
      </c>
      <c r="E31" s="32"/>
      <c r="F31" s="172"/>
      <c r="G31" s="18">
        <f t="shared" si="0"/>
        <v>438</v>
      </c>
      <c r="H31" s="28" t="s">
        <v>91</v>
      </c>
      <c r="I31" s="28"/>
      <c r="J31" s="28"/>
      <c r="K31" s="7" t="s">
        <v>90</v>
      </c>
      <c r="N31">
        <f>45*88</f>
        <v>3960</v>
      </c>
    </row>
    <row r="32" spans="1:17" ht="18" customHeight="1" x14ac:dyDescent="0.25">
      <c r="A32" s="14">
        <f t="shared" si="1"/>
        <v>23</v>
      </c>
      <c r="B32" s="8"/>
      <c r="C32" s="46"/>
      <c r="D32" s="214" t="s">
        <v>19</v>
      </c>
      <c r="E32" s="32"/>
      <c r="F32" s="17"/>
      <c r="G32" s="18">
        <f t="shared" si="0"/>
        <v>438</v>
      </c>
      <c r="H32" s="28" t="s">
        <v>91</v>
      </c>
      <c r="I32" s="28"/>
      <c r="J32" s="28"/>
      <c r="K32" s="7" t="s">
        <v>90</v>
      </c>
      <c r="N32">
        <f>+N31/285</f>
        <v>13.894736842105264</v>
      </c>
    </row>
    <row r="33" spans="1:18" ht="18" customHeight="1" x14ac:dyDescent="0.25">
      <c r="A33" s="14">
        <f t="shared" si="1"/>
        <v>24</v>
      </c>
      <c r="B33" s="8"/>
      <c r="C33" s="46"/>
      <c r="D33" s="214" t="s">
        <v>19</v>
      </c>
      <c r="E33" s="32"/>
      <c r="F33" s="17"/>
      <c r="G33" s="18">
        <f t="shared" si="0"/>
        <v>438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1"/>
        <v>25</v>
      </c>
      <c r="B34" s="8"/>
      <c r="C34" s="46"/>
      <c r="D34" s="214" t="s">
        <v>19</v>
      </c>
      <c r="E34" s="13"/>
      <c r="F34" s="17"/>
      <c r="G34" s="18">
        <f t="shared" si="0"/>
        <v>438</v>
      </c>
      <c r="H34" s="28" t="s">
        <v>91</v>
      </c>
      <c r="I34" s="28"/>
      <c r="J34" s="28"/>
      <c r="K34" s="7" t="s">
        <v>90</v>
      </c>
    </row>
    <row r="35" spans="1:18" ht="17.25" customHeight="1" x14ac:dyDescent="0.25">
      <c r="A35" s="14">
        <f t="shared" si="1"/>
        <v>26</v>
      </c>
      <c r="B35" s="44"/>
      <c r="C35" s="46"/>
      <c r="D35" s="214" t="s">
        <v>19</v>
      </c>
      <c r="E35" s="13"/>
      <c r="F35" s="17"/>
      <c r="G35" s="18">
        <f t="shared" si="0"/>
        <v>438</v>
      </c>
      <c r="H35" s="28" t="s">
        <v>91</v>
      </c>
      <c r="I35" s="28"/>
      <c r="J35" s="28"/>
      <c r="K35" s="7" t="s">
        <v>90</v>
      </c>
      <c r="R35">
        <f>1081-200</f>
        <v>881</v>
      </c>
    </row>
    <row r="36" spans="1:18" ht="18" customHeight="1" x14ac:dyDescent="0.25">
      <c r="A36" s="14">
        <f t="shared" si="1"/>
        <v>27</v>
      </c>
      <c r="B36" s="8"/>
      <c r="C36" s="46"/>
      <c r="D36" s="214" t="s">
        <v>19</v>
      </c>
      <c r="E36" s="32"/>
      <c r="F36" s="40"/>
      <c r="G36" s="18">
        <f t="shared" si="0"/>
        <v>438</v>
      </c>
      <c r="H36" s="28" t="s">
        <v>91</v>
      </c>
      <c r="I36" s="28"/>
      <c r="J36" s="28"/>
      <c r="K36" s="7" t="s">
        <v>90</v>
      </c>
      <c r="R36">
        <f>+N23*R35</f>
        <v>0</v>
      </c>
    </row>
    <row r="37" spans="1:18" ht="18" customHeight="1" x14ac:dyDescent="0.25">
      <c r="A37" s="14">
        <f t="shared" si="1"/>
        <v>28</v>
      </c>
      <c r="B37" s="45"/>
      <c r="C37" s="46"/>
      <c r="D37" s="214" t="s">
        <v>19</v>
      </c>
      <c r="E37" s="32"/>
      <c r="F37" s="40"/>
      <c r="G37" s="18">
        <f t="shared" si="0"/>
        <v>438</v>
      </c>
      <c r="H37" s="178"/>
      <c r="I37" s="178"/>
      <c r="J37" s="178"/>
      <c r="K37" s="7"/>
    </row>
    <row r="38" spans="1:18" ht="18" customHeight="1" x14ac:dyDescent="0.25">
      <c r="A38" s="14">
        <f t="shared" si="1"/>
        <v>29</v>
      </c>
      <c r="B38" s="8"/>
      <c r="C38" s="46"/>
      <c r="D38" s="214" t="s">
        <v>19</v>
      </c>
      <c r="E38" s="32"/>
      <c r="F38" s="40"/>
      <c r="G38" s="18">
        <f t="shared" si="0"/>
        <v>438</v>
      </c>
      <c r="H38" s="178"/>
      <c r="I38" s="178"/>
      <c r="J38" s="178"/>
      <c r="K38" s="7"/>
    </row>
    <row r="39" spans="1:18" ht="18" customHeight="1" x14ac:dyDescent="0.25">
      <c r="A39" s="14">
        <f t="shared" si="1"/>
        <v>30</v>
      </c>
      <c r="B39" s="8"/>
      <c r="C39" s="46"/>
      <c r="D39" s="214" t="s">
        <v>19</v>
      </c>
      <c r="E39" s="32"/>
      <c r="F39" s="17"/>
      <c r="G39" s="18">
        <f t="shared" si="0"/>
        <v>438</v>
      </c>
      <c r="H39" s="178"/>
      <c r="I39" s="178"/>
      <c r="J39" s="178"/>
      <c r="K39" s="7"/>
      <c r="M39">
        <f>911-338</f>
        <v>573</v>
      </c>
      <c r="O39">
        <f>300*87</f>
        <v>26100</v>
      </c>
      <c r="R39">
        <f>1081-891</f>
        <v>190</v>
      </c>
    </row>
    <row r="40" spans="1:18" ht="18" customHeight="1" x14ac:dyDescent="0.25">
      <c r="A40" s="14">
        <f t="shared" si="1"/>
        <v>31</v>
      </c>
      <c r="B40" s="8"/>
      <c r="C40" s="46"/>
      <c r="D40" s="214" t="s">
        <v>19</v>
      </c>
      <c r="E40" s="32"/>
      <c r="F40" s="17"/>
      <c r="G40" s="18">
        <f t="shared" si="0"/>
        <v>438</v>
      </c>
      <c r="H40" s="178"/>
      <c r="I40" s="385">
        <f>17*0.88</f>
        <v>14.96</v>
      </c>
      <c r="J40" s="178"/>
      <c r="K40" s="7"/>
      <c r="M40">
        <f>+M39-314</f>
        <v>259</v>
      </c>
      <c r="O40">
        <f>+O39/2850</f>
        <v>9.1578947368421044</v>
      </c>
    </row>
    <row r="41" spans="1:18" ht="18" customHeight="1" x14ac:dyDescent="0.25">
      <c r="A41" s="14">
        <f t="shared" si="1"/>
        <v>32</v>
      </c>
      <c r="B41" s="8"/>
      <c r="C41" s="46"/>
      <c r="D41" s="214" t="s">
        <v>19</v>
      </c>
      <c r="E41" s="32"/>
      <c r="F41" s="17"/>
      <c r="G41" s="18">
        <f t="shared" si="0"/>
        <v>438</v>
      </c>
      <c r="H41" s="178"/>
      <c r="I41" s="178">
        <f>20*0.88</f>
        <v>17.600000000000001</v>
      </c>
      <c r="J41" s="178"/>
      <c r="K41" s="7"/>
    </row>
    <row r="42" spans="1:18" ht="18" customHeight="1" x14ac:dyDescent="0.25">
      <c r="A42" s="14">
        <f t="shared" si="1"/>
        <v>33</v>
      </c>
      <c r="B42" s="8"/>
      <c r="C42" s="46"/>
      <c r="D42" s="214" t="s">
        <v>19</v>
      </c>
      <c r="E42" s="32"/>
      <c r="F42" s="17"/>
      <c r="G42" s="18">
        <f t="shared" si="0"/>
        <v>438</v>
      </c>
      <c r="H42" s="178"/>
      <c r="I42" s="178">
        <f>56*0.88</f>
        <v>49.28</v>
      </c>
      <c r="J42" s="178"/>
      <c r="K42" s="7"/>
    </row>
    <row r="43" spans="1:18" ht="18" customHeight="1" x14ac:dyDescent="0.25">
      <c r="A43" s="14">
        <f t="shared" si="1"/>
        <v>34</v>
      </c>
      <c r="B43" s="8"/>
      <c r="C43" s="46"/>
      <c r="D43" s="214" t="s">
        <v>19</v>
      </c>
      <c r="E43" s="32"/>
      <c r="F43" s="172"/>
      <c r="G43" s="18">
        <f t="shared" si="0"/>
        <v>438</v>
      </c>
      <c r="H43" s="178"/>
      <c r="I43" s="178">
        <f>54*0.88</f>
        <v>47.52</v>
      </c>
      <c r="J43" s="178"/>
      <c r="K43" s="7"/>
      <c r="R43" s="162"/>
    </row>
    <row r="44" spans="1:18" ht="18" customHeight="1" x14ac:dyDescent="0.25">
      <c r="A44" s="14">
        <f t="shared" si="1"/>
        <v>35</v>
      </c>
      <c r="B44" s="8"/>
      <c r="C44" s="46"/>
      <c r="D44" s="214" t="s">
        <v>19</v>
      </c>
      <c r="E44" s="32"/>
      <c r="F44" s="17"/>
      <c r="G44" s="18">
        <f t="shared" si="0"/>
        <v>438</v>
      </c>
      <c r="H44" s="178"/>
      <c r="I44" s="178">
        <f>7*0.88</f>
        <v>6.16</v>
      </c>
      <c r="J44" s="178"/>
      <c r="K44" s="7"/>
    </row>
    <row r="45" spans="1:18" ht="18" customHeight="1" x14ac:dyDescent="0.25">
      <c r="A45" s="14">
        <f t="shared" si="1"/>
        <v>36</v>
      </c>
      <c r="B45" s="8"/>
      <c r="C45" s="46"/>
      <c r="D45" s="214" t="s">
        <v>19</v>
      </c>
      <c r="E45" s="32"/>
      <c r="F45" s="17"/>
      <c r="G45" s="18">
        <f t="shared" si="0"/>
        <v>438</v>
      </c>
      <c r="H45" s="178"/>
      <c r="I45" s="178">
        <f>23*0.88</f>
        <v>20.239999999999998</v>
      </c>
      <c r="J45" s="178"/>
      <c r="K45" s="7"/>
    </row>
    <row r="46" spans="1:18" ht="18" customHeight="1" x14ac:dyDescent="0.25">
      <c r="A46" s="14">
        <f t="shared" si="1"/>
        <v>37</v>
      </c>
      <c r="B46" s="8"/>
      <c r="C46" s="46"/>
      <c r="D46" s="214" t="s">
        <v>19</v>
      </c>
      <c r="E46" s="32"/>
      <c r="F46" s="17"/>
      <c r="G46" s="18">
        <f t="shared" si="0"/>
        <v>438</v>
      </c>
      <c r="H46" s="178"/>
      <c r="I46" s="178">
        <f>+F46*0.88</f>
        <v>0</v>
      </c>
      <c r="J46" s="178"/>
      <c r="K46" s="7"/>
      <c r="N46">
        <f>61*20</f>
        <v>1220</v>
      </c>
    </row>
    <row r="47" spans="1:18" ht="18" customHeight="1" x14ac:dyDescent="0.25">
      <c r="A47" s="14">
        <f t="shared" si="1"/>
        <v>38</v>
      </c>
      <c r="B47" s="8"/>
      <c r="C47" s="46"/>
      <c r="D47" s="214" t="s">
        <v>19</v>
      </c>
      <c r="E47" s="32"/>
      <c r="F47" s="17"/>
      <c r="G47" s="18">
        <f t="shared" si="0"/>
        <v>438</v>
      </c>
      <c r="H47" s="178"/>
      <c r="I47" s="178"/>
      <c r="J47" s="178"/>
      <c r="K47" s="29"/>
      <c r="N47">
        <f>+N46*87</f>
        <v>106140</v>
      </c>
    </row>
    <row r="48" spans="1:18" ht="18" customHeight="1" x14ac:dyDescent="0.25">
      <c r="A48" s="14">
        <f t="shared" si="1"/>
        <v>39</v>
      </c>
      <c r="B48" s="8"/>
      <c r="C48" s="46"/>
      <c r="D48" s="214" t="s">
        <v>19</v>
      </c>
      <c r="E48" s="32"/>
      <c r="F48" s="17"/>
      <c r="G48" s="18">
        <f t="shared" si="0"/>
        <v>438</v>
      </c>
      <c r="H48" s="178"/>
      <c r="I48" s="178"/>
      <c r="J48" s="178"/>
      <c r="K48" s="29"/>
      <c r="N48">
        <f>+N47/2850</f>
        <v>37.242105263157896</v>
      </c>
    </row>
    <row r="49" spans="1:18" ht="18" customHeight="1" x14ac:dyDescent="0.25">
      <c r="A49" s="14">
        <f t="shared" si="1"/>
        <v>40</v>
      </c>
      <c r="B49" s="8"/>
      <c r="C49" s="46"/>
      <c r="D49" s="214" t="s">
        <v>19</v>
      </c>
      <c r="E49" s="32"/>
      <c r="F49" s="17"/>
      <c r="G49" s="18">
        <f t="shared" si="0"/>
        <v>438</v>
      </c>
      <c r="H49" s="178"/>
      <c r="I49" s="178"/>
      <c r="J49" s="178"/>
      <c r="K49" s="29"/>
    </row>
    <row r="50" spans="1:18" ht="18" customHeight="1" x14ac:dyDescent="0.25">
      <c r="A50" s="14">
        <f t="shared" si="1"/>
        <v>41</v>
      </c>
      <c r="B50" s="8"/>
      <c r="C50" s="46"/>
      <c r="D50" s="214" t="s">
        <v>19</v>
      </c>
      <c r="E50" s="32"/>
      <c r="F50" s="17"/>
      <c r="G50" s="18">
        <f t="shared" si="0"/>
        <v>438</v>
      </c>
      <c r="H50" s="178"/>
      <c r="I50" s="178"/>
      <c r="J50" s="178"/>
      <c r="K50" s="29"/>
    </row>
    <row r="51" spans="1:18" ht="18" customHeight="1" x14ac:dyDescent="0.25">
      <c r="A51" s="14">
        <f t="shared" si="1"/>
        <v>42</v>
      </c>
      <c r="B51" s="8"/>
      <c r="C51" s="46"/>
      <c r="D51" s="214" t="s">
        <v>19</v>
      </c>
      <c r="E51" s="32"/>
      <c r="F51" s="17"/>
      <c r="G51" s="18">
        <f t="shared" si="0"/>
        <v>438</v>
      </c>
      <c r="H51" s="178"/>
      <c r="I51" s="178"/>
      <c r="J51" s="178"/>
      <c r="K51" s="7"/>
    </row>
    <row r="52" spans="1:18" s="162" customFormat="1" ht="18" customHeight="1" x14ac:dyDescent="0.25">
      <c r="A52" s="14">
        <f t="shared" si="1"/>
        <v>43</v>
      </c>
      <c r="B52" s="174"/>
      <c r="C52" s="236"/>
      <c r="D52" s="237" t="s">
        <v>19</v>
      </c>
      <c r="E52" s="175"/>
      <c r="F52" s="172"/>
      <c r="G52" s="18">
        <f t="shared" si="0"/>
        <v>438</v>
      </c>
      <c r="H52" s="178"/>
      <c r="I52" s="178"/>
      <c r="J52" s="178"/>
      <c r="K52" s="7"/>
      <c r="R52"/>
    </row>
    <row r="53" spans="1:18" ht="18" customHeight="1" x14ac:dyDescent="0.25">
      <c r="A53" s="14">
        <f t="shared" si="1"/>
        <v>44</v>
      </c>
      <c r="B53" s="8"/>
      <c r="C53" s="46"/>
      <c r="D53" s="214" t="s">
        <v>19</v>
      </c>
      <c r="E53" s="32"/>
      <c r="F53" s="17"/>
      <c r="G53" s="18">
        <f t="shared" si="0"/>
        <v>438</v>
      </c>
      <c r="H53" s="239"/>
      <c r="I53" s="239"/>
      <c r="J53" s="239"/>
      <c r="K53" s="7"/>
    </row>
    <row r="54" spans="1:18" ht="18" customHeight="1" x14ac:dyDescent="0.25">
      <c r="A54" s="14">
        <f t="shared" si="1"/>
        <v>45</v>
      </c>
      <c r="B54" s="8"/>
      <c r="C54" s="46"/>
      <c r="D54" s="214" t="s">
        <v>19</v>
      </c>
      <c r="E54" s="32"/>
      <c r="F54" s="17"/>
      <c r="G54" s="18">
        <f t="shared" si="0"/>
        <v>438</v>
      </c>
      <c r="H54" s="239"/>
      <c r="I54" s="239"/>
      <c r="J54" s="239"/>
      <c r="K54" s="7"/>
      <c r="N54">
        <f>180*89</f>
        <v>16020</v>
      </c>
    </row>
    <row r="55" spans="1:18" ht="18" customHeight="1" x14ac:dyDescent="0.25">
      <c r="A55" s="14">
        <f t="shared" si="1"/>
        <v>46</v>
      </c>
      <c r="B55" s="8"/>
      <c r="C55" s="46"/>
      <c r="D55" s="214" t="s">
        <v>19</v>
      </c>
      <c r="E55" s="32"/>
      <c r="F55" s="17"/>
      <c r="G55" s="18">
        <f t="shared" si="0"/>
        <v>438</v>
      </c>
      <c r="H55" s="239"/>
      <c r="I55" s="239"/>
      <c r="J55" s="239"/>
      <c r="K55" s="7"/>
      <c r="N55">
        <f>+N54/2870</f>
        <v>5.5818815331010452</v>
      </c>
    </row>
    <row r="56" spans="1:18" ht="18" customHeight="1" x14ac:dyDescent="0.25">
      <c r="A56" s="14">
        <f t="shared" si="1"/>
        <v>47</v>
      </c>
      <c r="B56" s="8"/>
      <c r="C56" s="46"/>
      <c r="D56" s="214" t="s">
        <v>19</v>
      </c>
      <c r="E56" s="32"/>
      <c r="F56" s="17"/>
      <c r="G56" s="18">
        <f t="shared" si="0"/>
        <v>438</v>
      </c>
      <c r="H56" s="28"/>
      <c r="I56" s="28"/>
      <c r="J56" s="28"/>
      <c r="K56" s="7"/>
    </row>
    <row r="57" spans="1:18" ht="18" customHeight="1" x14ac:dyDescent="0.25">
      <c r="A57" s="14">
        <f t="shared" si="1"/>
        <v>48</v>
      </c>
      <c r="B57" s="8"/>
      <c r="C57" s="46"/>
      <c r="D57" s="214" t="s">
        <v>19</v>
      </c>
      <c r="E57" s="32"/>
      <c r="F57" s="17"/>
      <c r="G57" s="18">
        <f t="shared" si="0"/>
        <v>438</v>
      </c>
      <c r="H57" s="240"/>
      <c r="I57" s="240"/>
      <c r="J57" s="240"/>
      <c r="K57" s="7"/>
    </row>
    <row r="58" spans="1:18" ht="18" customHeight="1" x14ac:dyDescent="0.25">
      <c r="A58" s="14">
        <f t="shared" si="1"/>
        <v>49</v>
      </c>
      <c r="B58" s="8"/>
      <c r="C58" s="46"/>
      <c r="D58" s="214" t="s">
        <v>19</v>
      </c>
      <c r="E58" s="32"/>
      <c r="F58" s="17"/>
      <c r="G58" s="18">
        <f t="shared" si="0"/>
        <v>438</v>
      </c>
      <c r="H58" s="240"/>
      <c r="I58" s="240"/>
      <c r="J58" s="240"/>
      <c r="K58" s="7"/>
      <c r="N58">
        <f>13*12*144</f>
        <v>22464</v>
      </c>
    </row>
    <row r="59" spans="1:18" ht="18" customHeight="1" x14ac:dyDescent="0.25">
      <c r="A59" s="14">
        <f t="shared" si="1"/>
        <v>50</v>
      </c>
      <c r="B59" s="8"/>
      <c r="C59" s="46"/>
      <c r="D59" s="214" t="s">
        <v>19</v>
      </c>
      <c r="E59" s="32"/>
      <c r="F59" s="17"/>
      <c r="G59" s="18">
        <f t="shared" si="0"/>
        <v>438</v>
      </c>
      <c r="H59" s="240"/>
      <c r="I59" s="240"/>
      <c r="J59" s="240"/>
      <c r="K59" s="7" t="s">
        <v>14</v>
      </c>
      <c r="N59">
        <f>+N58/2870</f>
        <v>7.8271777003484324</v>
      </c>
    </row>
    <row r="60" spans="1:18" ht="18" customHeight="1" x14ac:dyDescent="0.25">
      <c r="A60" s="14">
        <f t="shared" si="1"/>
        <v>51</v>
      </c>
      <c r="B60" s="8"/>
      <c r="C60" s="46"/>
      <c r="D60" s="214" t="s">
        <v>19</v>
      </c>
      <c r="E60" s="32"/>
      <c r="F60" s="17"/>
      <c r="G60" s="18">
        <f t="shared" si="0"/>
        <v>438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1"/>
        <v>52</v>
      </c>
      <c r="B61" s="8"/>
      <c r="C61" s="46"/>
      <c r="D61" s="214" t="s">
        <v>19</v>
      </c>
      <c r="E61" s="32"/>
      <c r="F61" s="17"/>
      <c r="G61" s="18">
        <f t="shared" si="0"/>
        <v>438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1"/>
        <v>53</v>
      </c>
      <c r="B62" s="8"/>
      <c r="C62" s="46"/>
      <c r="D62" s="214" t="s">
        <v>19</v>
      </c>
      <c r="E62" s="32"/>
      <c r="F62" s="17"/>
      <c r="G62" s="18">
        <f t="shared" si="0"/>
        <v>438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1"/>
        <v>54</v>
      </c>
      <c r="B63" s="8"/>
      <c r="C63" s="46"/>
      <c r="D63" s="214" t="s">
        <v>19</v>
      </c>
      <c r="E63" s="32"/>
      <c r="F63" s="17"/>
      <c r="G63" s="18">
        <f t="shared" si="0"/>
        <v>438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1"/>
        <v>55</v>
      </c>
      <c r="B64" s="8"/>
      <c r="C64" s="46"/>
      <c r="D64" s="214" t="s">
        <v>19</v>
      </c>
      <c r="E64" s="32"/>
      <c r="F64" s="17"/>
      <c r="G64" s="18">
        <f t="shared" si="0"/>
        <v>438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1"/>
        <v>56</v>
      </c>
      <c r="B65" s="8"/>
      <c r="C65" s="46"/>
      <c r="D65" s="214" t="s">
        <v>19</v>
      </c>
      <c r="E65" s="32"/>
      <c r="F65" s="17"/>
      <c r="G65" s="18">
        <f t="shared" si="0"/>
        <v>438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1"/>
        <v>57</v>
      </c>
      <c r="B66" s="8"/>
      <c r="C66" s="46"/>
      <c r="D66" s="214" t="s">
        <v>19</v>
      </c>
      <c r="E66" s="32"/>
      <c r="F66" s="17"/>
      <c r="G66" s="18">
        <f t="shared" si="0"/>
        <v>438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1"/>
        <v>58</v>
      </c>
      <c r="B67" s="8"/>
      <c r="C67" s="46"/>
      <c r="D67" s="214" t="s">
        <v>19</v>
      </c>
      <c r="E67" s="32"/>
      <c r="F67" s="17"/>
      <c r="G67" s="18">
        <f t="shared" si="0"/>
        <v>438</v>
      </c>
      <c r="H67" s="240"/>
      <c r="I67" s="240"/>
      <c r="J67" s="240"/>
      <c r="K67" s="7" t="s">
        <v>14</v>
      </c>
      <c r="L67" s="26"/>
    </row>
    <row r="68" spans="1:12" ht="18" customHeight="1" x14ac:dyDescent="0.25">
      <c r="A68" s="14">
        <f t="shared" si="1"/>
        <v>59</v>
      </c>
      <c r="B68" s="8"/>
      <c r="C68" s="46"/>
      <c r="D68" s="214" t="s">
        <v>19</v>
      </c>
      <c r="E68" s="32"/>
      <c r="F68" s="17"/>
      <c r="G68" s="18">
        <f t="shared" si="0"/>
        <v>438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1"/>
        <v>60</v>
      </c>
      <c r="B69" s="8"/>
      <c r="C69" s="46"/>
      <c r="D69" s="214" t="s">
        <v>19</v>
      </c>
      <c r="E69" s="32"/>
      <c r="F69" s="17"/>
      <c r="G69" s="18">
        <f t="shared" si="0"/>
        <v>438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1"/>
        <v>61</v>
      </c>
      <c r="B70" s="8"/>
      <c r="C70" s="46"/>
      <c r="D70" s="214" t="s">
        <v>19</v>
      </c>
      <c r="E70" s="32"/>
      <c r="F70" s="17"/>
      <c r="G70" s="18">
        <f t="shared" si="0"/>
        <v>438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1"/>
        <v>62</v>
      </c>
      <c r="B71" s="8"/>
      <c r="C71" s="46"/>
      <c r="D71" s="214" t="s">
        <v>19</v>
      </c>
      <c r="E71" s="32"/>
      <c r="F71" s="17"/>
      <c r="G71" s="18">
        <f t="shared" si="0"/>
        <v>438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1"/>
        <v>63</v>
      </c>
      <c r="B72" s="8"/>
      <c r="C72" s="46"/>
      <c r="D72" s="214" t="s">
        <v>19</v>
      </c>
      <c r="E72" s="32"/>
      <c r="F72" s="17"/>
      <c r="G72" s="18">
        <f t="shared" si="0"/>
        <v>438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1"/>
        <v>64</v>
      </c>
      <c r="B73" s="8"/>
      <c r="C73" s="46"/>
      <c r="D73" s="214" t="s">
        <v>19</v>
      </c>
      <c r="E73" s="32"/>
      <c r="F73" s="17"/>
      <c r="G73" s="18">
        <f t="shared" si="0"/>
        <v>438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si="1"/>
        <v>65</v>
      </c>
      <c r="B74" s="8"/>
      <c r="C74" s="46"/>
      <c r="D74" s="214" t="s">
        <v>19</v>
      </c>
      <c r="E74" s="32"/>
      <c r="F74" s="17"/>
      <c r="G74" s="18">
        <f t="shared" ref="G74:G109" si="3">+G73+E74-F74</f>
        <v>438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1"/>
        <v>66</v>
      </c>
      <c r="B75" s="8"/>
      <c r="C75" s="46"/>
      <c r="D75" s="214" t="s">
        <v>19</v>
      </c>
      <c r="E75" s="32"/>
      <c r="F75" s="17"/>
      <c r="G75" s="18">
        <f t="shared" si="3"/>
        <v>438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ref="A76:A109" si="4">+A75+1</f>
        <v>67</v>
      </c>
      <c r="B76" s="8"/>
      <c r="C76" s="46"/>
      <c r="D76" s="214" t="s">
        <v>19</v>
      </c>
      <c r="E76" s="32"/>
      <c r="F76" s="17"/>
      <c r="G76" s="18">
        <f t="shared" si="3"/>
        <v>438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4"/>
        <v>68</v>
      </c>
      <c r="B77" s="8"/>
      <c r="C77" s="46"/>
      <c r="D77" s="214" t="s">
        <v>19</v>
      </c>
      <c r="E77" s="32"/>
      <c r="F77" s="17"/>
      <c r="G77" s="18">
        <f t="shared" si="3"/>
        <v>438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4"/>
        <v>69</v>
      </c>
      <c r="B78" s="8"/>
      <c r="C78" s="46"/>
      <c r="D78" s="214" t="s">
        <v>19</v>
      </c>
      <c r="E78" s="32"/>
      <c r="F78" s="17"/>
      <c r="G78" s="18">
        <f t="shared" si="3"/>
        <v>438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4"/>
        <v>70</v>
      </c>
      <c r="B79" s="8"/>
      <c r="C79" s="46"/>
      <c r="D79" s="214" t="s">
        <v>19</v>
      </c>
      <c r="E79" s="32"/>
      <c r="F79" s="17"/>
      <c r="G79" s="18">
        <f t="shared" si="3"/>
        <v>438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4"/>
        <v>71</v>
      </c>
      <c r="B80" s="8"/>
      <c r="C80" s="46"/>
      <c r="D80" s="214" t="s">
        <v>19</v>
      </c>
      <c r="E80" s="32"/>
      <c r="F80" s="17"/>
      <c r="G80" s="18">
        <f t="shared" si="3"/>
        <v>438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4"/>
        <v>72</v>
      </c>
      <c r="B81" s="8"/>
      <c r="C81" s="46"/>
      <c r="D81" s="214" t="s">
        <v>19</v>
      </c>
      <c r="E81" s="32"/>
      <c r="F81" s="17"/>
      <c r="G81" s="18">
        <f t="shared" si="3"/>
        <v>438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4"/>
        <v>73</v>
      </c>
      <c r="B82" s="8"/>
      <c r="C82" s="46"/>
      <c r="D82" s="214" t="s">
        <v>19</v>
      </c>
      <c r="E82" s="32"/>
      <c r="F82" s="17"/>
      <c r="G82" s="18">
        <f t="shared" si="3"/>
        <v>438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4"/>
        <v>74</v>
      </c>
      <c r="B83" s="8"/>
      <c r="C83" s="46"/>
      <c r="D83" s="214" t="s">
        <v>19</v>
      </c>
      <c r="E83" s="32"/>
      <c r="F83" s="17"/>
      <c r="G83" s="18">
        <f t="shared" si="3"/>
        <v>438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4"/>
        <v>75</v>
      </c>
      <c r="B84" s="8"/>
      <c r="C84" s="46"/>
      <c r="D84" s="214" t="s">
        <v>19</v>
      </c>
      <c r="E84" s="32"/>
      <c r="F84" s="17"/>
      <c r="G84" s="18">
        <f t="shared" si="3"/>
        <v>438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4"/>
        <v>76</v>
      </c>
      <c r="B85" s="8"/>
      <c r="C85" s="46"/>
      <c r="D85" s="214" t="s">
        <v>19</v>
      </c>
      <c r="E85" s="32"/>
      <c r="F85" s="27"/>
      <c r="G85" s="18">
        <f t="shared" si="3"/>
        <v>438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4"/>
        <v>77</v>
      </c>
      <c r="B86" s="8"/>
      <c r="C86" s="46"/>
      <c r="D86" s="214" t="s">
        <v>19</v>
      </c>
      <c r="E86" s="32"/>
      <c r="F86" s="17"/>
      <c r="G86" s="18">
        <f t="shared" si="3"/>
        <v>438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4"/>
        <v>78</v>
      </c>
      <c r="B87" s="8"/>
      <c r="C87" s="46"/>
      <c r="D87" s="214" t="s">
        <v>19</v>
      </c>
      <c r="E87" s="32"/>
      <c r="F87" s="17"/>
      <c r="G87" s="18">
        <f t="shared" si="3"/>
        <v>438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4"/>
        <v>79</v>
      </c>
      <c r="B88" s="8"/>
      <c r="C88" s="46"/>
      <c r="D88" s="214" t="s">
        <v>19</v>
      </c>
      <c r="E88" s="32"/>
      <c r="F88" s="17"/>
      <c r="G88" s="18">
        <f t="shared" si="3"/>
        <v>438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4"/>
        <v>80</v>
      </c>
      <c r="B89" s="8"/>
      <c r="C89" s="46"/>
      <c r="D89" s="214" t="s">
        <v>19</v>
      </c>
      <c r="E89" s="32"/>
      <c r="F89" s="17"/>
      <c r="G89" s="18">
        <f t="shared" si="3"/>
        <v>438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4"/>
        <v>81</v>
      </c>
      <c r="B90" s="8"/>
      <c r="C90" s="46"/>
      <c r="D90" s="214" t="s">
        <v>19</v>
      </c>
      <c r="E90" s="32"/>
      <c r="F90" s="17"/>
      <c r="G90" s="18">
        <f t="shared" si="3"/>
        <v>438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4"/>
        <v>82</v>
      </c>
      <c r="B91" s="8"/>
      <c r="C91" s="46"/>
      <c r="D91" s="214" t="s">
        <v>19</v>
      </c>
      <c r="E91" s="32"/>
      <c r="F91" s="17"/>
      <c r="G91" s="18">
        <f t="shared" si="3"/>
        <v>438</v>
      </c>
      <c r="H91" s="240"/>
      <c r="I91" s="240"/>
      <c r="J91" s="240"/>
      <c r="K91" s="7" t="s">
        <v>14</v>
      </c>
    </row>
    <row r="92" spans="1:19" ht="18" customHeight="1" x14ac:dyDescent="0.25">
      <c r="A92" s="14">
        <f t="shared" si="4"/>
        <v>83</v>
      </c>
      <c r="B92" s="8"/>
      <c r="C92" s="46"/>
      <c r="D92" s="214" t="s">
        <v>19</v>
      </c>
      <c r="E92" s="32"/>
      <c r="F92" s="17"/>
      <c r="G92" s="18">
        <f t="shared" si="3"/>
        <v>438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4"/>
        <v>84</v>
      </c>
      <c r="B93" s="8"/>
      <c r="C93" s="46"/>
      <c r="D93" s="214" t="s">
        <v>19</v>
      </c>
      <c r="E93" s="32"/>
      <c r="F93" s="27"/>
      <c r="G93" s="18">
        <f t="shared" si="3"/>
        <v>438</v>
      </c>
      <c r="H93" s="240"/>
      <c r="I93" s="240"/>
      <c r="J93" s="240"/>
      <c r="K93" s="7" t="s">
        <v>14</v>
      </c>
      <c r="N93" s="199"/>
      <c r="S93" s="199"/>
    </row>
    <row r="94" spans="1:19" ht="18" customHeight="1" x14ac:dyDescent="0.25">
      <c r="A94" s="14">
        <f t="shared" si="4"/>
        <v>85</v>
      </c>
      <c r="B94" s="8"/>
      <c r="C94" s="46"/>
      <c r="D94" s="214" t="s">
        <v>19</v>
      </c>
      <c r="E94" s="32"/>
      <c r="F94" s="27"/>
      <c r="G94" s="18">
        <f t="shared" si="3"/>
        <v>438</v>
      </c>
      <c r="H94" s="240"/>
      <c r="I94" s="240"/>
      <c r="J94" s="240"/>
      <c r="K94" s="7" t="s">
        <v>14</v>
      </c>
      <c r="N94" s="199"/>
      <c r="S94" s="199"/>
    </row>
    <row r="95" spans="1:19" s="179" customFormat="1" ht="18" customHeight="1" x14ac:dyDescent="0.25">
      <c r="A95" s="14">
        <f t="shared" si="4"/>
        <v>86</v>
      </c>
      <c r="B95" s="242"/>
      <c r="C95" s="243"/>
      <c r="D95" s="244" t="s">
        <v>19</v>
      </c>
      <c r="E95" s="245"/>
      <c r="F95" s="52"/>
      <c r="G95" s="18">
        <f t="shared" si="3"/>
        <v>438</v>
      </c>
      <c r="H95" s="240"/>
      <c r="I95" s="240"/>
      <c r="J95" s="240"/>
      <c r="K95" s="247" t="s">
        <v>14</v>
      </c>
      <c r="L95" s="179" t="s">
        <v>43</v>
      </c>
      <c r="N95" s="248"/>
      <c r="S95" s="248"/>
    </row>
    <row r="96" spans="1:19" s="179" customFormat="1" ht="18" customHeight="1" x14ac:dyDescent="0.25">
      <c r="A96" s="14">
        <f t="shared" si="4"/>
        <v>87</v>
      </c>
      <c r="B96" s="242"/>
      <c r="C96" s="243"/>
      <c r="D96" s="244" t="s">
        <v>19</v>
      </c>
      <c r="E96" s="245"/>
      <c r="F96" s="52"/>
      <c r="G96" s="18">
        <f t="shared" si="3"/>
        <v>438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4"/>
        <v>88</v>
      </c>
      <c r="B97" s="242"/>
      <c r="C97" s="243"/>
      <c r="D97" s="244" t="s">
        <v>19</v>
      </c>
      <c r="E97" s="245"/>
      <c r="F97" s="52"/>
      <c r="G97" s="18">
        <f t="shared" si="3"/>
        <v>438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4"/>
        <v>89</v>
      </c>
      <c r="B98" s="242"/>
      <c r="C98" s="243"/>
      <c r="D98" s="244" t="s">
        <v>19</v>
      </c>
      <c r="E98" s="245"/>
      <c r="F98" s="52"/>
      <c r="G98" s="18">
        <f t="shared" si="3"/>
        <v>438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4"/>
        <v>90</v>
      </c>
      <c r="B99" s="242"/>
      <c r="C99" s="243"/>
      <c r="D99" s="244" t="s">
        <v>19</v>
      </c>
      <c r="E99" s="245"/>
      <c r="F99" s="52"/>
      <c r="G99" s="18">
        <f t="shared" si="3"/>
        <v>438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4"/>
        <v>91</v>
      </c>
      <c r="B100" s="242"/>
      <c r="C100" s="243"/>
      <c r="D100" s="244" t="s">
        <v>19</v>
      </c>
      <c r="E100" s="245"/>
      <c r="F100" s="52"/>
      <c r="G100" s="18">
        <f t="shared" si="3"/>
        <v>438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4"/>
        <v>92</v>
      </c>
      <c r="B101" s="242"/>
      <c r="C101" s="243"/>
      <c r="D101" s="244" t="s">
        <v>19</v>
      </c>
      <c r="E101" s="245"/>
      <c r="F101" s="52"/>
      <c r="G101" s="18">
        <f t="shared" si="3"/>
        <v>438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4"/>
        <v>93</v>
      </c>
      <c r="B102" s="242"/>
      <c r="C102" s="243"/>
      <c r="D102" s="244" t="s">
        <v>19</v>
      </c>
      <c r="E102" s="245"/>
      <c r="F102" s="52"/>
      <c r="G102" s="18">
        <f t="shared" si="3"/>
        <v>438</v>
      </c>
      <c r="H102" s="240"/>
      <c r="I102" s="240"/>
      <c r="J102" s="240"/>
      <c r="K102" s="247" t="s">
        <v>14</v>
      </c>
      <c r="N102" s="248"/>
      <c r="S102" s="248"/>
    </row>
    <row r="103" spans="1:19" s="179" customFormat="1" ht="18" customHeight="1" x14ac:dyDescent="0.25">
      <c r="A103" s="14">
        <f t="shared" si="4"/>
        <v>94</v>
      </c>
      <c r="B103" s="242"/>
      <c r="C103" s="243"/>
      <c r="D103" s="244"/>
      <c r="E103" s="245"/>
      <c r="F103" s="52"/>
      <c r="G103" s="18">
        <f t="shared" si="3"/>
        <v>438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4"/>
        <v>95</v>
      </c>
      <c r="B104" s="242"/>
      <c r="C104" s="243"/>
      <c r="D104" s="244"/>
      <c r="E104" s="245"/>
      <c r="F104" s="52"/>
      <c r="G104" s="18">
        <f t="shared" si="3"/>
        <v>438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4"/>
        <v>96</v>
      </c>
      <c r="B105" s="242"/>
      <c r="C105" s="243"/>
      <c r="D105" s="244"/>
      <c r="E105" s="245"/>
      <c r="F105" s="52"/>
      <c r="G105" s="18">
        <f t="shared" si="3"/>
        <v>438</v>
      </c>
      <c r="H105" s="240"/>
      <c r="I105" s="240"/>
      <c r="J105" s="240"/>
      <c r="K105" s="247"/>
      <c r="N105" s="248"/>
      <c r="S105" s="248"/>
    </row>
    <row r="106" spans="1:19" s="179" customFormat="1" ht="18" customHeight="1" x14ac:dyDescent="0.25">
      <c r="A106" s="14">
        <f t="shared" si="4"/>
        <v>97</v>
      </c>
      <c r="B106" s="242"/>
      <c r="C106" s="243"/>
      <c r="D106" s="244"/>
      <c r="E106" s="245"/>
      <c r="F106" s="52"/>
      <c r="G106" s="18">
        <f t="shared" si="3"/>
        <v>438</v>
      </c>
      <c r="H106" s="240"/>
      <c r="I106" s="240"/>
      <c r="J106" s="240"/>
      <c r="K106" s="247"/>
      <c r="N106" s="248"/>
      <c r="S106" s="248"/>
    </row>
    <row r="107" spans="1:19" ht="18" customHeight="1" x14ac:dyDescent="0.25">
      <c r="A107" s="14">
        <f t="shared" si="4"/>
        <v>98</v>
      </c>
      <c r="B107" s="8"/>
      <c r="C107" s="46"/>
      <c r="D107" s="214"/>
      <c r="E107" s="32"/>
      <c r="F107" s="27"/>
      <c r="G107" s="18">
        <f t="shared" si="3"/>
        <v>438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4"/>
        <v>99</v>
      </c>
      <c r="B108" s="8"/>
      <c r="C108" s="46"/>
      <c r="D108" s="214"/>
      <c r="E108" s="32"/>
      <c r="F108" s="27"/>
      <c r="G108" s="18">
        <f t="shared" si="3"/>
        <v>438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14">
        <f t="shared" si="4"/>
        <v>100</v>
      </c>
      <c r="B109" s="37"/>
      <c r="C109" s="46"/>
      <c r="D109" s="10"/>
      <c r="E109" s="32"/>
      <c r="F109" s="27"/>
      <c r="G109" s="18">
        <f t="shared" si="3"/>
        <v>438</v>
      </c>
      <c r="H109" s="28"/>
      <c r="I109" s="28"/>
      <c r="J109" s="28"/>
      <c r="K109" s="7"/>
      <c r="N109" s="199"/>
      <c r="S109" s="199"/>
    </row>
    <row r="110" spans="1:19" ht="18" customHeight="1" x14ac:dyDescent="0.25">
      <c r="A110" s="7"/>
      <c r="B110" s="7"/>
      <c r="C110" s="34" t="s">
        <v>13</v>
      </c>
      <c r="D110" s="14"/>
      <c r="E110" s="35">
        <f>SUM(E8:E109)</f>
        <v>1080</v>
      </c>
      <c r="F110" s="35">
        <f>SUM(F8:F109)</f>
        <v>642</v>
      </c>
      <c r="G110" s="35">
        <f>+E110-F110+G8</f>
        <v>438</v>
      </c>
      <c r="H110" s="35"/>
      <c r="I110" s="35"/>
      <c r="J110" s="35">
        <f>SUM(J9:J109)</f>
        <v>725.55721925133685</v>
      </c>
      <c r="K110" s="36"/>
    </row>
    <row r="111" spans="1:19" ht="18" customHeight="1" x14ac:dyDescent="0.25"/>
    <row r="114" spans="5:11" x14ac:dyDescent="0.25">
      <c r="E114" s="201"/>
      <c r="F114" s="201"/>
      <c r="G114" s="201"/>
      <c r="H114" s="201"/>
      <c r="I114" s="201"/>
      <c r="J114" s="201"/>
    </row>
    <row r="115" spans="5:11" x14ac:dyDescent="0.25">
      <c r="F115" s="26"/>
    </row>
    <row r="116" spans="5:11" x14ac:dyDescent="0.25">
      <c r="E116" s="26"/>
      <c r="F116" s="26"/>
      <c r="G116" s="26"/>
      <c r="H116" s="26"/>
      <c r="I116" s="26"/>
      <c r="J116" s="26"/>
      <c r="K116" s="26"/>
    </row>
    <row r="117" spans="5:11" x14ac:dyDescent="0.25">
      <c r="K117" s="202"/>
    </row>
    <row r="118" spans="5:11" x14ac:dyDescent="0.25">
      <c r="E118" s="199"/>
    </row>
    <row r="119" spans="5:11" x14ac:dyDescent="0.25">
      <c r="E119" s="26"/>
      <c r="F119" s="26"/>
    </row>
    <row r="120" spans="5:11" x14ac:dyDescent="0.25">
      <c r="E120" s="203"/>
      <c r="F120" s="204"/>
      <c r="G120" s="203"/>
      <c r="H120" s="203"/>
      <c r="I120" s="203"/>
      <c r="J120" s="203"/>
    </row>
    <row r="121" spans="5:11" x14ac:dyDescent="0.25">
      <c r="F121" s="26"/>
    </row>
  </sheetData>
  <mergeCells count="1">
    <mergeCell ref="A4:K5"/>
  </mergeCells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CFD2-BF29-4804-B044-7DF31DBD77DE}">
  <sheetPr codeName="Sheet116"/>
  <dimension ref="A1:S121"/>
  <sheetViews>
    <sheetView topLeftCell="A3" workbookViewId="0">
      <selection activeCell="L19" sqref="L19"/>
    </sheetView>
  </sheetViews>
  <sheetFormatPr defaultRowHeight="15" x14ac:dyDescent="0.25"/>
  <cols>
    <col min="1" max="1" width="6" customWidth="1"/>
    <col min="2" max="2" width="11.5703125" customWidth="1"/>
    <col min="3" max="3" width="42.710937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21.140625" customWidth="1"/>
    <col min="9" max="9" width="5.7109375" customWidth="1"/>
    <col min="10" max="10" width="11.42578125" customWidth="1"/>
    <col min="11" max="11" width="14.85546875" customWidth="1"/>
    <col min="14" max="14" width="11.28515625" bestFit="1" customWidth="1"/>
    <col min="19" max="19" width="11.7109375" bestFit="1" customWidth="1"/>
    <col min="259" max="259" width="6" customWidth="1"/>
    <col min="260" max="260" width="11.5703125" customWidth="1"/>
    <col min="261" max="261" width="42.7109375" customWidth="1"/>
    <col min="262" max="262" width="6.5703125" customWidth="1"/>
    <col min="263" max="263" width="12.28515625" customWidth="1"/>
    <col min="264" max="264" width="12" customWidth="1"/>
    <col min="265" max="265" width="11.7109375" customWidth="1"/>
    <col min="266" max="266" width="14.28515625" customWidth="1"/>
    <col min="267" max="267" width="14.85546875" customWidth="1"/>
    <col min="270" max="270" width="11.28515625" bestFit="1" customWidth="1"/>
    <col min="275" max="275" width="11.7109375" bestFit="1" customWidth="1"/>
    <col min="515" max="515" width="6" customWidth="1"/>
    <col min="516" max="516" width="11.5703125" customWidth="1"/>
    <col min="517" max="517" width="42.7109375" customWidth="1"/>
    <col min="518" max="518" width="6.5703125" customWidth="1"/>
    <col min="519" max="519" width="12.28515625" customWidth="1"/>
    <col min="520" max="520" width="12" customWidth="1"/>
    <col min="521" max="521" width="11.7109375" customWidth="1"/>
    <col min="522" max="522" width="14.28515625" customWidth="1"/>
    <col min="523" max="523" width="14.85546875" customWidth="1"/>
    <col min="526" max="526" width="11.28515625" bestFit="1" customWidth="1"/>
    <col min="531" max="531" width="11.7109375" bestFit="1" customWidth="1"/>
    <col min="771" max="771" width="6" customWidth="1"/>
    <col min="772" max="772" width="11.5703125" customWidth="1"/>
    <col min="773" max="773" width="42.7109375" customWidth="1"/>
    <col min="774" max="774" width="6.5703125" customWidth="1"/>
    <col min="775" max="775" width="12.28515625" customWidth="1"/>
    <col min="776" max="776" width="12" customWidth="1"/>
    <col min="777" max="777" width="11.7109375" customWidth="1"/>
    <col min="778" max="778" width="14.28515625" customWidth="1"/>
    <col min="779" max="779" width="14.85546875" customWidth="1"/>
    <col min="782" max="782" width="11.28515625" bestFit="1" customWidth="1"/>
    <col min="787" max="787" width="11.7109375" bestFit="1" customWidth="1"/>
    <col min="1027" max="1027" width="6" customWidth="1"/>
    <col min="1028" max="1028" width="11.5703125" customWidth="1"/>
    <col min="1029" max="1029" width="42.7109375" customWidth="1"/>
    <col min="1030" max="1030" width="6.5703125" customWidth="1"/>
    <col min="1031" max="1031" width="12.28515625" customWidth="1"/>
    <col min="1032" max="1032" width="12" customWidth="1"/>
    <col min="1033" max="1033" width="11.7109375" customWidth="1"/>
    <col min="1034" max="1034" width="14.28515625" customWidth="1"/>
    <col min="1035" max="1035" width="14.85546875" customWidth="1"/>
    <col min="1038" max="1038" width="11.28515625" bestFit="1" customWidth="1"/>
    <col min="1043" max="1043" width="11.7109375" bestFit="1" customWidth="1"/>
    <col min="1283" max="1283" width="6" customWidth="1"/>
    <col min="1284" max="1284" width="11.5703125" customWidth="1"/>
    <col min="1285" max="1285" width="42.7109375" customWidth="1"/>
    <col min="1286" max="1286" width="6.5703125" customWidth="1"/>
    <col min="1287" max="1287" width="12.28515625" customWidth="1"/>
    <col min="1288" max="1288" width="12" customWidth="1"/>
    <col min="1289" max="1289" width="11.7109375" customWidth="1"/>
    <col min="1290" max="1290" width="14.28515625" customWidth="1"/>
    <col min="1291" max="1291" width="14.85546875" customWidth="1"/>
    <col min="1294" max="1294" width="11.28515625" bestFit="1" customWidth="1"/>
    <col min="1299" max="1299" width="11.7109375" bestFit="1" customWidth="1"/>
    <col min="1539" max="1539" width="6" customWidth="1"/>
    <col min="1540" max="1540" width="11.5703125" customWidth="1"/>
    <col min="1541" max="1541" width="42.7109375" customWidth="1"/>
    <col min="1542" max="1542" width="6.5703125" customWidth="1"/>
    <col min="1543" max="1543" width="12.28515625" customWidth="1"/>
    <col min="1544" max="1544" width="12" customWidth="1"/>
    <col min="1545" max="1545" width="11.7109375" customWidth="1"/>
    <col min="1546" max="1546" width="14.28515625" customWidth="1"/>
    <col min="1547" max="1547" width="14.85546875" customWidth="1"/>
    <col min="1550" max="1550" width="11.28515625" bestFit="1" customWidth="1"/>
    <col min="1555" max="1555" width="11.7109375" bestFit="1" customWidth="1"/>
    <col min="1795" max="1795" width="6" customWidth="1"/>
    <col min="1796" max="1796" width="11.5703125" customWidth="1"/>
    <col min="1797" max="1797" width="42.7109375" customWidth="1"/>
    <col min="1798" max="1798" width="6.5703125" customWidth="1"/>
    <col min="1799" max="1799" width="12.28515625" customWidth="1"/>
    <col min="1800" max="1800" width="12" customWidth="1"/>
    <col min="1801" max="1801" width="11.7109375" customWidth="1"/>
    <col min="1802" max="1802" width="14.28515625" customWidth="1"/>
    <col min="1803" max="1803" width="14.85546875" customWidth="1"/>
    <col min="1806" max="1806" width="11.28515625" bestFit="1" customWidth="1"/>
    <col min="1811" max="1811" width="11.7109375" bestFit="1" customWidth="1"/>
    <col min="2051" max="2051" width="6" customWidth="1"/>
    <col min="2052" max="2052" width="11.5703125" customWidth="1"/>
    <col min="2053" max="2053" width="42.7109375" customWidth="1"/>
    <col min="2054" max="2054" width="6.5703125" customWidth="1"/>
    <col min="2055" max="2055" width="12.28515625" customWidth="1"/>
    <col min="2056" max="2056" width="12" customWidth="1"/>
    <col min="2057" max="2057" width="11.7109375" customWidth="1"/>
    <col min="2058" max="2058" width="14.28515625" customWidth="1"/>
    <col min="2059" max="2059" width="14.85546875" customWidth="1"/>
    <col min="2062" max="2062" width="11.28515625" bestFit="1" customWidth="1"/>
    <col min="2067" max="2067" width="11.7109375" bestFit="1" customWidth="1"/>
    <col min="2307" max="2307" width="6" customWidth="1"/>
    <col min="2308" max="2308" width="11.5703125" customWidth="1"/>
    <col min="2309" max="2309" width="42.7109375" customWidth="1"/>
    <col min="2310" max="2310" width="6.5703125" customWidth="1"/>
    <col min="2311" max="2311" width="12.28515625" customWidth="1"/>
    <col min="2312" max="2312" width="12" customWidth="1"/>
    <col min="2313" max="2313" width="11.7109375" customWidth="1"/>
    <col min="2314" max="2314" width="14.28515625" customWidth="1"/>
    <col min="2315" max="2315" width="14.85546875" customWidth="1"/>
    <col min="2318" max="2318" width="11.28515625" bestFit="1" customWidth="1"/>
    <col min="2323" max="2323" width="11.7109375" bestFit="1" customWidth="1"/>
    <col min="2563" max="2563" width="6" customWidth="1"/>
    <col min="2564" max="2564" width="11.5703125" customWidth="1"/>
    <col min="2565" max="2565" width="42.7109375" customWidth="1"/>
    <col min="2566" max="2566" width="6.5703125" customWidth="1"/>
    <col min="2567" max="2567" width="12.28515625" customWidth="1"/>
    <col min="2568" max="2568" width="12" customWidth="1"/>
    <col min="2569" max="2569" width="11.7109375" customWidth="1"/>
    <col min="2570" max="2570" width="14.28515625" customWidth="1"/>
    <col min="2571" max="2571" width="14.85546875" customWidth="1"/>
    <col min="2574" max="2574" width="11.28515625" bestFit="1" customWidth="1"/>
    <col min="2579" max="2579" width="11.7109375" bestFit="1" customWidth="1"/>
    <col min="2819" max="2819" width="6" customWidth="1"/>
    <col min="2820" max="2820" width="11.5703125" customWidth="1"/>
    <col min="2821" max="2821" width="42.7109375" customWidth="1"/>
    <col min="2822" max="2822" width="6.5703125" customWidth="1"/>
    <col min="2823" max="2823" width="12.28515625" customWidth="1"/>
    <col min="2824" max="2824" width="12" customWidth="1"/>
    <col min="2825" max="2825" width="11.7109375" customWidth="1"/>
    <col min="2826" max="2826" width="14.28515625" customWidth="1"/>
    <col min="2827" max="2827" width="14.85546875" customWidth="1"/>
    <col min="2830" max="2830" width="11.28515625" bestFit="1" customWidth="1"/>
    <col min="2835" max="2835" width="11.7109375" bestFit="1" customWidth="1"/>
    <col min="3075" max="3075" width="6" customWidth="1"/>
    <col min="3076" max="3076" width="11.5703125" customWidth="1"/>
    <col min="3077" max="3077" width="42.7109375" customWidth="1"/>
    <col min="3078" max="3078" width="6.5703125" customWidth="1"/>
    <col min="3079" max="3079" width="12.28515625" customWidth="1"/>
    <col min="3080" max="3080" width="12" customWidth="1"/>
    <col min="3081" max="3081" width="11.7109375" customWidth="1"/>
    <col min="3082" max="3082" width="14.28515625" customWidth="1"/>
    <col min="3083" max="3083" width="14.85546875" customWidth="1"/>
    <col min="3086" max="3086" width="11.28515625" bestFit="1" customWidth="1"/>
    <col min="3091" max="3091" width="11.7109375" bestFit="1" customWidth="1"/>
    <col min="3331" max="3331" width="6" customWidth="1"/>
    <col min="3332" max="3332" width="11.5703125" customWidth="1"/>
    <col min="3333" max="3333" width="42.7109375" customWidth="1"/>
    <col min="3334" max="3334" width="6.5703125" customWidth="1"/>
    <col min="3335" max="3335" width="12.28515625" customWidth="1"/>
    <col min="3336" max="3336" width="12" customWidth="1"/>
    <col min="3337" max="3337" width="11.7109375" customWidth="1"/>
    <col min="3338" max="3338" width="14.28515625" customWidth="1"/>
    <col min="3339" max="3339" width="14.85546875" customWidth="1"/>
    <col min="3342" max="3342" width="11.28515625" bestFit="1" customWidth="1"/>
    <col min="3347" max="3347" width="11.7109375" bestFit="1" customWidth="1"/>
    <col min="3587" max="3587" width="6" customWidth="1"/>
    <col min="3588" max="3588" width="11.5703125" customWidth="1"/>
    <col min="3589" max="3589" width="42.7109375" customWidth="1"/>
    <col min="3590" max="3590" width="6.5703125" customWidth="1"/>
    <col min="3591" max="3591" width="12.28515625" customWidth="1"/>
    <col min="3592" max="3592" width="12" customWidth="1"/>
    <col min="3593" max="3593" width="11.7109375" customWidth="1"/>
    <col min="3594" max="3594" width="14.28515625" customWidth="1"/>
    <col min="3595" max="3595" width="14.85546875" customWidth="1"/>
    <col min="3598" max="3598" width="11.28515625" bestFit="1" customWidth="1"/>
    <col min="3603" max="3603" width="11.7109375" bestFit="1" customWidth="1"/>
    <col min="3843" max="3843" width="6" customWidth="1"/>
    <col min="3844" max="3844" width="11.5703125" customWidth="1"/>
    <col min="3845" max="3845" width="42.7109375" customWidth="1"/>
    <col min="3846" max="3846" width="6.5703125" customWidth="1"/>
    <col min="3847" max="3847" width="12.28515625" customWidth="1"/>
    <col min="3848" max="3848" width="12" customWidth="1"/>
    <col min="3849" max="3849" width="11.7109375" customWidth="1"/>
    <col min="3850" max="3850" width="14.28515625" customWidth="1"/>
    <col min="3851" max="3851" width="14.85546875" customWidth="1"/>
    <col min="3854" max="3854" width="11.28515625" bestFit="1" customWidth="1"/>
    <col min="3859" max="3859" width="11.7109375" bestFit="1" customWidth="1"/>
    <col min="4099" max="4099" width="6" customWidth="1"/>
    <col min="4100" max="4100" width="11.5703125" customWidth="1"/>
    <col min="4101" max="4101" width="42.7109375" customWidth="1"/>
    <col min="4102" max="4102" width="6.5703125" customWidth="1"/>
    <col min="4103" max="4103" width="12.28515625" customWidth="1"/>
    <col min="4104" max="4104" width="12" customWidth="1"/>
    <col min="4105" max="4105" width="11.7109375" customWidth="1"/>
    <col min="4106" max="4106" width="14.28515625" customWidth="1"/>
    <col min="4107" max="4107" width="14.85546875" customWidth="1"/>
    <col min="4110" max="4110" width="11.28515625" bestFit="1" customWidth="1"/>
    <col min="4115" max="4115" width="11.7109375" bestFit="1" customWidth="1"/>
    <col min="4355" max="4355" width="6" customWidth="1"/>
    <col min="4356" max="4356" width="11.5703125" customWidth="1"/>
    <col min="4357" max="4357" width="42.7109375" customWidth="1"/>
    <col min="4358" max="4358" width="6.5703125" customWidth="1"/>
    <col min="4359" max="4359" width="12.28515625" customWidth="1"/>
    <col min="4360" max="4360" width="12" customWidth="1"/>
    <col min="4361" max="4361" width="11.7109375" customWidth="1"/>
    <col min="4362" max="4362" width="14.28515625" customWidth="1"/>
    <col min="4363" max="4363" width="14.85546875" customWidth="1"/>
    <col min="4366" max="4366" width="11.28515625" bestFit="1" customWidth="1"/>
    <col min="4371" max="4371" width="11.7109375" bestFit="1" customWidth="1"/>
    <col min="4611" max="4611" width="6" customWidth="1"/>
    <col min="4612" max="4612" width="11.5703125" customWidth="1"/>
    <col min="4613" max="4613" width="42.7109375" customWidth="1"/>
    <col min="4614" max="4614" width="6.5703125" customWidth="1"/>
    <col min="4615" max="4615" width="12.28515625" customWidth="1"/>
    <col min="4616" max="4616" width="12" customWidth="1"/>
    <col min="4617" max="4617" width="11.7109375" customWidth="1"/>
    <col min="4618" max="4618" width="14.28515625" customWidth="1"/>
    <col min="4619" max="4619" width="14.85546875" customWidth="1"/>
    <col min="4622" max="4622" width="11.28515625" bestFit="1" customWidth="1"/>
    <col min="4627" max="4627" width="11.7109375" bestFit="1" customWidth="1"/>
    <col min="4867" max="4867" width="6" customWidth="1"/>
    <col min="4868" max="4868" width="11.5703125" customWidth="1"/>
    <col min="4869" max="4869" width="42.7109375" customWidth="1"/>
    <col min="4870" max="4870" width="6.5703125" customWidth="1"/>
    <col min="4871" max="4871" width="12.28515625" customWidth="1"/>
    <col min="4872" max="4872" width="12" customWidth="1"/>
    <col min="4873" max="4873" width="11.7109375" customWidth="1"/>
    <col min="4874" max="4874" width="14.28515625" customWidth="1"/>
    <col min="4875" max="4875" width="14.85546875" customWidth="1"/>
    <col min="4878" max="4878" width="11.28515625" bestFit="1" customWidth="1"/>
    <col min="4883" max="4883" width="11.7109375" bestFit="1" customWidth="1"/>
    <col min="5123" max="5123" width="6" customWidth="1"/>
    <col min="5124" max="5124" width="11.5703125" customWidth="1"/>
    <col min="5125" max="5125" width="42.7109375" customWidth="1"/>
    <col min="5126" max="5126" width="6.5703125" customWidth="1"/>
    <col min="5127" max="5127" width="12.28515625" customWidth="1"/>
    <col min="5128" max="5128" width="12" customWidth="1"/>
    <col min="5129" max="5129" width="11.7109375" customWidth="1"/>
    <col min="5130" max="5130" width="14.28515625" customWidth="1"/>
    <col min="5131" max="5131" width="14.85546875" customWidth="1"/>
    <col min="5134" max="5134" width="11.28515625" bestFit="1" customWidth="1"/>
    <col min="5139" max="5139" width="11.7109375" bestFit="1" customWidth="1"/>
    <col min="5379" max="5379" width="6" customWidth="1"/>
    <col min="5380" max="5380" width="11.5703125" customWidth="1"/>
    <col min="5381" max="5381" width="42.7109375" customWidth="1"/>
    <col min="5382" max="5382" width="6.5703125" customWidth="1"/>
    <col min="5383" max="5383" width="12.28515625" customWidth="1"/>
    <col min="5384" max="5384" width="12" customWidth="1"/>
    <col min="5385" max="5385" width="11.7109375" customWidth="1"/>
    <col min="5386" max="5386" width="14.28515625" customWidth="1"/>
    <col min="5387" max="5387" width="14.85546875" customWidth="1"/>
    <col min="5390" max="5390" width="11.28515625" bestFit="1" customWidth="1"/>
    <col min="5395" max="5395" width="11.7109375" bestFit="1" customWidth="1"/>
    <col min="5635" max="5635" width="6" customWidth="1"/>
    <col min="5636" max="5636" width="11.5703125" customWidth="1"/>
    <col min="5637" max="5637" width="42.7109375" customWidth="1"/>
    <col min="5638" max="5638" width="6.5703125" customWidth="1"/>
    <col min="5639" max="5639" width="12.28515625" customWidth="1"/>
    <col min="5640" max="5640" width="12" customWidth="1"/>
    <col min="5641" max="5641" width="11.7109375" customWidth="1"/>
    <col min="5642" max="5642" width="14.28515625" customWidth="1"/>
    <col min="5643" max="5643" width="14.85546875" customWidth="1"/>
    <col min="5646" max="5646" width="11.28515625" bestFit="1" customWidth="1"/>
    <col min="5651" max="5651" width="11.7109375" bestFit="1" customWidth="1"/>
    <col min="5891" max="5891" width="6" customWidth="1"/>
    <col min="5892" max="5892" width="11.5703125" customWidth="1"/>
    <col min="5893" max="5893" width="42.7109375" customWidth="1"/>
    <col min="5894" max="5894" width="6.5703125" customWidth="1"/>
    <col min="5895" max="5895" width="12.28515625" customWidth="1"/>
    <col min="5896" max="5896" width="12" customWidth="1"/>
    <col min="5897" max="5897" width="11.7109375" customWidth="1"/>
    <col min="5898" max="5898" width="14.28515625" customWidth="1"/>
    <col min="5899" max="5899" width="14.85546875" customWidth="1"/>
    <col min="5902" max="5902" width="11.28515625" bestFit="1" customWidth="1"/>
    <col min="5907" max="5907" width="11.7109375" bestFit="1" customWidth="1"/>
    <col min="6147" max="6147" width="6" customWidth="1"/>
    <col min="6148" max="6148" width="11.5703125" customWidth="1"/>
    <col min="6149" max="6149" width="42.7109375" customWidth="1"/>
    <col min="6150" max="6150" width="6.5703125" customWidth="1"/>
    <col min="6151" max="6151" width="12.28515625" customWidth="1"/>
    <col min="6152" max="6152" width="12" customWidth="1"/>
    <col min="6153" max="6153" width="11.7109375" customWidth="1"/>
    <col min="6154" max="6154" width="14.28515625" customWidth="1"/>
    <col min="6155" max="6155" width="14.85546875" customWidth="1"/>
    <col min="6158" max="6158" width="11.28515625" bestFit="1" customWidth="1"/>
    <col min="6163" max="6163" width="11.7109375" bestFit="1" customWidth="1"/>
    <col min="6403" max="6403" width="6" customWidth="1"/>
    <col min="6404" max="6404" width="11.5703125" customWidth="1"/>
    <col min="6405" max="6405" width="42.7109375" customWidth="1"/>
    <col min="6406" max="6406" width="6.5703125" customWidth="1"/>
    <col min="6407" max="6407" width="12.28515625" customWidth="1"/>
    <col min="6408" max="6408" width="12" customWidth="1"/>
    <col min="6409" max="6409" width="11.7109375" customWidth="1"/>
    <col min="6410" max="6410" width="14.28515625" customWidth="1"/>
    <col min="6411" max="6411" width="14.85546875" customWidth="1"/>
    <col min="6414" max="6414" width="11.28515625" bestFit="1" customWidth="1"/>
    <col min="6419" max="6419" width="11.7109375" bestFit="1" customWidth="1"/>
    <col min="6659" max="6659" width="6" customWidth="1"/>
    <col min="6660" max="6660" width="11.5703125" customWidth="1"/>
    <col min="6661" max="6661" width="42.7109375" customWidth="1"/>
    <col min="6662" max="6662" width="6.5703125" customWidth="1"/>
    <col min="6663" max="6663" width="12.28515625" customWidth="1"/>
    <col min="6664" max="6664" width="12" customWidth="1"/>
    <col min="6665" max="6665" width="11.7109375" customWidth="1"/>
    <col min="6666" max="6666" width="14.28515625" customWidth="1"/>
    <col min="6667" max="6667" width="14.85546875" customWidth="1"/>
    <col min="6670" max="6670" width="11.28515625" bestFit="1" customWidth="1"/>
    <col min="6675" max="6675" width="11.7109375" bestFit="1" customWidth="1"/>
    <col min="6915" max="6915" width="6" customWidth="1"/>
    <col min="6916" max="6916" width="11.5703125" customWidth="1"/>
    <col min="6917" max="6917" width="42.7109375" customWidth="1"/>
    <col min="6918" max="6918" width="6.5703125" customWidth="1"/>
    <col min="6919" max="6919" width="12.28515625" customWidth="1"/>
    <col min="6920" max="6920" width="12" customWidth="1"/>
    <col min="6921" max="6921" width="11.7109375" customWidth="1"/>
    <col min="6922" max="6922" width="14.28515625" customWidth="1"/>
    <col min="6923" max="6923" width="14.85546875" customWidth="1"/>
    <col min="6926" max="6926" width="11.28515625" bestFit="1" customWidth="1"/>
    <col min="6931" max="6931" width="11.7109375" bestFit="1" customWidth="1"/>
    <col min="7171" max="7171" width="6" customWidth="1"/>
    <col min="7172" max="7172" width="11.5703125" customWidth="1"/>
    <col min="7173" max="7173" width="42.7109375" customWidth="1"/>
    <col min="7174" max="7174" width="6.5703125" customWidth="1"/>
    <col min="7175" max="7175" width="12.28515625" customWidth="1"/>
    <col min="7176" max="7176" width="12" customWidth="1"/>
    <col min="7177" max="7177" width="11.7109375" customWidth="1"/>
    <col min="7178" max="7178" width="14.28515625" customWidth="1"/>
    <col min="7179" max="7179" width="14.85546875" customWidth="1"/>
    <col min="7182" max="7182" width="11.28515625" bestFit="1" customWidth="1"/>
    <col min="7187" max="7187" width="11.7109375" bestFit="1" customWidth="1"/>
    <col min="7427" max="7427" width="6" customWidth="1"/>
    <col min="7428" max="7428" width="11.5703125" customWidth="1"/>
    <col min="7429" max="7429" width="42.7109375" customWidth="1"/>
    <col min="7430" max="7430" width="6.5703125" customWidth="1"/>
    <col min="7431" max="7431" width="12.28515625" customWidth="1"/>
    <col min="7432" max="7432" width="12" customWidth="1"/>
    <col min="7433" max="7433" width="11.7109375" customWidth="1"/>
    <col min="7434" max="7434" width="14.28515625" customWidth="1"/>
    <col min="7435" max="7435" width="14.85546875" customWidth="1"/>
    <col min="7438" max="7438" width="11.28515625" bestFit="1" customWidth="1"/>
    <col min="7443" max="7443" width="11.7109375" bestFit="1" customWidth="1"/>
    <col min="7683" max="7683" width="6" customWidth="1"/>
    <col min="7684" max="7684" width="11.5703125" customWidth="1"/>
    <col min="7685" max="7685" width="42.7109375" customWidth="1"/>
    <col min="7686" max="7686" width="6.5703125" customWidth="1"/>
    <col min="7687" max="7687" width="12.28515625" customWidth="1"/>
    <col min="7688" max="7688" width="12" customWidth="1"/>
    <col min="7689" max="7689" width="11.7109375" customWidth="1"/>
    <col min="7690" max="7690" width="14.28515625" customWidth="1"/>
    <col min="7691" max="7691" width="14.85546875" customWidth="1"/>
    <col min="7694" max="7694" width="11.28515625" bestFit="1" customWidth="1"/>
    <col min="7699" max="7699" width="11.7109375" bestFit="1" customWidth="1"/>
    <col min="7939" max="7939" width="6" customWidth="1"/>
    <col min="7940" max="7940" width="11.5703125" customWidth="1"/>
    <col min="7941" max="7941" width="42.7109375" customWidth="1"/>
    <col min="7942" max="7942" width="6.5703125" customWidth="1"/>
    <col min="7943" max="7943" width="12.28515625" customWidth="1"/>
    <col min="7944" max="7944" width="12" customWidth="1"/>
    <col min="7945" max="7945" width="11.7109375" customWidth="1"/>
    <col min="7946" max="7946" width="14.28515625" customWidth="1"/>
    <col min="7947" max="7947" width="14.85546875" customWidth="1"/>
    <col min="7950" max="7950" width="11.28515625" bestFit="1" customWidth="1"/>
    <col min="7955" max="7955" width="11.7109375" bestFit="1" customWidth="1"/>
    <col min="8195" max="8195" width="6" customWidth="1"/>
    <col min="8196" max="8196" width="11.5703125" customWidth="1"/>
    <col min="8197" max="8197" width="42.7109375" customWidth="1"/>
    <col min="8198" max="8198" width="6.5703125" customWidth="1"/>
    <col min="8199" max="8199" width="12.28515625" customWidth="1"/>
    <col min="8200" max="8200" width="12" customWidth="1"/>
    <col min="8201" max="8201" width="11.7109375" customWidth="1"/>
    <col min="8202" max="8202" width="14.28515625" customWidth="1"/>
    <col min="8203" max="8203" width="14.85546875" customWidth="1"/>
    <col min="8206" max="8206" width="11.28515625" bestFit="1" customWidth="1"/>
    <col min="8211" max="8211" width="11.7109375" bestFit="1" customWidth="1"/>
    <col min="8451" max="8451" width="6" customWidth="1"/>
    <col min="8452" max="8452" width="11.5703125" customWidth="1"/>
    <col min="8453" max="8453" width="42.7109375" customWidth="1"/>
    <col min="8454" max="8454" width="6.5703125" customWidth="1"/>
    <col min="8455" max="8455" width="12.28515625" customWidth="1"/>
    <col min="8456" max="8456" width="12" customWidth="1"/>
    <col min="8457" max="8457" width="11.7109375" customWidth="1"/>
    <col min="8458" max="8458" width="14.28515625" customWidth="1"/>
    <col min="8459" max="8459" width="14.85546875" customWidth="1"/>
    <col min="8462" max="8462" width="11.28515625" bestFit="1" customWidth="1"/>
    <col min="8467" max="8467" width="11.7109375" bestFit="1" customWidth="1"/>
    <col min="8707" max="8707" width="6" customWidth="1"/>
    <col min="8708" max="8708" width="11.5703125" customWidth="1"/>
    <col min="8709" max="8709" width="42.7109375" customWidth="1"/>
    <col min="8710" max="8710" width="6.5703125" customWidth="1"/>
    <col min="8711" max="8711" width="12.28515625" customWidth="1"/>
    <col min="8712" max="8712" width="12" customWidth="1"/>
    <col min="8713" max="8713" width="11.7109375" customWidth="1"/>
    <col min="8714" max="8714" width="14.28515625" customWidth="1"/>
    <col min="8715" max="8715" width="14.85546875" customWidth="1"/>
    <col min="8718" max="8718" width="11.28515625" bestFit="1" customWidth="1"/>
    <col min="8723" max="8723" width="11.7109375" bestFit="1" customWidth="1"/>
    <col min="8963" max="8963" width="6" customWidth="1"/>
    <col min="8964" max="8964" width="11.5703125" customWidth="1"/>
    <col min="8965" max="8965" width="42.7109375" customWidth="1"/>
    <col min="8966" max="8966" width="6.5703125" customWidth="1"/>
    <col min="8967" max="8967" width="12.28515625" customWidth="1"/>
    <col min="8968" max="8968" width="12" customWidth="1"/>
    <col min="8969" max="8969" width="11.7109375" customWidth="1"/>
    <col min="8970" max="8970" width="14.28515625" customWidth="1"/>
    <col min="8971" max="8971" width="14.85546875" customWidth="1"/>
    <col min="8974" max="8974" width="11.28515625" bestFit="1" customWidth="1"/>
    <col min="8979" max="8979" width="11.7109375" bestFit="1" customWidth="1"/>
    <col min="9219" max="9219" width="6" customWidth="1"/>
    <col min="9220" max="9220" width="11.5703125" customWidth="1"/>
    <col min="9221" max="9221" width="42.7109375" customWidth="1"/>
    <col min="9222" max="9222" width="6.5703125" customWidth="1"/>
    <col min="9223" max="9223" width="12.28515625" customWidth="1"/>
    <col min="9224" max="9224" width="12" customWidth="1"/>
    <col min="9225" max="9225" width="11.7109375" customWidth="1"/>
    <col min="9226" max="9226" width="14.28515625" customWidth="1"/>
    <col min="9227" max="9227" width="14.85546875" customWidth="1"/>
    <col min="9230" max="9230" width="11.28515625" bestFit="1" customWidth="1"/>
    <col min="9235" max="9235" width="11.7109375" bestFit="1" customWidth="1"/>
    <col min="9475" max="9475" width="6" customWidth="1"/>
    <col min="9476" max="9476" width="11.5703125" customWidth="1"/>
    <col min="9477" max="9477" width="42.7109375" customWidth="1"/>
    <col min="9478" max="9478" width="6.5703125" customWidth="1"/>
    <col min="9479" max="9479" width="12.28515625" customWidth="1"/>
    <col min="9480" max="9480" width="12" customWidth="1"/>
    <col min="9481" max="9481" width="11.7109375" customWidth="1"/>
    <col min="9482" max="9482" width="14.28515625" customWidth="1"/>
    <col min="9483" max="9483" width="14.85546875" customWidth="1"/>
    <col min="9486" max="9486" width="11.28515625" bestFit="1" customWidth="1"/>
    <col min="9491" max="9491" width="11.7109375" bestFit="1" customWidth="1"/>
    <col min="9731" max="9731" width="6" customWidth="1"/>
    <col min="9732" max="9732" width="11.5703125" customWidth="1"/>
    <col min="9733" max="9733" width="42.7109375" customWidth="1"/>
    <col min="9734" max="9734" width="6.5703125" customWidth="1"/>
    <col min="9735" max="9735" width="12.28515625" customWidth="1"/>
    <col min="9736" max="9736" width="12" customWidth="1"/>
    <col min="9737" max="9737" width="11.7109375" customWidth="1"/>
    <col min="9738" max="9738" width="14.28515625" customWidth="1"/>
    <col min="9739" max="9739" width="14.85546875" customWidth="1"/>
    <col min="9742" max="9742" width="11.28515625" bestFit="1" customWidth="1"/>
    <col min="9747" max="9747" width="11.7109375" bestFit="1" customWidth="1"/>
    <col min="9987" max="9987" width="6" customWidth="1"/>
    <col min="9988" max="9988" width="11.5703125" customWidth="1"/>
    <col min="9989" max="9989" width="42.7109375" customWidth="1"/>
    <col min="9990" max="9990" width="6.5703125" customWidth="1"/>
    <col min="9991" max="9991" width="12.28515625" customWidth="1"/>
    <col min="9992" max="9992" width="12" customWidth="1"/>
    <col min="9993" max="9993" width="11.7109375" customWidth="1"/>
    <col min="9994" max="9994" width="14.28515625" customWidth="1"/>
    <col min="9995" max="9995" width="14.85546875" customWidth="1"/>
    <col min="9998" max="9998" width="11.28515625" bestFit="1" customWidth="1"/>
    <col min="10003" max="10003" width="11.7109375" bestFit="1" customWidth="1"/>
    <col min="10243" max="10243" width="6" customWidth="1"/>
    <col min="10244" max="10244" width="11.5703125" customWidth="1"/>
    <col min="10245" max="10245" width="42.7109375" customWidth="1"/>
    <col min="10246" max="10246" width="6.5703125" customWidth="1"/>
    <col min="10247" max="10247" width="12.28515625" customWidth="1"/>
    <col min="10248" max="10248" width="12" customWidth="1"/>
    <col min="10249" max="10249" width="11.7109375" customWidth="1"/>
    <col min="10250" max="10250" width="14.28515625" customWidth="1"/>
    <col min="10251" max="10251" width="14.85546875" customWidth="1"/>
    <col min="10254" max="10254" width="11.28515625" bestFit="1" customWidth="1"/>
    <col min="10259" max="10259" width="11.7109375" bestFit="1" customWidth="1"/>
    <col min="10499" max="10499" width="6" customWidth="1"/>
    <col min="10500" max="10500" width="11.5703125" customWidth="1"/>
    <col min="10501" max="10501" width="42.7109375" customWidth="1"/>
    <col min="10502" max="10502" width="6.5703125" customWidth="1"/>
    <col min="10503" max="10503" width="12.28515625" customWidth="1"/>
    <col min="10504" max="10504" width="12" customWidth="1"/>
    <col min="10505" max="10505" width="11.7109375" customWidth="1"/>
    <col min="10506" max="10506" width="14.28515625" customWidth="1"/>
    <col min="10507" max="10507" width="14.85546875" customWidth="1"/>
    <col min="10510" max="10510" width="11.28515625" bestFit="1" customWidth="1"/>
    <col min="10515" max="10515" width="11.7109375" bestFit="1" customWidth="1"/>
    <col min="10755" max="10755" width="6" customWidth="1"/>
    <col min="10756" max="10756" width="11.5703125" customWidth="1"/>
    <col min="10757" max="10757" width="42.7109375" customWidth="1"/>
    <col min="10758" max="10758" width="6.5703125" customWidth="1"/>
    <col min="10759" max="10759" width="12.28515625" customWidth="1"/>
    <col min="10760" max="10760" width="12" customWidth="1"/>
    <col min="10761" max="10761" width="11.7109375" customWidth="1"/>
    <col min="10762" max="10762" width="14.28515625" customWidth="1"/>
    <col min="10763" max="10763" width="14.85546875" customWidth="1"/>
    <col min="10766" max="10766" width="11.28515625" bestFit="1" customWidth="1"/>
    <col min="10771" max="10771" width="11.7109375" bestFit="1" customWidth="1"/>
    <col min="11011" max="11011" width="6" customWidth="1"/>
    <col min="11012" max="11012" width="11.5703125" customWidth="1"/>
    <col min="11013" max="11013" width="42.7109375" customWidth="1"/>
    <col min="11014" max="11014" width="6.5703125" customWidth="1"/>
    <col min="11015" max="11015" width="12.28515625" customWidth="1"/>
    <col min="11016" max="11016" width="12" customWidth="1"/>
    <col min="11017" max="11017" width="11.7109375" customWidth="1"/>
    <col min="11018" max="11018" width="14.28515625" customWidth="1"/>
    <col min="11019" max="11019" width="14.85546875" customWidth="1"/>
    <col min="11022" max="11022" width="11.28515625" bestFit="1" customWidth="1"/>
    <col min="11027" max="11027" width="11.7109375" bestFit="1" customWidth="1"/>
    <col min="11267" max="11267" width="6" customWidth="1"/>
    <col min="11268" max="11268" width="11.5703125" customWidth="1"/>
    <col min="11269" max="11269" width="42.7109375" customWidth="1"/>
    <col min="11270" max="11270" width="6.5703125" customWidth="1"/>
    <col min="11271" max="11271" width="12.28515625" customWidth="1"/>
    <col min="11272" max="11272" width="12" customWidth="1"/>
    <col min="11273" max="11273" width="11.7109375" customWidth="1"/>
    <col min="11274" max="11274" width="14.28515625" customWidth="1"/>
    <col min="11275" max="11275" width="14.85546875" customWidth="1"/>
    <col min="11278" max="11278" width="11.28515625" bestFit="1" customWidth="1"/>
    <col min="11283" max="11283" width="11.7109375" bestFit="1" customWidth="1"/>
    <col min="11523" max="11523" width="6" customWidth="1"/>
    <col min="11524" max="11524" width="11.5703125" customWidth="1"/>
    <col min="11525" max="11525" width="42.7109375" customWidth="1"/>
    <col min="11526" max="11526" width="6.5703125" customWidth="1"/>
    <col min="11527" max="11527" width="12.28515625" customWidth="1"/>
    <col min="11528" max="11528" width="12" customWidth="1"/>
    <col min="11529" max="11529" width="11.7109375" customWidth="1"/>
    <col min="11530" max="11530" width="14.28515625" customWidth="1"/>
    <col min="11531" max="11531" width="14.85546875" customWidth="1"/>
    <col min="11534" max="11534" width="11.28515625" bestFit="1" customWidth="1"/>
    <col min="11539" max="11539" width="11.7109375" bestFit="1" customWidth="1"/>
    <col min="11779" max="11779" width="6" customWidth="1"/>
    <col min="11780" max="11780" width="11.5703125" customWidth="1"/>
    <col min="11781" max="11781" width="42.7109375" customWidth="1"/>
    <col min="11782" max="11782" width="6.5703125" customWidth="1"/>
    <col min="11783" max="11783" width="12.28515625" customWidth="1"/>
    <col min="11784" max="11784" width="12" customWidth="1"/>
    <col min="11785" max="11785" width="11.7109375" customWidth="1"/>
    <col min="11786" max="11786" width="14.28515625" customWidth="1"/>
    <col min="11787" max="11787" width="14.85546875" customWidth="1"/>
    <col min="11790" max="11790" width="11.28515625" bestFit="1" customWidth="1"/>
    <col min="11795" max="11795" width="11.7109375" bestFit="1" customWidth="1"/>
    <col min="12035" max="12035" width="6" customWidth="1"/>
    <col min="12036" max="12036" width="11.5703125" customWidth="1"/>
    <col min="12037" max="12037" width="42.7109375" customWidth="1"/>
    <col min="12038" max="12038" width="6.5703125" customWidth="1"/>
    <col min="12039" max="12039" width="12.28515625" customWidth="1"/>
    <col min="12040" max="12040" width="12" customWidth="1"/>
    <col min="12041" max="12041" width="11.7109375" customWidth="1"/>
    <col min="12042" max="12042" width="14.28515625" customWidth="1"/>
    <col min="12043" max="12043" width="14.85546875" customWidth="1"/>
    <col min="12046" max="12046" width="11.28515625" bestFit="1" customWidth="1"/>
    <col min="12051" max="12051" width="11.7109375" bestFit="1" customWidth="1"/>
    <col min="12291" max="12291" width="6" customWidth="1"/>
    <col min="12292" max="12292" width="11.5703125" customWidth="1"/>
    <col min="12293" max="12293" width="42.7109375" customWidth="1"/>
    <col min="12294" max="12294" width="6.5703125" customWidth="1"/>
    <col min="12295" max="12295" width="12.28515625" customWidth="1"/>
    <col min="12296" max="12296" width="12" customWidth="1"/>
    <col min="12297" max="12297" width="11.7109375" customWidth="1"/>
    <col min="12298" max="12298" width="14.28515625" customWidth="1"/>
    <col min="12299" max="12299" width="14.85546875" customWidth="1"/>
    <col min="12302" max="12302" width="11.28515625" bestFit="1" customWidth="1"/>
    <col min="12307" max="12307" width="11.7109375" bestFit="1" customWidth="1"/>
    <col min="12547" max="12547" width="6" customWidth="1"/>
    <col min="12548" max="12548" width="11.5703125" customWidth="1"/>
    <col min="12549" max="12549" width="42.7109375" customWidth="1"/>
    <col min="12550" max="12550" width="6.5703125" customWidth="1"/>
    <col min="12551" max="12551" width="12.28515625" customWidth="1"/>
    <col min="12552" max="12552" width="12" customWidth="1"/>
    <col min="12553" max="12553" width="11.7109375" customWidth="1"/>
    <col min="12554" max="12554" width="14.28515625" customWidth="1"/>
    <col min="12555" max="12555" width="14.85546875" customWidth="1"/>
    <col min="12558" max="12558" width="11.28515625" bestFit="1" customWidth="1"/>
    <col min="12563" max="12563" width="11.7109375" bestFit="1" customWidth="1"/>
    <col min="12803" max="12803" width="6" customWidth="1"/>
    <col min="12804" max="12804" width="11.5703125" customWidth="1"/>
    <col min="12805" max="12805" width="42.7109375" customWidth="1"/>
    <col min="12806" max="12806" width="6.5703125" customWidth="1"/>
    <col min="12807" max="12807" width="12.28515625" customWidth="1"/>
    <col min="12808" max="12808" width="12" customWidth="1"/>
    <col min="12809" max="12809" width="11.7109375" customWidth="1"/>
    <col min="12810" max="12810" width="14.28515625" customWidth="1"/>
    <col min="12811" max="12811" width="14.85546875" customWidth="1"/>
    <col min="12814" max="12814" width="11.28515625" bestFit="1" customWidth="1"/>
    <col min="12819" max="12819" width="11.7109375" bestFit="1" customWidth="1"/>
    <col min="13059" max="13059" width="6" customWidth="1"/>
    <col min="13060" max="13060" width="11.5703125" customWidth="1"/>
    <col min="13061" max="13061" width="42.7109375" customWidth="1"/>
    <col min="13062" max="13062" width="6.5703125" customWidth="1"/>
    <col min="13063" max="13063" width="12.28515625" customWidth="1"/>
    <col min="13064" max="13064" width="12" customWidth="1"/>
    <col min="13065" max="13065" width="11.7109375" customWidth="1"/>
    <col min="13066" max="13066" width="14.28515625" customWidth="1"/>
    <col min="13067" max="13067" width="14.85546875" customWidth="1"/>
    <col min="13070" max="13070" width="11.28515625" bestFit="1" customWidth="1"/>
    <col min="13075" max="13075" width="11.7109375" bestFit="1" customWidth="1"/>
    <col min="13315" max="13315" width="6" customWidth="1"/>
    <col min="13316" max="13316" width="11.5703125" customWidth="1"/>
    <col min="13317" max="13317" width="42.7109375" customWidth="1"/>
    <col min="13318" max="13318" width="6.5703125" customWidth="1"/>
    <col min="13319" max="13319" width="12.28515625" customWidth="1"/>
    <col min="13320" max="13320" width="12" customWidth="1"/>
    <col min="13321" max="13321" width="11.7109375" customWidth="1"/>
    <col min="13322" max="13322" width="14.28515625" customWidth="1"/>
    <col min="13323" max="13323" width="14.85546875" customWidth="1"/>
    <col min="13326" max="13326" width="11.28515625" bestFit="1" customWidth="1"/>
    <col min="13331" max="13331" width="11.7109375" bestFit="1" customWidth="1"/>
    <col min="13571" max="13571" width="6" customWidth="1"/>
    <col min="13572" max="13572" width="11.5703125" customWidth="1"/>
    <col min="13573" max="13573" width="42.7109375" customWidth="1"/>
    <col min="13574" max="13574" width="6.5703125" customWidth="1"/>
    <col min="13575" max="13575" width="12.28515625" customWidth="1"/>
    <col min="13576" max="13576" width="12" customWidth="1"/>
    <col min="13577" max="13577" width="11.7109375" customWidth="1"/>
    <col min="13578" max="13578" width="14.28515625" customWidth="1"/>
    <col min="13579" max="13579" width="14.85546875" customWidth="1"/>
    <col min="13582" max="13582" width="11.28515625" bestFit="1" customWidth="1"/>
    <col min="13587" max="13587" width="11.7109375" bestFit="1" customWidth="1"/>
    <col min="13827" max="13827" width="6" customWidth="1"/>
    <col min="13828" max="13828" width="11.5703125" customWidth="1"/>
    <col min="13829" max="13829" width="42.7109375" customWidth="1"/>
    <col min="13830" max="13830" width="6.5703125" customWidth="1"/>
    <col min="13831" max="13831" width="12.28515625" customWidth="1"/>
    <col min="13832" max="13832" width="12" customWidth="1"/>
    <col min="13833" max="13833" width="11.7109375" customWidth="1"/>
    <col min="13834" max="13834" width="14.28515625" customWidth="1"/>
    <col min="13835" max="13835" width="14.85546875" customWidth="1"/>
    <col min="13838" max="13838" width="11.28515625" bestFit="1" customWidth="1"/>
    <col min="13843" max="13843" width="11.7109375" bestFit="1" customWidth="1"/>
    <col min="14083" max="14083" width="6" customWidth="1"/>
    <col min="14084" max="14084" width="11.5703125" customWidth="1"/>
    <col min="14085" max="14085" width="42.7109375" customWidth="1"/>
    <col min="14086" max="14086" width="6.5703125" customWidth="1"/>
    <col min="14087" max="14087" width="12.28515625" customWidth="1"/>
    <col min="14088" max="14088" width="12" customWidth="1"/>
    <col min="14089" max="14089" width="11.7109375" customWidth="1"/>
    <col min="14090" max="14090" width="14.28515625" customWidth="1"/>
    <col min="14091" max="14091" width="14.85546875" customWidth="1"/>
    <col min="14094" max="14094" width="11.28515625" bestFit="1" customWidth="1"/>
    <col min="14099" max="14099" width="11.7109375" bestFit="1" customWidth="1"/>
    <col min="14339" max="14339" width="6" customWidth="1"/>
    <col min="14340" max="14340" width="11.5703125" customWidth="1"/>
    <col min="14341" max="14341" width="42.7109375" customWidth="1"/>
    <col min="14342" max="14342" width="6.5703125" customWidth="1"/>
    <col min="14343" max="14343" width="12.28515625" customWidth="1"/>
    <col min="14344" max="14344" width="12" customWidth="1"/>
    <col min="14345" max="14345" width="11.7109375" customWidth="1"/>
    <col min="14346" max="14346" width="14.28515625" customWidth="1"/>
    <col min="14347" max="14347" width="14.85546875" customWidth="1"/>
    <col min="14350" max="14350" width="11.28515625" bestFit="1" customWidth="1"/>
    <col min="14355" max="14355" width="11.7109375" bestFit="1" customWidth="1"/>
    <col min="14595" max="14595" width="6" customWidth="1"/>
    <col min="14596" max="14596" width="11.5703125" customWidth="1"/>
    <col min="14597" max="14597" width="42.7109375" customWidth="1"/>
    <col min="14598" max="14598" width="6.5703125" customWidth="1"/>
    <col min="14599" max="14599" width="12.28515625" customWidth="1"/>
    <col min="14600" max="14600" width="12" customWidth="1"/>
    <col min="14601" max="14601" width="11.7109375" customWidth="1"/>
    <col min="14602" max="14602" width="14.28515625" customWidth="1"/>
    <col min="14603" max="14603" width="14.85546875" customWidth="1"/>
    <col min="14606" max="14606" width="11.28515625" bestFit="1" customWidth="1"/>
    <col min="14611" max="14611" width="11.7109375" bestFit="1" customWidth="1"/>
    <col min="14851" max="14851" width="6" customWidth="1"/>
    <col min="14852" max="14852" width="11.5703125" customWidth="1"/>
    <col min="14853" max="14853" width="42.7109375" customWidth="1"/>
    <col min="14854" max="14854" width="6.5703125" customWidth="1"/>
    <col min="14855" max="14855" width="12.28515625" customWidth="1"/>
    <col min="14856" max="14856" width="12" customWidth="1"/>
    <col min="14857" max="14857" width="11.7109375" customWidth="1"/>
    <col min="14858" max="14858" width="14.28515625" customWidth="1"/>
    <col min="14859" max="14859" width="14.85546875" customWidth="1"/>
    <col min="14862" max="14862" width="11.28515625" bestFit="1" customWidth="1"/>
    <col min="14867" max="14867" width="11.7109375" bestFit="1" customWidth="1"/>
    <col min="15107" max="15107" width="6" customWidth="1"/>
    <col min="15108" max="15108" width="11.5703125" customWidth="1"/>
    <col min="15109" max="15109" width="42.7109375" customWidth="1"/>
    <col min="15110" max="15110" width="6.5703125" customWidth="1"/>
    <col min="15111" max="15111" width="12.28515625" customWidth="1"/>
    <col min="15112" max="15112" width="12" customWidth="1"/>
    <col min="15113" max="15113" width="11.7109375" customWidth="1"/>
    <col min="15114" max="15114" width="14.28515625" customWidth="1"/>
    <col min="15115" max="15115" width="14.85546875" customWidth="1"/>
    <col min="15118" max="15118" width="11.28515625" bestFit="1" customWidth="1"/>
    <col min="15123" max="15123" width="11.7109375" bestFit="1" customWidth="1"/>
    <col min="15363" max="15363" width="6" customWidth="1"/>
    <col min="15364" max="15364" width="11.5703125" customWidth="1"/>
    <col min="15365" max="15365" width="42.7109375" customWidth="1"/>
    <col min="15366" max="15366" width="6.5703125" customWidth="1"/>
    <col min="15367" max="15367" width="12.28515625" customWidth="1"/>
    <col min="15368" max="15368" width="12" customWidth="1"/>
    <col min="15369" max="15369" width="11.7109375" customWidth="1"/>
    <col min="15370" max="15370" width="14.28515625" customWidth="1"/>
    <col min="15371" max="15371" width="14.85546875" customWidth="1"/>
    <col min="15374" max="15374" width="11.28515625" bestFit="1" customWidth="1"/>
    <col min="15379" max="15379" width="11.7109375" bestFit="1" customWidth="1"/>
    <col min="15619" max="15619" width="6" customWidth="1"/>
    <col min="15620" max="15620" width="11.5703125" customWidth="1"/>
    <col min="15621" max="15621" width="42.7109375" customWidth="1"/>
    <col min="15622" max="15622" width="6.5703125" customWidth="1"/>
    <col min="15623" max="15623" width="12.28515625" customWidth="1"/>
    <col min="15624" max="15624" width="12" customWidth="1"/>
    <col min="15625" max="15625" width="11.7109375" customWidth="1"/>
    <col min="15626" max="15626" width="14.28515625" customWidth="1"/>
    <col min="15627" max="15627" width="14.85546875" customWidth="1"/>
    <col min="15630" max="15630" width="11.28515625" bestFit="1" customWidth="1"/>
    <col min="15635" max="15635" width="11.7109375" bestFit="1" customWidth="1"/>
    <col min="15875" max="15875" width="6" customWidth="1"/>
    <col min="15876" max="15876" width="11.5703125" customWidth="1"/>
    <col min="15877" max="15877" width="42.7109375" customWidth="1"/>
    <col min="15878" max="15878" width="6.5703125" customWidth="1"/>
    <col min="15879" max="15879" width="12.28515625" customWidth="1"/>
    <col min="15880" max="15880" width="12" customWidth="1"/>
    <col min="15881" max="15881" width="11.7109375" customWidth="1"/>
    <col min="15882" max="15882" width="14.28515625" customWidth="1"/>
    <col min="15883" max="15883" width="14.85546875" customWidth="1"/>
    <col min="15886" max="15886" width="11.28515625" bestFit="1" customWidth="1"/>
    <col min="15891" max="15891" width="11.7109375" bestFit="1" customWidth="1"/>
    <col min="16131" max="16131" width="6" customWidth="1"/>
    <col min="16132" max="16132" width="11.5703125" customWidth="1"/>
    <col min="16133" max="16133" width="42.7109375" customWidth="1"/>
    <col min="16134" max="16134" width="6.5703125" customWidth="1"/>
    <col min="16135" max="16135" width="12.28515625" customWidth="1"/>
    <col min="16136" max="16136" width="12" customWidth="1"/>
    <col min="16137" max="16137" width="11.7109375" customWidth="1"/>
    <col min="16138" max="16138" width="14.28515625" customWidth="1"/>
    <col min="16139" max="16139" width="14.85546875" customWidth="1"/>
    <col min="16142" max="16142" width="11.28515625" bestFit="1" customWidth="1"/>
    <col min="16147" max="16147" width="11.710937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</row>
    <row r="5" spans="1:13" x14ac:dyDescent="0.2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57"/>
    </row>
    <row r="6" spans="1:13" x14ac:dyDescent="0.25">
      <c r="A6" t="s">
        <v>354</v>
      </c>
    </row>
    <row r="7" spans="1:13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322</v>
      </c>
      <c r="J7" s="6" t="s">
        <v>321</v>
      </c>
      <c r="K7" s="4" t="s">
        <v>10</v>
      </c>
    </row>
    <row r="8" spans="1:13" ht="18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  <c r="J8" s="7"/>
      <c r="K8" s="7"/>
    </row>
    <row r="9" spans="1:13" ht="17.25" customHeight="1" x14ac:dyDescent="0.25">
      <c r="A9" s="14">
        <v>1</v>
      </c>
      <c r="B9" s="8">
        <v>45800</v>
      </c>
      <c r="C9" s="46" t="s">
        <v>169</v>
      </c>
      <c r="D9" s="214" t="s">
        <v>19</v>
      </c>
      <c r="E9" s="30">
        <v>820</v>
      </c>
      <c r="F9" s="27"/>
      <c r="G9" s="18">
        <f>+G8+E9-F9</f>
        <v>820</v>
      </c>
      <c r="H9" s="28" t="s">
        <v>129</v>
      </c>
      <c r="I9" s="28"/>
      <c r="J9" s="347">
        <v>320</v>
      </c>
      <c r="K9" s="7" t="s">
        <v>177</v>
      </c>
      <c r="L9" s="392">
        <f>+J9/E9</f>
        <v>0.3902439024390244</v>
      </c>
    </row>
    <row r="10" spans="1:13" ht="17.25" customHeight="1" x14ac:dyDescent="0.25">
      <c r="A10" s="14"/>
      <c r="B10" s="8">
        <v>45801</v>
      </c>
      <c r="C10" s="46" t="s">
        <v>169</v>
      </c>
      <c r="D10" s="214"/>
      <c r="E10" s="30"/>
      <c r="F10" s="27">
        <v>145</v>
      </c>
      <c r="G10" s="18">
        <f t="shared" ref="G10:G73" si="0">+G9+E10-F10</f>
        <v>675</v>
      </c>
      <c r="H10" s="28"/>
      <c r="I10" s="28">
        <f>+F10*L9</f>
        <v>56.585365853658537</v>
      </c>
      <c r="J10" s="347"/>
      <c r="K10" s="7"/>
      <c r="L10" s="392"/>
    </row>
    <row r="11" spans="1:13" ht="17.25" customHeight="1" x14ac:dyDescent="0.25">
      <c r="A11" s="14">
        <f>+A9+1</f>
        <v>2</v>
      </c>
      <c r="B11" s="8">
        <v>45803</v>
      </c>
      <c r="C11" s="46" t="s">
        <v>169</v>
      </c>
      <c r="D11" s="214" t="s">
        <v>19</v>
      </c>
      <c r="E11" s="30"/>
      <c r="F11" s="27">
        <v>417</v>
      </c>
      <c r="G11" s="18">
        <f t="shared" si="0"/>
        <v>258</v>
      </c>
      <c r="H11" s="28" t="s">
        <v>129</v>
      </c>
      <c r="I11" s="28">
        <f>+F11*L9</f>
        <v>162.73170731707319</v>
      </c>
      <c r="J11" s="28"/>
      <c r="K11" s="7" t="s">
        <v>90</v>
      </c>
    </row>
    <row r="12" spans="1:13" ht="18" customHeight="1" x14ac:dyDescent="0.25">
      <c r="A12" s="14">
        <f t="shared" ref="A12:A75" si="1">+A11+1</f>
        <v>3</v>
      </c>
      <c r="B12" s="8">
        <v>45804</v>
      </c>
      <c r="C12" s="46" t="s">
        <v>169</v>
      </c>
      <c r="D12" s="214" t="s">
        <v>19</v>
      </c>
      <c r="E12" s="16"/>
      <c r="F12" s="27">
        <v>104</v>
      </c>
      <c r="G12" s="18">
        <f t="shared" si="0"/>
        <v>154</v>
      </c>
      <c r="H12" s="28" t="s">
        <v>129</v>
      </c>
      <c r="I12" s="28">
        <f>+F12*L9</f>
        <v>40.585365853658537</v>
      </c>
      <c r="J12" s="28"/>
      <c r="K12" s="7" t="s">
        <v>90</v>
      </c>
      <c r="L12" s="26"/>
    </row>
    <row r="13" spans="1:13" ht="18" customHeight="1" x14ac:dyDescent="0.25">
      <c r="A13" s="14">
        <f t="shared" si="1"/>
        <v>4</v>
      </c>
      <c r="B13" s="8">
        <v>45824</v>
      </c>
      <c r="C13" s="46" t="s">
        <v>169</v>
      </c>
      <c r="D13" s="214" t="s">
        <v>19</v>
      </c>
      <c r="E13" s="16">
        <v>838</v>
      </c>
      <c r="F13" s="17"/>
      <c r="G13" s="18">
        <f t="shared" si="0"/>
        <v>992</v>
      </c>
      <c r="H13" s="28" t="s">
        <v>129</v>
      </c>
      <c r="I13" s="28"/>
      <c r="J13" s="28">
        <v>315</v>
      </c>
      <c r="K13" s="7" t="s">
        <v>90</v>
      </c>
      <c r="L13" s="26"/>
    </row>
    <row r="14" spans="1:13" ht="18" customHeight="1" x14ac:dyDescent="0.25">
      <c r="A14" s="14">
        <f t="shared" si="1"/>
        <v>5</v>
      </c>
      <c r="B14" s="205">
        <v>45853</v>
      </c>
      <c r="C14" s="46" t="s">
        <v>169</v>
      </c>
      <c r="D14" s="214" t="s">
        <v>19</v>
      </c>
      <c r="E14" s="16"/>
      <c r="F14" s="17">
        <v>190</v>
      </c>
      <c r="G14" s="18">
        <f t="shared" si="0"/>
        <v>802</v>
      </c>
      <c r="H14" s="28" t="s">
        <v>129</v>
      </c>
      <c r="I14" s="28"/>
      <c r="J14" s="28" t="s">
        <v>36</v>
      </c>
      <c r="K14" s="7" t="s">
        <v>90</v>
      </c>
      <c r="L14" s="392">
        <f>+J13/E13</f>
        <v>0.37589498806682575</v>
      </c>
    </row>
    <row r="15" spans="1:13" ht="18" customHeight="1" x14ac:dyDescent="0.25">
      <c r="A15" s="14">
        <f t="shared" si="1"/>
        <v>6</v>
      </c>
      <c r="B15" s="8">
        <v>45854</v>
      </c>
      <c r="C15" s="46" t="s">
        <v>169</v>
      </c>
      <c r="D15" s="214" t="s">
        <v>19</v>
      </c>
      <c r="E15" s="16"/>
      <c r="F15" s="27">
        <v>370</v>
      </c>
      <c r="G15" s="18">
        <f t="shared" si="0"/>
        <v>432</v>
      </c>
      <c r="H15" s="28" t="s">
        <v>91</v>
      </c>
      <c r="I15" s="28">
        <f>+F15*L14</f>
        <v>139.08114558472553</v>
      </c>
      <c r="J15" s="28"/>
      <c r="K15" s="7" t="s">
        <v>90</v>
      </c>
      <c r="M15" s="404"/>
    </row>
    <row r="16" spans="1:13" ht="18" customHeight="1" x14ac:dyDescent="0.25">
      <c r="A16" s="14">
        <f t="shared" si="1"/>
        <v>7</v>
      </c>
      <c r="B16" s="8">
        <v>45855</v>
      </c>
      <c r="C16" s="46" t="s">
        <v>169</v>
      </c>
      <c r="D16" s="214" t="s">
        <v>19</v>
      </c>
      <c r="E16" s="16"/>
      <c r="F16" s="27">
        <v>105</v>
      </c>
      <c r="G16" s="18">
        <f t="shared" si="0"/>
        <v>327</v>
      </c>
      <c r="H16" s="28" t="s">
        <v>91</v>
      </c>
      <c r="I16" s="28"/>
      <c r="J16" s="28"/>
      <c r="K16" s="7" t="s">
        <v>90</v>
      </c>
      <c r="L16" s="26"/>
    </row>
    <row r="17" spans="1:16" ht="18" customHeight="1" x14ac:dyDescent="0.25">
      <c r="A17" s="14">
        <f t="shared" si="1"/>
        <v>8</v>
      </c>
      <c r="B17" s="8">
        <v>45856</v>
      </c>
      <c r="C17" s="46" t="s">
        <v>169</v>
      </c>
      <c r="D17" s="214" t="s">
        <v>19</v>
      </c>
      <c r="E17" s="16"/>
      <c r="F17" s="27">
        <v>200</v>
      </c>
      <c r="G17" s="18">
        <f t="shared" si="0"/>
        <v>127</v>
      </c>
      <c r="H17" s="28" t="s">
        <v>91</v>
      </c>
      <c r="I17" s="28"/>
      <c r="J17" s="28"/>
      <c r="K17" s="7" t="s">
        <v>90</v>
      </c>
      <c r="L17" s="26"/>
    </row>
    <row r="18" spans="1:16" ht="18" customHeight="1" x14ac:dyDescent="0.25">
      <c r="A18" s="14">
        <f t="shared" si="1"/>
        <v>9</v>
      </c>
      <c r="B18" s="8">
        <v>45857</v>
      </c>
      <c r="C18" s="46" t="s">
        <v>169</v>
      </c>
      <c r="D18" s="214" t="s">
        <v>19</v>
      </c>
      <c r="E18" s="16"/>
      <c r="F18" s="27">
        <v>127</v>
      </c>
      <c r="G18" s="18">
        <f t="shared" si="0"/>
        <v>0</v>
      </c>
      <c r="H18" s="28" t="s">
        <v>91</v>
      </c>
      <c r="I18" s="28">
        <f t="shared" ref="I18:I20" si="2">+F18*M18</f>
        <v>0</v>
      </c>
      <c r="J18" s="28"/>
      <c r="K18" s="7" t="s">
        <v>90</v>
      </c>
    </row>
    <row r="19" spans="1:16" ht="18" customHeight="1" x14ac:dyDescent="0.25">
      <c r="A19" s="14">
        <f t="shared" si="1"/>
        <v>10</v>
      </c>
      <c r="B19" s="8">
        <v>45927</v>
      </c>
      <c r="C19" s="46" t="s">
        <v>169</v>
      </c>
      <c r="D19" s="214" t="s">
        <v>19</v>
      </c>
      <c r="E19" s="30">
        <f>36*20</f>
        <v>720</v>
      </c>
      <c r="F19" s="27"/>
      <c r="G19" s="18">
        <f t="shared" si="0"/>
        <v>720</v>
      </c>
      <c r="H19" s="28" t="s">
        <v>91</v>
      </c>
      <c r="I19" s="28">
        <f t="shared" si="2"/>
        <v>0</v>
      </c>
      <c r="J19" s="239">
        <v>273</v>
      </c>
      <c r="K19" s="7" t="s">
        <v>90</v>
      </c>
      <c r="L19" s="349">
        <f>+J19/E19</f>
        <v>0.37916666666666665</v>
      </c>
    </row>
    <row r="20" spans="1:16" s="230" customFormat="1" ht="18" customHeight="1" x14ac:dyDescent="0.25">
      <c r="A20" s="14">
        <f t="shared" si="1"/>
        <v>11</v>
      </c>
      <c r="B20" s="224">
        <v>45932</v>
      </c>
      <c r="C20" s="46" t="s">
        <v>169</v>
      </c>
      <c r="D20" s="226" t="s">
        <v>19</v>
      </c>
      <c r="E20" s="227"/>
      <c r="F20" s="228">
        <v>174</v>
      </c>
      <c r="G20" s="18">
        <f t="shared" si="0"/>
        <v>546</v>
      </c>
      <c r="H20" s="28" t="s">
        <v>91</v>
      </c>
      <c r="I20" s="28">
        <f t="shared" si="2"/>
        <v>0</v>
      </c>
      <c r="J20" s="28"/>
      <c r="K20" s="7" t="s">
        <v>90</v>
      </c>
    </row>
    <row r="21" spans="1:16" s="230" customFormat="1" ht="18" customHeight="1" x14ac:dyDescent="0.25">
      <c r="A21" s="14">
        <f t="shared" si="1"/>
        <v>12</v>
      </c>
      <c r="B21" s="224">
        <v>45933</v>
      </c>
      <c r="C21" s="46" t="s">
        <v>169</v>
      </c>
      <c r="D21" s="226" t="s">
        <v>19</v>
      </c>
      <c r="E21" s="231"/>
      <c r="F21" s="228">
        <v>195</v>
      </c>
      <c r="G21" s="18">
        <f t="shared" si="0"/>
        <v>351</v>
      </c>
      <c r="H21" s="28" t="s">
        <v>91</v>
      </c>
      <c r="I21" s="28"/>
      <c r="J21" s="28"/>
      <c r="K21" s="7" t="s">
        <v>90</v>
      </c>
    </row>
    <row r="22" spans="1:16" ht="18" customHeight="1" x14ac:dyDescent="0.25">
      <c r="A22" s="14">
        <f t="shared" si="1"/>
        <v>13</v>
      </c>
      <c r="B22" s="8">
        <v>45936</v>
      </c>
      <c r="C22" s="46" t="s">
        <v>169</v>
      </c>
      <c r="D22" s="214" t="s">
        <v>19</v>
      </c>
      <c r="E22" s="32"/>
      <c r="F22" s="17">
        <v>220</v>
      </c>
      <c r="G22" s="18">
        <f t="shared" si="0"/>
        <v>131</v>
      </c>
      <c r="H22" s="28" t="s">
        <v>91</v>
      </c>
      <c r="I22" s="28"/>
      <c r="J22" s="28"/>
      <c r="K22" s="7" t="s">
        <v>90</v>
      </c>
      <c r="P22" s="26"/>
    </row>
    <row r="23" spans="1:16" ht="18" customHeight="1" x14ac:dyDescent="0.25">
      <c r="A23" s="14">
        <f t="shared" si="1"/>
        <v>14</v>
      </c>
      <c r="B23" s="8">
        <v>45937</v>
      </c>
      <c r="C23" s="46" t="s">
        <v>169</v>
      </c>
      <c r="D23" s="214" t="s">
        <v>19</v>
      </c>
      <c r="E23" s="32"/>
      <c r="F23" s="27">
        <v>131</v>
      </c>
      <c r="G23" s="18">
        <f t="shared" si="0"/>
        <v>0</v>
      </c>
      <c r="H23" s="28" t="s">
        <v>91</v>
      </c>
      <c r="I23" s="28"/>
      <c r="J23" s="28"/>
      <c r="K23" s="7" t="s">
        <v>90</v>
      </c>
      <c r="N23" s="162"/>
    </row>
    <row r="24" spans="1:16" ht="18" customHeight="1" x14ac:dyDescent="0.25">
      <c r="A24" s="14">
        <f t="shared" si="1"/>
        <v>15</v>
      </c>
      <c r="B24" s="232"/>
      <c r="C24" s="46" t="s">
        <v>169</v>
      </c>
      <c r="D24" s="234" t="s">
        <v>19</v>
      </c>
      <c r="E24" s="235"/>
      <c r="F24" s="172"/>
      <c r="G24" s="18">
        <f t="shared" si="0"/>
        <v>0</v>
      </c>
      <c r="H24" s="28" t="s">
        <v>129</v>
      </c>
      <c r="I24" s="28"/>
      <c r="J24" s="28"/>
      <c r="K24" s="7" t="s">
        <v>90</v>
      </c>
    </row>
    <row r="25" spans="1:16" ht="18" customHeight="1" x14ac:dyDescent="0.25">
      <c r="A25" s="14">
        <f t="shared" si="1"/>
        <v>16</v>
      </c>
      <c r="B25" s="8"/>
      <c r="C25" s="46" t="s">
        <v>169</v>
      </c>
      <c r="D25" s="214" t="s">
        <v>19</v>
      </c>
      <c r="E25" s="32"/>
      <c r="F25" s="17"/>
      <c r="G25" s="18">
        <f t="shared" si="0"/>
        <v>0</v>
      </c>
      <c r="H25" s="28" t="s">
        <v>129</v>
      </c>
      <c r="I25" s="28"/>
      <c r="J25" s="28"/>
      <c r="K25" s="7" t="s">
        <v>142</v>
      </c>
    </row>
    <row r="26" spans="1:16" ht="18" customHeight="1" x14ac:dyDescent="0.25">
      <c r="A26" s="14">
        <f t="shared" si="1"/>
        <v>17</v>
      </c>
      <c r="B26" s="8"/>
      <c r="C26" s="46" t="s">
        <v>169</v>
      </c>
      <c r="D26" s="214" t="s">
        <v>19</v>
      </c>
      <c r="E26" s="32"/>
      <c r="F26" s="17"/>
      <c r="G26" s="18">
        <f t="shared" si="0"/>
        <v>0</v>
      </c>
      <c r="H26" s="28" t="s">
        <v>91</v>
      </c>
      <c r="I26" s="28"/>
      <c r="J26" s="28"/>
      <c r="K26" s="7" t="s">
        <v>90</v>
      </c>
    </row>
    <row r="27" spans="1:16" ht="18" customHeight="1" x14ac:dyDescent="0.25">
      <c r="A27" s="14">
        <f t="shared" si="1"/>
        <v>18</v>
      </c>
      <c r="B27" s="8"/>
      <c r="C27" s="46" t="s">
        <v>169</v>
      </c>
      <c r="D27" s="214" t="s">
        <v>19</v>
      </c>
      <c r="E27" s="32"/>
      <c r="F27" s="17"/>
      <c r="G27" s="18">
        <f t="shared" si="0"/>
        <v>0</v>
      </c>
      <c r="H27" s="28" t="s">
        <v>91</v>
      </c>
      <c r="I27" s="28"/>
      <c r="J27" s="28"/>
      <c r="K27" s="7" t="s">
        <v>90</v>
      </c>
    </row>
    <row r="28" spans="1:16" ht="18" customHeight="1" x14ac:dyDescent="0.25">
      <c r="A28" s="14">
        <f t="shared" si="1"/>
        <v>19</v>
      </c>
      <c r="B28" s="8"/>
      <c r="C28" s="46" t="s">
        <v>169</v>
      </c>
      <c r="D28" s="214" t="s">
        <v>19</v>
      </c>
      <c r="E28" s="32"/>
      <c r="F28" s="17"/>
      <c r="G28" s="18">
        <f t="shared" si="0"/>
        <v>0</v>
      </c>
      <c r="H28" s="28" t="s">
        <v>91</v>
      </c>
      <c r="I28" s="28"/>
      <c r="J28" s="28"/>
      <c r="K28" s="7" t="s">
        <v>90</v>
      </c>
    </row>
    <row r="29" spans="1:16" ht="18" customHeight="1" x14ac:dyDescent="0.25">
      <c r="A29" s="14">
        <f t="shared" si="1"/>
        <v>20</v>
      </c>
      <c r="B29" s="8"/>
      <c r="C29" s="46" t="s">
        <v>169</v>
      </c>
      <c r="D29" s="214" t="s">
        <v>19</v>
      </c>
      <c r="E29" s="32"/>
      <c r="F29" s="17"/>
      <c r="G29" s="18">
        <f t="shared" si="0"/>
        <v>0</v>
      </c>
      <c r="H29" s="28" t="s">
        <v>91</v>
      </c>
      <c r="I29" s="28"/>
      <c r="J29" s="28"/>
      <c r="K29" s="7" t="s">
        <v>90</v>
      </c>
    </row>
    <row r="30" spans="1:16" ht="18" customHeight="1" x14ac:dyDescent="0.25">
      <c r="A30" s="14">
        <f t="shared" si="1"/>
        <v>21</v>
      </c>
      <c r="B30" s="8"/>
      <c r="C30" s="46"/>
      <c r="D30" s="214" t="s">
        <v>19</v>
      </c>
      <c r="E30" s="129"/>
      <c r="F30" s="17"/>
      <c r="G30" s="18">
        <f t="shared" si="0"/>
        <v>0</v>
      </c>
      <c r="H30" s="28" t="s">
        <v>91</v>
      </c>
      <c r="I30" s="28"/>
      <c r="J30" s="28"/>
      <c r="K30" s="7" t="s">
        <v>90</v>
      </c>
    </row>
    <row r="31" spans="1:16" ht="18" customHeight="1" x14ac:dyDescent="0.25">
      <c r="A31" s="14">
        <f t="shared" si="1"/>
        <v>22</v>
      </c>
      <c r="B31" s="8"/>
      <c r="C31" s="46"/>
      <c r="D31" s="214" t="s">
        <v>19</v>
      </c>
      <c r="E31" s="32"/>
      <c r="F31" s="172"/>
      <c r="G31" s="18">
        <f t="shared" si="0"/>
        <v>0</v>
      </c>
      <c r="H31" s="28" t="s">
        <v>91</v>
      </c>
      <c r="I31" s="28"/>
      <c r="J31" s="28"/>
      <c r="K31" s="7" t="s">
        <v>90</v>
      </c>
    </row>
    <row r="32" spans="1:16" ht="18" customHeight="1" x14ac:dyDescent="0.25">
      <c r="A32" s="14">
        <f t="shared" si="1"/>
        <v>23</v>
      </c>
      <c r="B32" s="8"/>
      <c r="C32" s="46"/>
      <c r="D32" s="214" t="s">
        <v>19</v>
      </c>
      <c r="E32" s="32"/>
      <c r="F32" s="17"/>
      <c r="G32" s="18">
        <f t="shared" si="0"/>
        <v>0</v>
      </c>
      <c r="H32" s="28" t="s">
        <v>91</v>
      </c>
      <c r="I32" s="28"/>
      <c r="J32" s="28"/>
      <c r="K32" s="7" t="s">
        <v>90</v>
      </c>
      <c r="N32">
        <f>+N31/285</f>
        <v>0</v>
      </c>
    </row>
    <row r="33" spans="1:18" ht="18" customHeight="1" x14ac:dyDescent="0.25">
      <c r="A33" s="14">
        <f t="shared" si="1"/>
        <v>24</v>
      </c>
      <c r="B33" s="8"/>
      <c r="C33" s="46"/>
      <c r="D33" s="214" t="s">
        <v>19</v>
      </c>
      <c r="E33" s="32"/>
      <c r="F33" s="17"/>
      <c r="G33" s="18">
        <f t="shared" si="0"/>
        <v>0</v>
      </c>
      <c r="H33" s="28" t="s">
        <v>91</v>
      </c>
      <c r="I33" s="28"/>
      <c r="J33" s="28"/>
      <c r="K33" s="7" t="s">
        <v>90</v>
      </c>
    </row>
    <row r="34" spans="1:18" ht="17.25" customHeight="1" x14ac:dyDescent="0.25">
      <c r="A34" s="14">
        <f t="shared" si="1"/>
        <v>25</v>
      </c>
      <c r="B34" s="8"/>
      <c r="C34" s="46"/>
      <c r="D34" s="214" t="s">
        <v>19</v>
      </c>
      <c r="E34" s="13"/>
      <c r="F34" s="17"/>
      <c r="G34" s="18">
        <f t="shared" si="0"/>
        <v>0</v>
      </c>
      <c r="H34" s="28" t="s">
        <v>91</v>
      </c>
      <c r="I34" s="28"/>
      <c r="J34" s="28"/>
      <c r="K34" s="7" t="s">
        <v>90</v>
      </c>
    </row>
    <row r="35" spans="1:18" ht="17.25" customHeight="1" x14ac:dyDescent="0.25">
      <c r="A35" s="14">
        <f t="shared" si="1"/>
        <v>26</v>
      </c>
      <c r="B35" s="44"/>
      <c r="C35" s="46"/>
      <c r="D35" s="214" t="s">
        <v>19</v>
      </c>
      <c r="E35" s="13"/>
      <c r="F35" s="17"/>
      <c r="G35" s="18">
        <f t="shared" si="0"/>
        <v>0</v>
      </c>
      <c r="H35" s="28" t="s">
        <v>91</v>
      </c>
      <c r="I35" s="28"/>
      <c r="J35" s="28"/>
      <c r="K35" s="7" t="s">
        <v>90</v>
      </c>
      <c r="R35">
        <f>1081-200</f>
        <v>881</v>
      </c>
    </row>
    <row r="36" spans="1:18" ht="18" customHeight="1" x14ac:dyDescent="0.25">
      <c r="A36" s="14">
        <f t="shared" si="1"/>
        <v>27</v>
      </c>
      <c r="B36" s="8"/>
      <c r="C36" s="46"/>
      <c r="D36" s="214" t="s">
        <v>19</v>
      </c>
      <c r="E36" s="32"/>
      <c r="F36" s="40"/>
      <c r="G36" s="18">
        <f t="shared" si="0"/>
        <v>0</v>
      </c>
      <c r="H36" s="28" t="s">
        <v>91</v>
      </c>
      <c r="I36" s="28"/>
      <c r="J36" s="28"/>
      <c r="K36" s="7" t="s">
        <v>90</v>
      </c>
      <c r="R36">
        <f>+N23*R35</f>
        <v>0</v>
      </c>
    </row>
    <row r="37" spans="1:18" ht="18" customHeight="1" x14ac:dyDescent="0.25">
      <c r="A37" s="14">
        <f t="shared" si="1"/>
        <v>28</v>
      </c>
      <c r="B37" s="45"/>
      <c r="C37" s="46"/>
      <c r="D37" s="214" t="s">
        <v>19</v>
      </c>
      <c r="E37" s="32"/>
      <c r="F37" s="40"/>
      <c r="G37" s="18">
        <f t="shared" si="0"/>
        <v>0</v>
      </c>
      <c r="H37" s="178"/>
      <c r="I37" s="178"/>
      <c r="J37" s="178"/>
      <c r="K37" s="7"/>
    </row>
    <row r="38" spans="1:18" ht="18" customHeight="1" x14ac:dyDescent="0.25">
      <c r="A38" s="14">
        <f t="shared" si="1"/>
        <v>29</v>
      </c>
      <c r="B38" s="8"/>
      <c r="C38" s="46"/>
      <c r="D38" s="214" t="s">
        <v>19</v>
      </c>
      <c r="E38" s="32"/>
      <c r="F38" s="40"/>
      <c r="G38" s="18">
        <f t="shared" si="0"/>
        <v>0</v>
      </c>
      <c r="H38" s="178"/>
      <c r="I38" s="178"/>
      <c r="J38" s="178"/>
      <c r="K38" s="7"/>
    </row>
    <row r="39" spans="1:18" ht="18" customHeight="1" x14ac:dyDescent="0.25">
      <c r="A39" s="14">
        <f t="shared" si="1"/>
        <v>30</v>
      </c>
      <c r="B39" s="8"/>
      <c r="C39" s="46"/>
      <c r="D39" s="214" t="s">
        <v>19</v>
      </c>
      <c r="E39" s="32"/>
      <c r="F39" s="17"/>
      <c r="G39" s="18">
        <f t="shared" si="0"/>
        <v>0</v>
      </c>
      <c r="H39" s="178"/>
      <c r="I39" s="178"/>
      <c r="J39" s="178"/>
      <c r="K39" s="7"/>
      <c r="M39">
        <f>911-338</f>
        <v>573</v>
      </c>
      <c r="O39">
        <f>300*87</f>
        <v>26100</v>
      </c>
      <c r="R39">
        <f>1081-891</f>
        <v>190</v>
      </c>
    </row>
    <row r="40" spans="1:18" ht="18" customHeight="1" x14ac:dyDescent="0.25">
      <c r="A40" s="14">
        <f t="shared" si="1"/>
        <v>31</v>
      </c>
      <c r="B40" s="8"/>
      <c r="C40" s="46"/>
      <c r="D40" s="214" t="s">
        <v>19</v>
      </c>
      <c r="E40" s="32"/>
      <c r="F40" s="17"/>
      <c r="G40" s="18">
        <f t="shared" si="0"/>
        <v>0</v>
      </c>
      <c r="H40" s="178"/>
      <c r="I40" s="385">
        <f>17*0.88</f>
        <v>14.96</v>
      </c>
      <c r="J40" s="178"/>
      <c r="K40" s="7"/>
      <c r="M40">
        <f>+M39-314</f>
        <v>259</v>
      </c>
      <c r="O40">
        <f>+O39/2850</f>
        <v>9.1578947368421044</v>
      </c>
    </row>
    <row r="41" spans="1:18" ht="18" customHeight="1" x14ac:dyDescent="0.25">
      <c r="A41" s="14">
        <f t="shared" si="1"/>
        <v>32</v>
      </c>
      <c r="B41" s="8"/>
      <c r="C41" s="46"/>
      <c r="D41" s="214" t="s">
        <v>19</v>
      </c>
      <c r="E41" s="32"/>
      <c r="F41" s="17"/>
      <c r="G41" s="18">
        <f t="shared" si="0"/>
        <v>0</v>
      </c>
      <c r="H41" s="178"/>
      <c r="I41" s="178">
        <f>20*0.88</f>
        <v>17.600000000000001</v>
      </c>
      <c r="J41" s="178"/>
      <c r="K41" s="7"/>
    </row>
    <row r="42" spans="1:18" ht="18" customHeight="1" x14ac:dyDescent="0.25">
      <c r="A42" s="14">
        <f t="shared" si="1"/>
        <v>33</v>
      </c>
      <c r="B42" s="8"/>
      <c r="C42" s="46"/>
      <c r="D42" s="214" t="s">
        <v>19</v>
      </c>
      <c r="E42" s="32"/>
      <c r="F42" s="17"/>
      <c r="G42" s="18">
        <f t="shared" si="0"/>
        <v>0</v>
      </c>
      <c r="H42" s="178"/>
      <c r="I42" s="178">
        <f>56*0.88</f>
        <v>49.28</v>
      </c>
      <c r="J42" s="178"/>
      <c r="K42" s="7"/>
    </row>
    <row r="43" spans="1:18" ht="18" customHeight="1" x14ac:dyDescent="0.25">
      <c r="A43" s="14">
        <f t="shared" si="1"/>
        <v>34</v>
      </c>
      <c r="B43" s="8"/>
      <c r="C43" s="46"/>
      <c r="D43" s="214" t="s">
        <v>19</v>
      </c>
      <c r="E43" s="32"/>
      <c r="F43" s="172"/>
      <c r="G43" s="18">
        <f t="shared" si="0"/>
        <v>0</v>
      </c>
      <c r="H43" s="178"/>
      <c r="I43" s="178">
        <f>54*0.88</f>
        <v>47.52</v>
      </c>
      <c r="J43" s="178"/>
      <c r="K43" s="7"/>
      <c r="R43" s="162"/>
    </row>
    <row r="44" spans="1:18" ht="18" customHeight="1" x14ac:dyDescent="0.25">
      <c r="A44" s="14">
        <f t="shared" si="1"/>
        <v>35</v>
      </c>
      <c r="B44" s="8"/>
      <c r="C44" s="46"/>
      <c r="D44" s="214" t="s">
        <v>19</v>
      </c>
      <c r="E44" s="32"/>
      <c r="F44" s="17"/>
      <c r="G44" s="18">
        <f t="shared" si="0"/>
        <v>0</v>
      </c>
      <c r="H44" s="178"/>
      <c r="I44" s="178">
        <f>7*0.88</f>
        <v>6.16</v>
      </c>
      <c r="J44" s="178"/>
      <c r="K44" s="7"/>
    </row>
    <row r="45" spans="1:18" ht="18" customHeight="1" x14ac:dyDescent="0.25">
      <c r="A45" s="14">
        <f t="shared" si="1"/>
        <v>36</v>
      </c>
      <c r="B45" s="8"/>
      <c r="C45" s="46"/>
      <c r="D45" s="214" t="s">
        <v>19</v>
      </c>
      <c r="E45" s="32"/>
      <c r="F45" s="17"/>
      <c r="G45" s="18">
        <f t="shared" si="0"/>
        <v>0</v>
      </c>
      <c r="H45" s="178"/>
      <c r="I45" s="178">
        <f>23*0.88</f>
        <v>20.239999999999998</v>
      </c>
      <c r="J45" s="178"/>
      <c r="K45" s="7"/>
    </row>
    <row r="46" spans="1:18" ht="18" customHeight="1" x14ac:dyDescent="0.25">
      <c r="A46" s="14">
        <f t="shared" si="1"/>
        <v>37</v>
      </c>
      <c r="B46" s="8"/>
      <c r="C46" s="46"/>
      <c r="D46" s="214" t="s">
        <v>19</v>
      </c>
      <c r="E46" s="32"/>
      <c r="F46" s="17"/>
      <c r="G46" s="18">
        <f t="shared" si="0"/>
        <v>0</v>
      </c>
      <c r="H46" s="178"/>
      <c r="I46" s="178">
        <f>+F46*0.88</f>
        <v>0</v>
      </c>
      <c r="J46" s="178"/>
      <c r="K46" s="7"/>
      <c r="N46">
        <f>61*20</f>
        <v>1220</v>
      </c>
    </row>
    <row r="47" spans="1:18" ht="18" customHeight="1" x14ac:dyDescent="0.25">
      <c r="A47" s="14">
        <f t="shared" si="1"/>
        <v>38</v>
      </c>
      <c r="B47" s="8"/>
      <c r="C47" s="46"/>
      <c r="D47" s="214" t="s">
        <v>19</v>
      </c>
      <c r="E47" s="32"/>
      <c r="F47" s="17"/>
      <c r="G47" s="18">
        <f t="shared" si="0"/>
        <v>0</v>
      </c>
      <c r="H47" s="178"/>
      <c r="I47" s="178"/>
      <c r="J47" s="178"/>
      <c r="K47" s="29"/>
      <c r="N47">
        <f>+N46*87</f>
        <v>106140</v>
      </c>
    </row>
    <row r="48" spans="1:18" ht="18" customHeight="1" x14ac:dyDescent="0.25">
      <c r="A48" s="14">
        <f t="shared" si="1"/>
        <v>39</v>
      </c>
      <c r="B48" s="8"/>
      <c r="C48" s="46"/>
      <c r="D48" s="214" t="s">
        <v>19</v>
      </c>
      <c r="E48" s="32"/>
      <c r="F48" s="17"/>
      <c r="G48" s="18">
        <f t="shared" si="0"/>
        <v>0</v>
      </c>
      <c r="H48" s="178"/>
      <c r="I48" s="178"/>
      <c r="J48" s="178"/>
      <c r="K48" s="29"/>
      <c r="N48">
        <f>+N47/2850</f>
        <v>37.242105263157896</v>
      </c>
    </row>
    <row r="49" spans="1:18" ht="18" customHeight="1" x14ac:dyDescent="0.25">
      <c r="A49" s="14">
        <f t="shared" si="1"/>
        <v>40</v>
      </c>
      <c r="B49" s="8"/>
      <c r="C49" s="46"/>
      <c r="D49" s="214" t="s">
        <v>19</v>
      </c>
      <c r="E49" s="32"/>
      <c r="F49" s="17"/>
      <c r="G49" s="18">
        <f t="shared" si="0"/>
        <v>0</v>
      </c>
      <c r="H49" s="178"/>
      <c r="I49" s="178"/>
      <c r="J49" s="178"/>
      <c r="K49" s="29"/>
    </row>
    <row r="50" spans="1:18" ht="18" customHeight="1" x14ac:dyDescent="0.25">
      <c r="A50" s="14">
        <f t="shared" si="1"/>
        <v>41</v>
      </c>
      <c r="B50" s="8"/>
      <c r="C50" s="46"/>
      <c r="D50" s="214" t="s">
        <v>19</v>
      </c>
      <c r="E50" s="32"/>
      <c r="F50" s="17"/>
      <c r="G50" s="18">
        <f t="shared" si="0"/>
        <v>0</v>
      </c>
      <c r="H50" s="178"/>
      <c r="I50" s="178"/>
      <c r="J50" s="178"/>
      <c r="K50" s="29"/>
    </row>
    <row r="51" spans="1:18" ht="18" customHeight="1" x14ac:dyDescent="0.25">
      <c r="A51" s="14">
        <f t="shared" si="1"/>
        <v>42</v>
      </c>
      <c r="B51" s="8"/>
      <c r="C51" s="46"/>
      <c r="D51" s="214" t="s">
        <v>19</v>
      </c>
      <c r="E51" s="32"/>
      <c r="F51" s="17"/>
      <c r="G51" s="18">
        <f t="shared" si="0"/>
        <v>0</v>
      </c>
      <c r="H51" s="178"/>
      <c r="I51" s="178"/>
      <c r="J51" s="178"/>
      <c r="K51" s="7"/>
    </row>
    <row r="52" spans="1:18" s="162" customFormat="1" ht="18" customHeight="1" x14ac:dyDescent="0.25">
      <c r="A52" s="14">
        <f t="shared" si="1"/>
        <v>43</v>
      </c>
      <c r="B52" s="174"/>
      <c r="C52" s="236"/>
      <c r="D52" s="237" t="s">
        <v>19</v>
      </c>
      <c r="E52" s="175"/>
      <c r="F52" s="172"/>
      <c r="G52" s="18">
        <f t="shared" si="0"/>
        <v>0</v>
      </c>
      <c r="H52" s="178"/>
      <c r="I52" s="178"/>
      <c r="J52" s="178"/>
      <c r="K52" s="7"/>
      <c r="R52"/>
    </row>
    <row r="53" spans="1:18" ht="18" customHeight="1" x14ac:dyDescent="0.25">
      <c r="A53" s="14">
        <f t="shared" si="1"/>
        <v>44</v>
      </c>
      <c r="B53" s="8"/>
      <c r="C53" s="46"/>
      <c r="D53" s="214" t="s">
        <v>19</v>
      </c>
      <c r="E53" s="32"/>
      <c r="F53" s="17"/>
      <c r="G53" s="18">
        <f t="shared" si="0"/>
        <v>0</v>
      </c>
      <c r="H53" s="239"/>
      <c r="I53" s="239"/>
      <c r="J53" s="239"/>
      <c r="K53" s="7"/>
    </row>
    <row r="54" spans="1:18" ht="18" customHeight="1" x14ac:dyDescent="0.25">
      <c r="A54" s="14">
        <f t="shared" si="1"/>
        <v>45</v>
      </c>
      <c r="B54" s="8"/>
      <c r="C54" s="46"/>
      <c r="D54" s="214" t="s">
        <v>19</v>
      </c>
      <c r="E54" s="32"/>
      <c r="F54" s="17"/>
      <c r="G54" s="18">
        <f t="shared" si="0"/>
        <v>0</v>
      </c>
      <c r="H54" s="239"/>
      <c r="I54" s="239"/>
      <c r="J54" s="239"/>
      <c r="K54" s="7"/>
      <c r="N54">
        <f>180*89</f>
        <v>16020</v>
      </c>
    </row>
    <row r="55" spans="1:18" ht="18" customHeight="1" x14ac:dyDescent="0.25">
      <c r="A55" s="14">
        <f t="shared" si="1"/>
        <v>46</v>
      </c>
      <c r="B55" s="8"/>
      <c r="C55" s="46"/>
      <c r="D55" s="214" t="s">
        <v>19</v>
      </c>
      <c r="E55" s="32"/>
      <c r="F55" s="17"/>
      <c r="G55" s="18">
        <f t="shared" si="0"/>
        <v>0</v>
      </c>
      <c r="H55" s="239"/>
      <c r="I55" s="239"/>
      <c r="J55" s="239"/>
      <c r="K55" s="7"/>
      <c r="N55">
        <f>+N54/2870</f>
        <v>5.5818815331010452</v>
      </c>
    </row>
    <row r="56" spans="1:18" ht="18" customHeight="1" x14ac:dyDescent="0.25">
      <c r="A56" s="14">
        <f t="shared" si="1"/>
        <v>47</v>
      </c>
      <c r="B56" s="8"/>
      <c r="C56" s="46"/>
      <c r="D56" s="214" t="s">
        <v>19</v>
      </c>
      <c r="E56" s="32"/>
      <c r="F56" s="17"/>
      <c r="G56" s="18">
        <f t="shared" si="0"/>
        <v>0</v>
      </c>
      <c r="H56" s="28"/>
      <c r="I56" s="28"/>
      <c r="J56" s="28"/>
      <c r="K56" s="7"/>
    </row>
    <row r="57" spans="1:18" ht="18" customHeight="1" x14ac:dyDescent="0.25">
      <c r="A57" s="14">
        <f t="shared" si="1"/>
        <v>48</v>
      </c>
      <c r="B57" s="8"/>
      <c r="C57" s="46"/>
      <c r="D57" s="214" t="s">
        <v>19</v>
      </c>
      <c r="E57" s="32"/>
      <c r="F57" s="17"/>
      <c r="G57" s="18">
        <f t="shared" si="0"/>
        <v>0</v>
      </c>
      <c r="H57" s="240"/>
      <c r="I57" s="240"/>
      <c r="J57" s="240"/>
      <c r="K57" s="7"/>
    </row>
    <row r="58" spans="1:18" ht="18" customHeight="1" x14ac:dyDescent="0.25">
      <c r="A58" s="14">
        <f t="shared" si="1"/>
        <v>49</v>
      </c>
      <c r="B58" s="8"/>
      <c r="C58" s="46"/>
      <c r="D58" s="214" t="s">
        <v>19</v>
      </c>
      <c r="E58" s="32"/>
      <c r="F58" s="17"/>
      <c r="G58" s="18">
        <f t="shared" si="0"/>
        <v>0</v>
      </c>
      <c r="H58" s="240"/>
      <c r="I58" s="240"/>
      <c r="J58" s="240"/>
      <c r="K58" s="7"/>
      <c r="N58">
        <f>13*12*144</f>
        <v>22464</v>
      </c>
    </row>
    <row r="59" spans="1:18" ht="18" customHeight="1" x14ac:dyDescent="0.25">
      <c r="A59" s="14">
        <f t="shared" si="1"/>
        <v>50</v>
      </c>
      <c r="B59" s="8"/>
      <c r="C59" s="46"/>
      <c r="D59" s="214" t="s">
        <v>19</v>
      </c>
      <c r="E59" s="32"/>
      <c r="F59" s="17"/>
      <c r="G59" s="18">
        <f t="shared" si="0"/>
        <v>0</v>
      </c>
      <c r="H59" s="240"/>
      <c r="I59" s="240"/>
      <c r="J59" s="240"/>
      <c r="K59" s="7" t="s">
        <v>14</v>
      </c>
      <c r="N59">
        <f>+N58/2870</f>
        <v>7.8271777003484324</v>
      </c>
    </row>
    <row r="60" spans="1:18" ht="18" customHeight="1" x14ac:dyDescent="0.25">
      <c r="A60" s="14">
        <f t="shared" si="1"/>
        <v>51</v>
      </c>
      <c r="B60" s="8"/>
      <c r="C60" s="46"/>
      <c r="D60" s="214" t="s">
        <v>19</v>
      </c>
      <c r="E60" s="32"/>
      <c r="F60" s="17"/>
      <c r="G60" s="18">
        <f t="shared" si="0"/>
        <v>0</v>
      </c>
      <c r="H60" s="240"/>
      <c r="I60" s="240"/>
      <c r="J60" s="240"/>
      <c r="K60" s="7" t="s">
        <v>14</v>
      </c>
    </row>
    <row r="61" spans="1:18" ht="18" customHeight="1" x14ac:dyDescent="0.25">
      <c r="A61" s="14">
        <f t="shared" si="1"/>
        <v>52</v>
      </c>
      <c r="B61" s="8"/>
      <c r="C61" s="46"/>
      <c r="D61" s="214" t="s">
        <v>19</v>
      </c>
      <c r="E61" s="32"/>
      <c r="F61" s="17"/>
      <c r="G61" s="18">
        <f t="shared" si="0"/>
        <v>0</v>
      </c>
      <c r="H61" s="240"/>
      <c r="I61" s="240"/>
      <c r="J61" s="240"/>
      <c r="K61" s="7" t="s">
        <v>14</v>
      </c>
    </row>
    <row r="62" spans="1:18" ht="18" customHeight="1" x14ac:dyDescent="0.25">
      <c r="A62" s="14">
        <f t="shared" si="1"/>
        <v>53</v>
      </c>
      <c r="B62" s="8"/>
      <c r="C62" s="46"/>
      <c r="D62" s="214" t="s">
        <v>19</v>
      </c>
      <c r="E62" s="32"/>
      <c r="F62" s="17"/>
      <c r="G62" s="18">
        <f t="shared" si="0"/>
        <v>0</v>
      </c>
      <c r="H62" s="240"/>
      <c r="I62" s="240"/>
      <c r="J62" s="240"/>
      <c r="K62" s="7" t="s">
        <v>14</v>
      </c>
    </row>
    <row r="63" spans="1:18" ht="18" customHeight="1" x14ac:dyDescent="0.25">
      <c r="A63" s="14">
        <f t="shared" si="1"/>
        <v>54</v>
      </c>
      <c r="B63" s="8"/>
      <c r="C63" s="46"/>
      <c r="D63" s="214" t="s">
        <v>19</v>
      </c>
      <c r="E63" s="32"/>
      <c r="F63" s="17"/>
      <c r="G63" s="18">
        <f t="shared" si="0"/>
        <v>0</v>
      </c>
      <c r="H63" s="240"/>
      <c r="I63" s="240"/>
      <c r="J63" s="240"/>
      <c r="K63" s="7" t="s">
        <v>14</v>
      </c>
    </row>
    <row r="64" spans="1:18" ht="18" customHeight="1" x14ac:dyDescent="0.25">
      <c r="A64" s="14">
        <f t="shared" si="1"/>
        <v>55</v>
      </c>
      <c r="B64" s="8"/>
      <c r="C64" s="46"/>
      <c r="D64" s="214" t="s">
        <v>19</v>
      </c>
      <c r="E64" s="32"/>
      <c r="F64" s="17"/>
      <c r="G64" s="18">
        <f t="shared" si="0"/>
        <v>0</v>
      </c>
      <c r="H64" s="240"/>
      <c r="I64" s="240"/>
      <c r="J64" s="240"/>
      <c r="K64" s="7" t="s">
        <v>14</v>
      </c>
    </row>
    <row r="65" spans="1:12" ht="18" customHeight="1" x14ac:dyDescent="0.25">
      <c r="A65" s="14">
        <f t="shared" si="1"/>
        <v>56</v>
      </c>
      <c r="B65" s="8"/>
      <c r="C65" s="46"/>
      <c r="D65" s="214" t="s">
        <v>19</v>
      </c>
      <c r="E65" s="32"/>
      <c r="F65" s="17"/>
      <c r="G65" s="18">
        <f t="shared" si="0"/>
        <v>0</v>
      </c>
      <c r="H65" s="240"/>
      <c r="I65" s="240"/>
      <c r="J65" s="240"/>
      <c r="K65" s="7" t="s">
        <v>14</v>
      </c>
    </row>
    <row r="66" spans="1:12" ht="18" customHeight="1" x14ac:dyDescent="0.25">
      <c r="A66" s="14">
        <f t="shared" si="1"/>
        <v>57</v>
      </c>
      <c r="B66" s="8"/>
      <c r="C66" s="46"/>
      <c r="D66" s="214" t="s">
        <v>19</v>
      </c>
      <c r="E66" s="32"/>
      <c r="F66" s="17"/>
      <c r="G66" s="18">
        <f t="shared" si="0"/>
        <v>0</v>
      </c>
      <c r="H66" s="240"/>
      <c r="I66" s="240"/>
      <c r="J66" s="240"/>
      <c r="K66" s="7" t="s">
        <v>14</v>
      </c>
    </row>
    <row r="67" spans="1:12" ht="18" customHeight="1" x14ac:dyDescent="0.25">
      <c r="A67" s="14">
        <f t="shared" si="1"/>
        <v>58</v>
      </c>
      <c r="B67" s="8"/>
      <c r="C67" s="46"/>
      <c r="D67" s="214" t="s">
        <v>19</v>
      </c>
      <c r="E67" s="32"/>
      <c r="F67" s="17"/>
      <c r="G67" s="18">
        <f t="shared" si="0"/>
        <v>0</v>
      </c>
      <c r="H67" s="240"/>
      <c r="I67" s="240"/>
      <c r="J67" s="240"/>
      <c r="K67" s="7" t="s">
        <v>14</v>
      </c>
      <c r="L67" s="26"/>
    </row>
    <row r="68" spans="1:12" ht="18" customHeight="1" x14ac:dyDescent="0.25">
      <c r="A68" s="14">
        <f t="shared" si="1"/>
        <v>59</v>
      </c>
      <c r="B68" s="8"/>
      <c r="C68" s="46"/>
      <c r="D68" s="214" t="s">
        <v>19</v>
      </c>
      <c r="E68" s="32"/>
      <c r="F68" s="17"/>
      <c r="G68" s="18">
        <f t="shared" si="0"/>
        <v>0</v>
      </c>
      <c r="H68" s="240"/>
      <c r="I68" s="240"/>
      <c r="J68" s="240"/>
      <c r="K68" s="7" t="s">
        <v>14</v>
      </c>
    </row>
    <row r="69" spans="1:12" ht="18" customHeight="1" x14ac:dyDescent="0.25">
      <c r="A69" s="14">
        <f t="shared" si="1"/>
        <v>60</v>
      </c>
      <c r="B69" s="8"/>
      <c r="C69" s="46"/>
      <c r="D69" s="214" t="s">
        <v>19</v>
      </c>
      <c r="E69" s="32"/>
      <c r="F69" s="17"/>
      <c r="G69" s="18">
        <f t="shared" si="0"/>
        <v>0</v>
      </c>
      <c r="H69" s="240"/>
      <c r="I69" s="240"/>
      <c r="J69" s="240"/>
      <c r="K69" s="7" t="s">
        <v>14</v>
      </c>
    </row>
    <row r="70" spans="1:12" ht="18" customHeight="1" x14ac:dyDescent="0.25">
      <c r="A70" s="14">
        <f t="shared" si="1"/>
        <v>61</v>
      </c>
      <c r="B70" s="8"/>
      <c r="C70" s="46"/>
      <c r="D70" s="214" t="s">
        <v>19</v>
      </c>
      <c r="E70" s="32"/>
      <c r="F70" s="17"/>
      <c r="G70" s="18">
        <f t="shared" si="0"/>
        <v>0</v>
      </c>
      <c r="H70" s="240"/>
      <c r="I70" s="240"/>
      <c r="J70" s="240"/>
      <c r="K70" s="7" t="s">
        <v>14</v>
      </c>
    </row>
    <row r="71" spans="1:12" ht="18" customHeight="1" x14ac:dyDescent="0.25">
      <c r="A71" s="14">
        <f t="shared" si="1"/>
        <v>62</v>
      </c>
      <c r="B71" s="8"/>
      <c r="C71" s="46"/>
      <c r="D71" s="214" t="s">
        <v>19</v>
      </c>
      <c r="E71" s="32"/>
      <c r="F71" s="17"/>
      <c r="G71" s="18">
        <f t="shared" si="0"/>
        <v>0</v>
      </c>
      <c r="H71" s="240"/>
      <c r="I71" s="240"/>
      <c r="J71" s="240"/>
      <c r="K71" s="7" t="s">
        <v>14</v>
      </c>
    </row>
    <row r="72" spans="1:12" ht="18" customHeight="1" x14ac:dyDescent="0.25">
      <c r="A72" s="14">
        <f t="shared" si="1"/>
        <v>63</v>
      </c>
      <c r="B72" s="8"/>
      <c r="C72" s="46"/>
      <c r="D72" s="214" t="s">
        <v>19</v>
      </c>
      <c r="E72" s="32"/>
      <c r="F72" s="17"/>
      <c r="G72" s="18">
        <f t="shared" si="0"/>
        <v>0</v>
      </c>
      <c r="H72" s="240"/>
      <c r="I72" s="240"/>
      <c r="J72" s="240"/>
      <c r="K72" s="7" t="s">
        <v>14</v>
      </c>
    </row>
    <row r="73" spans="1:12" ht="18" customHeight="1" x14ac:dyDescent="0.25">
      <c r="A73" s="14">
        <f t="shared" si="1"/>
        <v>64</v>
      </c>
      <c r="B73" s="8"/>
      <c r="C73" s="46"/>
      <c r="D73" s="214" t="s">
        <v>19</v>
      </c>
      <c r="E73" s="32"/>
      <c r="F73" s="17"/>
      <c r="G73" s="18">
        <f t="shared" si="0"/>
        <v>0</v>
      </c>
      <c r="H73" s="240"/>
      <c r="I73" s="240"/>
      <c r="J73" s="240"/>
      <c r="K73" s="7" t="s">
        <v>14</v>
      </c>
    </row>
    <row r="74" spans="1:12" ht="18" customHeight="1" x14ac:dyDescent="0.25">
      <c r="A74" s="14">
        <f t="shared" si="1"/>
        <v>65</v>
      </c>
      <c r="B74" s="8"/>
      <c r="C74" s="46"/>
      <c r="D74" s="214" t="s">
        <v>19</v>
      </c>
      <c r="E74" s="32"/>
      <c r="F74" s="17"/>
      <c r="G74" s="18">
        <f t="shared" ref="G74:G109" si="3">+G73+E74-F74</f>
        <v>0</v>
      </c>
      <c r="H74" s="240"/>
      <c r="I74" s="240"/>
      <c r="J74" s="240"/>
      <c r="K74" s="7" t="s">
        <v>14</v>
      </c>
    </row>
    <row r="75" spans="1:12" ht="18" customHeight="1" x14ac:dyDescent="0.25">
      <c r="A75" s="14">
        <f t="shared" si="1"/>
        <v>66</v>
      </c>
      <c r="B75" s="8"/>
      <c r="C75" s="46"/>
      <c r="D75" s="214" t="s">
        <v>19</v>
      </c>
      <c r="E75" s="32"/>
      <c r="F75" s="17"/>
      <c r="G75" s="18">
        <f t="shared" si="3"/>
        <v>0</v>
      </c>
      <c r="H75" s="240"/>
      <c r="I75" s="240"/>
      <c r="J75" s="240"/>
      <c r="K75" s="7" t="s">
        <v>14</v>
      </c>
    </row>
    <row r="76" spans="1:12" ht="18" customHeight="1" x14ac:dyDescent="0.25">
      <c r="A76" s="14">
        <f t="shared" ref="A76:A109" si="4">+A75+1</f>
        <v>67</v>
      </c>
      <c r="B76" s="8"/>
      <c r="C76" s="46"/>
      <c r="D76" s="214" t="s">
        <v>19</v>
      </c>
      <c r="E76" s="32"/>
      <c r="F76" s="17"/>
      <c r="G76" s="18">
        <f t="shared" si="3"/>
        <v>0</v>
      </c>
      <c r="H76" s="240"/>
      <c r="I76" s="240"/>
      <c r="J76" s="240"/>
      <c r="K76" s="7" t="s">
        <v>14</v>
      </c>
    </row>
    <row r="77" spans="1:12" ht="18" customHeight="1" x14ac:dyDescent="0.25">
      <c r="A77" s="14">
        <f t="shared" si="4"/>
        <v>68</v>
      </c>
      <c r="B77" s="8"/>
      <c r="C77" s="46"/>
      <c r="D77" s="214" t="s">
        <v>19</v>
      </c>
      <c r="E77" s="32"/>
      <c r="F77" s="17"/>
      <c r="G77" s="18">
        <f t="shared" si="3"/>
        <v>0</v>
      </c>
      <c r="H77" s="240"/>
      <c r="I77" s="240"/>
      <c r="J77" s="240"/>
      <c r="K77" s="7" t="s">
        <v>14</v>
      </c>
    </row>
    <row r="78" spans="1:12" ht="18" customHeight="1" x14ac:dyDescent="0.25">
      <c r="A78" s="14">
        <f t="shared" si="4"/>
        <v>69</v>
      </c>
      <c r="B78" s="8"/>
      <c r="C78" s="46"/>
      <c r="D78" s="214" t="s">
        <v>19</v>
      </c>
      <c r="E78" s="32"/>
      <c r="F78" s="17"/>
      <c r="G78" s="18">
        <f t="shared" si="3"/>
        <v>0</v>
      </c>
      <c r="H78" s="240"/>
      <c r="I78" s="240"/>
      <c r="J78" s="240"/>
      <c r="K78" s="7" t="s">
        <v>14</v>
      </c>
    </row>
    <row r="79" spans="1:12" ht="18" customHeight="1" x14ac:dyDescent="0.25">
      <c r="A79" s="14">
        <f t="shared" si="4"/>
        <v>70</v>
      </c>
      <c r="B79" s="8"/>
      <c r="C79" s="46"/>
      <c r="D79" s="214" t="s">
        <v>19</v>
      </c>
      <c r="E79" s="32"/>
      <c r="F79" s="17"/>
      <c r="G79" s="18">
        <f t="shared" si="3"/>
        <v>0</v>
      </c>
      <c r="H79" s="240"/>
      <c r="I79" s="240"/>
      <c r="J79" s="240"/>
      <c r="K79" s="7" t="s">
        <v>14</v>
      </c>
    </row>
    <row r="80" spans="1:12" ht="18" customHeight="1" x14ac:dyDescent="0.25">
      <c r="A80" s="14">
        <f t="shared" si="4"/>
        <v>71</v>
      </c>
      <c r="B80" s="8"/>
      <c r="C80" s="46"/>
      <c r="D80" s="214" t="s">
        <v>19</v>
      </c>
      <c r="E80" s="32"/>
      <c r="F80" s="17"/>
      <c r="G80" s="18">
        <f t="shared" si="3"/>
        <v>0</v>
      </c>
      <c r="H80" s="240"/>
      <c r="I80" s="240"/>
      <c r="J80" s="240"/>
      <c r="K80" s="7" t="s">
        <v>14</v>
      </c>
    </row>
    <row r="81" spans="1:19" ht="18" customHeight="1" x14ac:dyDescent="0.25">
      <c r="A81" s="14">
        <f t="shared" si="4"/>
        <v>72</v>
      </c>
      <c r="B81" s="8"/>
      <c r="C81" s="46"/>
      <c r="D81" s="214" t="s">
        <v>19</v>
      </c>
      <c r="E81" s="32"/>
      <c r="F81" s="17"/>
      <c r="G81" s="18">
        <f t="shared" si="3"/>
        <v>0</v>
      </c>
      <c r="H81" s="240"/>
      <c r="I81" s="240"/>
      <c r="J81" s="240"/>
      <c r="K81" s="7" t="s">
        <v>14</v>
      </c>
    </row>
    <row r="82" spans="1:19" ht="18" customHeight="1" x14ac:dyDescent="0.25">
      <c r="A82" s="14">
        <f t="shared" si="4"/>
        <v>73</v>
      </c>
      <c r="B82" s="8"/>
      <c r="C82" s="46"/>
      <c r="D82" s="214" t="s">
        <v>19</v>
      </c>
      <c r="E82" s="32"/>
      <c r="F82" s="17"/>
      <c r="G82" s="18">
        <f t="shared" si="3"/>
        <v>0</v>
      </c>
      <c r="H82" s="240"/>
      <c r="I82" s="240"/>
      <c r="J82" s="240"/>
      <c r="K82" s="7" t="s">
        <v>14</v>
      </c>
    </row>
    <row r="83" spans="1:19" ht="18" customHeight="1" x14ac:dyDescent="0.25">
      <c r="A83" s="14">
        <f t="shared" si="4"/>
        <v>74</v>
      </c>
      <c r="B83" s="8"/>
      <c r="C83" s="46"/>
      <c r="D83" s="214" t="s">
        <v>19</v>
      </c>
      <c r="E83" s="32"/>
      <c r="F83" s="17"/>
      <c r="G83" s="18">
        <f t="shared" si="3"/>
        <v>0</v>
      </c>
      <c r="H83" s="240"/>
      <c r="I83" s="240"/>
      <c r="J83" s="240"/>
      <c r="K83" s="7" t="s">
        <v>14</v>
      </c>
    </row>
    <row r="84" spans="1:19" ht="18" customHeight="1" x14ac:dyDescent="0.25">
      <c r="A84" s="14">
        <f t="shared" si="4"/>
        <v>75</v>
      </c>
      <c r="B84" s="8"/>
      <c r="C84" s="46"/>
      <c r="D84" s="214" t="s">
        <v>19</v>
      </c>
      <c r="E84" s="32"/>
      <c r="F84" s="17"/>
      <c r="G84" s="18">
        <f t="shared" si="3"/>
        <v>0</v>
      </c>
      <c r="H84" s="240"/>
      <c r="I84" s="240"/>
      <c r="J84" s="240"/>
      <c r="K84" s="7" t="s">
        <v>14</v>
      </c>
    </row>
    <row r="85" spans="1:19" ht="18" customHeight="1" x14ac:dyDescent="0.25">
      <c r="A85" s="14">
        <f t="shared" si="4"/>
        <v>76</v>
      </c>
      <c r="B85" s="8"/>
      <c r="C85" s="46"/>
      <c r="D85" s="214" t="s">
        <v>19</v>
      </c>
      <c r="E85" s="32"/>
      <c r="F85" s="27"/>
      <c r="G85" s="18">
        <f t="shared" si="3"/>
        <v>0</v>
      </c>
      <c r="H85" s="240"/>
      <c r="I85" s="240"/>
      <c r="J85" s="240"/>
      <c r="K85" s="7" t="s">
        <v>14</v>
      </c>
    </row>
    <row r="86" spans="1:19" ht="18" customHeight="1" x14ac:dyDescent="0.25">
      <c r="A86" s="14">
        <f t="shared" si="4"/>
        <v>77</v>
      </c>
      <c r="B86" s="8"/>
      <c r="C86" s="46"/>
      <c r="D86" s="214" t="s">
        <v>19</v>
      </c>
      <c r="E86" s="32"/>
      <c r="F86" s="17"/>
      <c r="G86" s="18">
        <f t="shared" si="3"/>
        <v>0</v>
      </c>
      <c r="H86" s="240"/>
      <c r="I86" s="240"/>
      <c r="J86" s="240"/>
      <c r="K86" s="7" t="s">
        <v>14</v>
      </c>
    </row>
    <row r="87" spans="1:19" ht="18" customHeight="1" x14ac:dyDescent="0.25">
      <c r="A87" s="14">
        <f t="shared" si="4"/>
        <v>78</v>
      </c>
      <c r="B87" s="8"/>
      <c r="C87" s="46"/>
      <c r="D87" s="214" t="s">
        <v>19</v>
      </c>
      <c r="E87" s="32"/>
      <c r="F87" s="17"/>
      <c r="G87" s="18">
        <f t="shared" si="3"/>
        <v>0</v>
      </c>
      <c r="H87" s="240"/>
      <c r="I87" s="240"/>
      <c r="J87" s="240"/>
      <c r="K87" s="7" t="s">
        <v>14</v>
      </c>
    </row>
    <row r="88" spans="1:19" ht="18" customHeight="1" x14ac:dyDescent="0.25">
      <c r="A88" s="14">
        <f t="shared" si="4"/>
        <v>79</v>
      </c>
      <c r="B88" s="8"/>
      <c r="C88" s="46"/>
      <c r="D88" s="214" t="s">
        <v>19</v>
      </c>
      <c r="E88" s="32"/>
      <c r="F88" s="17"/>
      <c r="G88" s="18">
        <f t="shared" si="3"/>
        <v>0</v>
      </c>
      <c r="H88" s="240"/>
      <c r="I88" s="240"/>
      <c r="J88" s="240"/>
      <c r="K88" s="7" t="s">
        <v>14</v>
      </c>
    </row>
    <row r="89" spans="1:19" ht="18" customHeight="1" x14ac:dyDescent="0.25">
      <c r="A89" s="14">
        <f t="shared" si="4"/>
        <v>80</v>
      </c>
      <c r="B89" s="8"/>
      <c r="C89" s="46"/>
      <c r="D89" s="214" t="s">
        <v>19</v>
      </c>
      <c r="E89" s="32"/>
      <c r="F89" s="17"/>
      <c r="G89" s="18">
        <f t="shared" si="3"/>
        <v>0</v>
      </c>
      <c r="H89" s="240"/>
      <c r="I89" s="240"/>
      <c r="J89" s="240"/>
      <c r="K89" s="7" t="s">
        <v>14</v>
      </c>
    </row>
    <row r="90" spans="1:19" ht="18" customHeight="1" x14ac:dyDescent="0.25">
      <c r="A90" s="14">
        <f t="shared" si="4"/>
        <v>81</v>
      </c>
      <c r="B90" s="8"/>
      <c r="C90" s="46"/>
      <c r="D90" s="214" t="s">
        <v>19</v>
      </c>
      <c r="E90" s="32"/>
      <c r="F90" s="17"/>
      <c r="G90" s="18">
        <f t="shared" si="3"/>
        <v>0</v>
      </c>
      <c r="H90" s="240"/>
      <c r="I90" s="240"/>
      <c r="J90" s="240"/>
      <c r="K90" s="7" t="s">
        <v>14</v>
      </c>
    </row>
    <row r="91" spans="1:19" ht="18" customHeight="1" x14ac:dyDescent="0.25">
      <c r="A91" s="14">
        <f t="shared" si="4"/>
        <v>82</v>
      </c>
      <c r="B91" s="8"/>
      <c r="C91" s="46"/>
      <c r="D91" s="214" t="s">
        <v>19</v>
      </c>
      <c r="E91" s="32"/>
      <c r="F91" s="17"/>
      <c r="G91" s="18">
        <f t="shared" si="3"/>
        <v>0</v>
      </c>
      <c r="H91" s="240"/>
      <c r="I91" s="240"/>
      <c r="J91" s="240"/>
      <c r="K91" s="7" t="s">
        <v>14</v>
      </c>
    </row>
    <row r="92" spans="1:19" ht="18" customHeight="1" x14ac:dyDescent="0.25">
      <c r="A92" s="14">
        <f t="shared" si="4"/>
        <v>83</v>
      </c>
      <c r="B92" s="8"/>
      <c r="C92" s="46"/>
      <c r="D92" s="214" t="s">
        <v>19</v>
      </c>
      <c r="E92" s="32"/>
      <c r="F92" s="17"/>
      <c r="G92" s="18">
        <f t="shared" si="3"/>
        <v>0</v>
      </c>
      <c r="H92" s="240"/>
      <c r="I92" s="240"/>
      <c r="J92" s="240"/>
      <c r="K92" s="7" t="s">
        <v>14</v>
      </c>
      <c r="N92" s="199"/>
      <c r="S92" s="199"/>
    </row>
    <row r="93" spans="1:19" ht="18" customHeight="1" x14ac:dyDescent="0.25">
      <c r="A93" s="14">
        <f t="shared" si="4"/>
        <v>84</v>
      </c>
      <c r="B93" s="8"/>
      <c r="C93" s="46"/>
      <c r="D93" s="214" t="s">
        <v>19</v>
      </c>
      <c r="E93" s="32"/>
      <c r="F93" s="27"/>
      <c r="G93" s="18">
        <f t="shared" si="3"/>
        <v>0</v>
      </c>
      <c r="H93" s="240"/>
      <c r="I93" s="240"/>
      <c r="J93" s="240"/>
      <c r="K93" s="7" t="s">
        <v>14</v>
      </c>
      <c r="N93" s="199"/>
      <c r="S93" s="199"/>
    </row>
    <row r="94" spans="1:19" ht="18" customHeight="1" x14ac:dyDescent="0.25">
      <c r="A94" s="14">
        <f t="shared" si="4"/>
        <v>85</v>
      </c>
      <c r="B94" s="8"/>
      <c r="C94" s="46"/>
      <c r="D94" s="214" t="s">
        <v>19</v>
      </c>
      <c r="E94" s="32"/>
      <c r="F94" s="27"/>
      <c r="G94" s="18">
        <f t="shared" si="3"/>
        <v>0</v>
      </c>
      <c r="H94" s="240"/>
      <c r="I94" s="240"/>
      <c r="J94" s="240"/>
      <c r="K94" s="7" t="s">
        <v>14</v>
      </c>
      <c r="N94" s="199"/>
      <c r="S94" s="199"/>
    </row>
    <row r="95" spans="1:19" s="179" customFormat="1" ht="18" customHeight="1" x14ac:dyDescent="0.25">
      <c r="A95" s="14">
        <f t="shared" si="4"/>
        <v>86</v>
      </c>
      <c r="B95" s="242"/>
      <c r="C95" s="243"/>
      <c r="D95" s="244" t="s">
        <v>19</v>
      </c>
      <c r="E95" s="245"/>
      <c r="F95" s="52"/>
      <c r="G95" s="18">
        <f t="shared" si="3"/>
        <v>0</v>
      </c>
      <c r="H95" s="240"/>
      <c r="I95" s="240"/>
      <c r="J95" s="240"/>
      <c r="K95" s="247" t="s">
        <v>14</v>
      </c>
      <c r="L95" s="179" t="s">
        <v>43</v>
      </c>
      <c r="N95" s="248"/>
      <c r="S95" s="248"/>
    </row>
    <row r="96" spans="1:19" s="179" customFormat="1" ht="18" customHeight="1" x14ac:dyDescent="0.25">
      <c r="A96" s="14">
        <f t="shared" si="4"/>
        <v>87</v>
      </c>
      <c r="B96" s="242"/>
      <c r="C96" s="243"/>
      <c r="D96" s="244" t="s">
        <v>19</v>
      </c>
      <c r="E96" s="245"/>
      <c r="F96" s="52"/>
      <c r="G96" s="18">
        <f t="shared" si="3"/>
        <v>0</v>
      </c>
      <c r="H96" s="240"/>
      <c r="I96" s="240"/>
      <c r="J96" s="240"/>
      <c r="K96" s="247" t="s">
        <v>14</v>
      </c>
      <c r="N96" s="248"/>
      <c r="S96" s="248"/>
    </row>
    <row r="97" spans="1:19" s="179" customFormat="1" ht="18" customHeight="1" x14ac:dyDescent="0.25">
      <c r="A97" s="14">
        <f t="shared" si="4"/>
        <v>88</v>
      </c>
      <c r="B97" s="242"/>
      <c r="C97" s="243"/>
      <c r="D97" s="244" t="s">
        <v>19</v>
      </c>
      <c r="E97" s="245"/>
      <c r="F97" s="52"/>
      <c r="G97" s="18">
        <f t="shared" si="3"/>
        <v>0</v>
      </c>
      <c r="H97" s="240"/>
      <c r="I97" s="240"/>
      <c r="J97" s="240"/>
      <c r="K97" s="247" t="s">
        <v>14</v>
      </c>
      <c r="N97" s="248"/>
      <c r="S97" s="248"/>
    </row>
    <row r="98" spans="1:19" s="179" customFormat="1" ht="18" customHeight="1" x14ac:dyDescent="0.25">
      <c r="A98" s="14">
        <f t="shared" si="4"/>
        <v>89</v>
      </c>
      <c r="B98" s="242"/>
      <c r="C98" s="243"/>
      <c r="D98" s="244" t="s">
        <v>19</v>
      </c>
      <c r="E98" s="245"/>
      <c r="F98" s="52"/>
      <c r="G98" s="18">
        <f t="shared" si="3"/>
        <v>0</v>
      </c>
      <c r="H98" s="240"/>
      <c r="I98" s="240"/>
      <c r="J98" s="240"/>
      <c r="K98" s="247" t="s">
        <v>14</v>
      </c>
      <c r="N98" s="248"/>
      <c r="S98" s="248"/>
    </row>
    <row r="99" spans="1:19" s="179" customFormat="1" ht="18" customHeight="1" x14ac:dyDescent="0.25">
      <c r="A99" s="14">
        <f t="shared" si="4"/>
        <v>90</v>
      </c>
      <c r="B99" s="242"/>
      <c r="C99" s="243"/>
      <c r="D99" s="244" t="s">
        <v>19</v>
      </c>
      <c r="E99" s="245"/>
      <c r="F99" s="52"/>
      <c r="G99" s="18">
        <f t="shared" si="3"/>
        <v>0</v>
      </c>
      <c r="H99" s="240"/>
      <c r="I99" s="240"/>
      <c r="J99" s="240"/>
      <c r="K99" s="247" t="s">
        <v>14</v>
      </c>
      <c r="N99" s="248"/>
      <c r="S99" s="248"/>
    </row>
    <row r="100" spans="1:19" s="179" customFormat="1" ht="18" customHeight="1" x14ac:dyDescent="0.25">
      <c r="A100" s="14">
        <f t="shared" si="4"/>
        <v>91</v>
      </c>
      <c r="B100" s="242"/>
      <c r="C100" s="243"/>
      <c r="D100" s="244" t="s">
        <v>19</v>
      </c>
      <c r="E100" s="245"/>
      <c r="F100" s="52"/>
      <c r="G100" s="18">
        <f t="shared" si="3"/>
        <v>0</v>
      </c>
      <c r="H100" s="240"/>
      <c r="I100" s="240"/>
      <c r="J100" s="240"/>
      <c r="K100" s="247" t="s">
        <v>14</v>
      </c>
      <c r="N100" s="248"/>
      <c r="S100" s="248"/>
    </row>
    <row r="101" spans="1:19" s="179" customFormat="1" ht="18" customHeight="1" x14ac:dyDescent="0.25">
      <c r="A101" s="14">
        <f t="shared" si="4"/>
        <v>92</v>
      </c>
      <c r="B101" s="242"/>
      <c r="C101" s="243"/>
      <c r="D101" s="244" t="s">
        <v>19</v>
      </c>
      <c r="E101" s="245"/>
      <c r="F101" s="52"/>
      <c r="G101" s="18">
        <f t="shared" si="3"/>
        <v>0</v>
      </c>
      <c r="H101" s="240"/>
      <c r="I101" s="240"/>
      <c r="J101" s="240"/>
      <c r="K101" s="247" t="s">
        <v>14</v>
      </c>
      <c r="N101" s="248"/>
      <c r="S101" s="248"/>
    </row>
    <row r="102" spans="1:19" s="179" customFormat="1" ht="18" customHeight="1" x14ac:dyDescent="0.25">
      <c r="A102" s="14">
        <f t="shared" si="4"/>
        <v>93</v>
      </c>
      <c r="B102" s="242"/>
      <c r="C102" s="243"/>
      <c r="D102" s="244" t="s">
        <v>19</v>
      </c>
      <c r="E102" s="245"/>
      <c r="F102" s="52"/>
      <c r="G102" s="18">
        <f t="shared" si="3"/>
        <v>0</v>
      </c>
      <c r="H102" s="240"/>
      <c r="I102" s="240"/>
      <c r="J102" s="240"/>
      <c r="K102" s="247" t="s">
        <v>14</v>
      </c>
      <c r="N102" s="248"/>
      <c r="S102" s="248"/>
    </row>
    <row r="103" spans="1:19" s="179" customFormat="1" ht="18" customHeight="1" x14ac:dyDescent="0.25">
      <c r="A103" s="14">
        <f t="shared" si="4"/>
        <v>94</v>
      </c>
      <c r="B103" s="242"/>
      <c r="C103" s="243"/>
      <c r="D103" s="244"/>
      <c r="E103" s="245"/>
      <c r="F103" s="52"/>
      <c r="G103" s="18">
        <f t="shared" si="3"/>
        <v>0</v>
      </c>
      <c r="H103" s="240"/>
      <c r="I103" s="240"/>
      <c r="J103" s="240"/>
      <c r="K103" s="247"/>
      <c r="N103" s="248"/>
      <c r="S103" s="248"/>
    </row>
    <row r="104" spans="1:19" s="179" customFormat="1" ht="18" customHeight="1" x14ac:dyDescent="0.25">
      <c r="A104" s="14">
        <f t="shared" si="4"/>
        <v>95</v>
      </c>
      <c r="B104" s="242"/>
      <c r="C104" s="243"/>
      <c r="D104" s="244"/>
      <c r="E104" s="245"/>
      <c r="F104" s="52"/>
      <c r="G104" s="18">
        <f t="shared" si="3"/>
        <v>0</v>
      </c>
      <c r="H104" s="240"/>
      <c r="I104" s="240"/>
      <c r="J104" s="240"/>
      <c r="K104" s="247"/>
      <c r="N104" s="248"/>
      <c r="S104" s="248"/>
    </row>
    <row r="105" spans="1:19" s="179" customFormat="1" ht="18" customHeight="1" x14ac:dyDescent="0.25">
      <c r="A105" s="14">
        <f t="shared" si="4"/>
        <v>96</v>
      </c>
      <c r="B105" s="242"/>
      <c r="C105" s="243"/>
      <c r="D105" s="244"/>
      <c r="E105" s="245"/>
      <c r="F105" s="52"/>
      <c r="G105" s="18">
        <f t="shared" si="3"/>
        <v>0</v>
      </c>
      <c r="H105" s="240"/>
      <c r="I105" s="240"/>
      <c r="J105" s="240"/>
      <c r="K105" s="247"/>
      <c r="N105" s="248"/>
      <c r="S105" s="248"/>
    </row>
    <row r="106" spans="1:19" s="179" customFormat="1" ht="18" customHeight="1" x14ac:dyDescent="0.25">
      <c r="A106" s="14">
        <f t="shared" si="4"/>
        <v>97</v>
      </c>
      <c r="B106" s="242"/>
      <c r="C106" s="243"/>
      <c r="D106" s="244"/>
      <c r="E106" s="245"/>
      <c r="F106" s="52"/>
      <c r="G106" s="18">
        <f t="shared" si="3"/>
        <v>0</v>
      </c>
      <c r="H106" s="240"/>
      <c r="I106" s="240"/>
      <c r="J106" s="240"/>
      <c r="K106" s="247"/>
      <c r="N106" s="248"/>
      <c r="S106" s="248"/>
    </row>
    <row r="107" spans="1:19" ht="18" customHeight="1" x14ac:dyDescent="0.25">
      <c r="A107" s="14">
        <f t="shared" si="4"/>
        <v>98</v>
      </c>
      <c r="B107" s="8"/>
      <c r="C107" s="46"/>
      <c r="D107" s="214"/>
      <c r="E107" s="32"/>
      <c r="F107" s="27"/>
      <c r="G107" s="18">
        <f t="shared" si="3"/>
        <v>0</v>
      </c>
      <c r="H107" s="28"/>
      <c r="I107" s="28"/>
      <c r="J107" s="28"/>
      <c r="K107" s="7"/>
      <c r="N107" s="199"/>
      <c r="S107" s="199"/>
    </row>
    <row r="108" spans="1:19" ht="18" customHeight="1" x14ac:dyDescent="0.25">
      <c r="A108" s="14">
        <f t="shared" si="4"/>
        <v>99</v>
      </c>
      <c r="B108" s="8"/>
      <c r="C108" s="46"/>
      <c r="D108" s="214"/>
      <c r="E108" s="32"/>
      <c r="F108" s="27"/>
      <c r="G108" s="18">
        <f t="shared" si="3"/>
        <v>0</v>
      </c>
      <c r="H108" s="28"/>
      <c r="I108" s="28"/>
      <c r="J108" s="28"/>
      <c r="K108" s="7"/>
      <c r="N108" s="199"/>
      <c r="S108" s="199"/>
    </row>
    <row r="109" spans="1:19" ht="18" customHeight="1" x14ac:dyDescent="0.25">
      <c r="A109" s="14">
        <f t="shared" si="4"/>
        <v>100</v>
      </c>
      <c r="B109" s="37"/>
      <c r="C109" s="46"/>
      <c r="D109" s="10"/>
      <c r="E109" s="32"/>
      <c r="F109" s="27"/>
      <c r="G109" s="18">
        <f t="shared" si="3"/>
        <v>0</v>
      </c>
      <c r="H109" s="28"/>
      <c r="I109" s="28"/>
      <c r="J109" s="28"/>
      <c r="K109" s="7"/>
      <c r="N109" s="199"/>
      <c r="S109" s="199"/>
    </row>
    <row r="110" spans="1:19" ht="18" customHeight="1" x14ac:dyDescent="0.25">
      <c r="A110" s="7"/>
      <c r="B110" s="7"/>
      <c r="C110" s="34" t="s">
        <v>13</v>
      </c>
      <c r="D110" s="14"/>
      <c r="E110" s="35">
        <f>SUM(E8:E109)</f>
        <v>2378</v>
      </c>
      <c r="F110" s="35">
        <f>SUM(F8:F109)</f>
        <v>2378</v>
      </c>
      <c r="G110" s="35">
        <f>+E110-F110+G8</f>
        <v>0</v>
      </c>
      <c r="H110" s="35"/>
      <c r="I110" s="35"/>
      <c r="J110" s="35">
        <f>SUM(J9:J109)</f>
        <v>908</v>
      </c>
      <c r="K110" s="36"/>
    </row>
    <row r="111" spans="1:19" ht="18" customHeight="1" x14ac:dyDescent="0.25"/>
    <row r="114" spans="5:11" x14ac:dyDescent="0.25">
      <c r="E114" s="201"/>
      <c r="F114" s="201"/>
      <c r="G114" s="201"/>
      <c r="H114" s="201"/>
      <c r="I114" s="201"/>
      <c r="J114" s="201"/>
    </row>
    <row r="115" spans="5:11" x14ac:dyDescent="0.25">
      <c r="F115" s="26"/>
    </row>
    <row r="116" spans="5:11" x14ac:dyDescent="0.25">
      <c r="E116" s="26"/>
      <c r="F116" s="26"/>
      <c r="G116" s="26"/>
      <c r="H116" s="26"/>
      <c r="I116" s="26"/>
      <c r="J116" s="26"/>
      <c r="K116" s="26"/>
    </row>
    <row r="117" spans="5:11" x14ac:dyDescent="0.25">
      <c r="K117" s="202"/>
    </row>
    <row r="118" spans="5:11" x14ac:dyDescent="0.25">
      <c r="E118" s="199"/>
    </row>
    <row r="119" spans="5:11" x14ac:dyDescent="0.25">
      <c r="E119" s="26"/>
      <c r="F119" s="26"/>
    </row>
    <row r="120" spans="5:11" x14ac:dyDescent="0.25">
      <c r="E120" s="203"/>
      <c r="F120" s="204"/>
      <c r="G120" s="203"/>
      <c r="H120" s="203"/>
      <c r="I120" s="203"/>
      <c r="J120" s="203"/>
    </row>
    <row r="121" spans="5:11" x14ac:dyDescent="0.25">
      <c r="F121" s="26"/>
    </row>
  </sheetData>
  <mergeCells count="1">
    <mergeCell ref="A4:K5"/>
  </mergeCells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17"/>
  <dimension ref="A1:R228"/>
  <sheetViews>
    <sheetView topLeftCell="A141" workbookViewId="0">
      <selection activeCell="D212" sqref="D212"/>
    </sheetView>
  </sheetViews>
  <sheetFormatPr defaultRowHeight="15" x14ac:dyDescent="0.25"/>
  <cols>
    <col min="1" max="1" width="6" customWidth="1"/>
    <col min="2" max="2" width="11.5703125" style="1" customWidth="1"/>
    <col min="3" max="3" width="18.7109375" customWidth="1"/>
    <col min="4" max="4" width="6.42578125" customWidth="1"/>
    <col min="5" max="5" width="12.28515625" customWidth="1"/>
    <col min="6" max="6" width="12" customWidth="1"/>
    <col min="7" max="7" width="14.28515625" customWidth="1"/>
    <col min="8" max="8" width="20.57031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6.42578125" customWidth="1"/>
    <col min="261" max="261" width="12.28515625" customWidth="1"/>
    <col min="262" max="262" width="12" customWidth="1"/>
    <col min="263" max="263" width="14.28515625" customWidth="1"/>
    <col min="264" max="264" width="18.140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6.42578125" customWidth="1"/>
    <col min="517" max="517" width="12.28515625" customWidth="1"/>
    <col min="518" max="518" width="12" customWidth="1"/>
    <col min="519" max="519" width="14.28515625" customWidth="1"/>
    <col min="520" max="520" width="18.140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6.42578125" customWidth="1"/>
    <col min="773" max="773" width="12.28515625" customWidth="1"/>
    <col min="774" max="774" width="12" customWidth="1"/>
    <col min="775" max="775" width="14.28515625" customWidth="1"/>
    <col min="776" max="776" width="18.140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6.42578125" customWidth="1"/>
    <col min="1029" max="1029" width="12.28515625" customWidth="1"/>
    <col min="1030" max="1030" width="12" customWidth="1"/>
    <col min="1031" max="1031" width="14.28515625" customWidth="1"/>
    <col min="1032" max="1032" width="18.140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6.42578125" customWidth="1"/>
    <col min="1285" max="1285" width="12.28515625" customWidth="1"/>
    <col min="1286" max="1286" width="12" customWidth="1"/>
    <col min="1287" max="1287" width="14.28515625" customWidth="1"/>
    <col min="1288" max="1288" width="18.140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6.42578125" customWidth="1"/>
    <col min="1541" max="1541" width="12.28515625" customWidth="1"/>
    <col min="1542" max="1542" width="12" customWidth="1"/>
    <col min="1543" max="1543" width="14.28515625" customWidth="1"/>
    <col min="1544" max="1544" width="18.140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6.42578125" customWidth="1"/>
    <col min="1797" max="1797" width="12.28515625" customWidth="1"/>
    <col min="1798" max="1798" width="12" customWidth="1"/>
    <col min="1799" max="1799" width="14.28515625" customWidth="1"/>
    <col min="1800" max="1800" width="18.140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6.42578125" customWidth="1"/>
    <col min="2053" max="2053" width="12.28515625" customWidth="1"/>
    <col min="2054" max="2054" width="12" customWidth="1"/>
    <col min="2055" max="2055" width="14.28515625" customWidth="1"/>
    <col min="2056" max="2056" width="18.140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6.42578125" customWidth="1"/>
    <col min="2309" max="2309" width="12.28515625" customWidth="1"/>
    <col min="2310" max="2310" width="12" customWidth="1"/>
    <col min="2311" max="2311" width="14.28515625" customWidth="1"/>
    <col min="2312" max="2312" width="18.140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6.42578125" customWidth="1"/>
    <col min="2565" max="2565" width="12.28515625" customWidth="1"/>
    <col min="2566" max="2566" width="12" customWidth="1"/>
    <col min="2567" max="2567" width="14.28515625" customWidth="1"/>
    <col min="2568" max="2568" width="18.140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6.42578125" customWidth="1"/>
    <col min="2821" max="2821" width="12.28515625" customWidth="1"/>
    <col min="2822" max="2822" width="12" customWidth="1"/>
    <col min="2823" max="2823" width="14.28515625" customWidth="1"/>
    <col min="2824" max="2824" width="18.140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6.42578125" customWidth="1"/>
    <col min="3077" max="3077" width="12.28515625" customWidth="1"/>
    <col min="3078" max="3078" width="12" customWidth="1"/>
    <col min="3079" max="3079" width="14.28515625" customWidth="1"/>
    <col min="3080" max="3080" width="18.140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6.42578125" customWidth="1"/>
    <col min="3333" max="3333" width="12.28515625" customWidth="1"/>
    <col min="3334" max="3334" width="12" customWidth="1"/>
    <col min="3335" max="3335" width="14.28515625" customWidth="1"/>
    <col min="3336" max="3336" width="18.140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6.42578125" customWidth="1"/>
    <col min="3589" max="3589" width="12.28515625" customWidth="1"/>
    <col min="3590" max="3590" width="12" customWidth="1"/>
    <col min="3591" max="3591" width="14.28515625" customWidth="1"/>
    <col min="3592" max="3592" width="18.140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6.42578125" customWidth="1"/>
    <col min="3845" max="3845" width="12.28515625" customWidth="1"/>
    <col min="3846" max="3846" width="12" customWidth="1"/>
    <col min="3847" max="3847" width="14.28515625" customWidth="1"/>
    <col min="3848" max="3848" width="18.140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6.42578125" customWidth="1"/>
    <col min="4101" max="4101" width="12.28515625" customWidth="1"/>
    <col min="4102" max="4102" width="12" customWidth="1"/>
    <col min="4103" max="4103" width="14.28515625" customWidth="1"/>
    <col min="4104" max="4104" width="18.140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6.42578125" customWidth="1"/>
    <col min="4357" max="4357" width="12.28515625" customWidth="1"/>
    <col min="4358" max="4358" width="12" customWidth="1"/>
    <col min="4359" max="4359" width="14.28515625" customWidth="1"/>
    <col min="4360" max="4360" width="18.140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6.42578125" customWidth="1"/>
    <col min="4613" max="4613" width="12.28515625" customWidth="1"/>
    <col min="4614" max="4614" width="12" customWidth="1"/>
    <col min="4615" max="4615" width="14.28515625" customWidth="1"/>
    <col min="4616" max="4616" width="18.140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6.42578125" customWidth="1"/>
    <col min="4869" max="4869" width="12.28515625" customWidth="1"/>
    <col min="4870" max="4870" width="12" customWidth="1"/>
    <col min="4871" max="4871" width="14.28515625" customWidth="1"/>
    <col min="4872" max="4872" width="18.140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6.42578125" customWidth="1"/>
    <col min="5125" max="5125" width="12.28515625" customWidth="1"/>
    <col min="5126" max="5126" width="12" customWidth="1"/>
    <col min="5127" max="5127" width="14.28515625" customWidth="1"/>
    <col min="5128" max="5128" width="18.140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6.42578125" customWidth="1"/>
    <col min="5381" max="5381" width="12.28515625" customWidth="1"/>
    <col min="5382" max="5382" width="12" customWidth="1"/>
    <col min="5383" max="5383" width="14.28515625" customWidth="1"/>
    <col min="5384" max="5384" width="18.140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6.42578125" customWidth="1"/>
    <col min="5637" max="5637" width="12.28515625" customWidth="1"/>
    <col min="5638" max="5638" width="12" customWidth="1"/>
    <col min="5639" max="5639" width="14.28515625" customWidth="1"/>
    <col min="5640" max="5640" width="18.140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6.42578125" customWidth="1"/>
    <col min="5893" max="5893" width="12.28515625" customWidth="1"/>
    <col min="5894" max="5894" width="12" customWidth="1"/>
    <col min="5895" max="5895" width="14.28515625" customWidth="1"/>
    <col min="5896" max="5896" width="18.140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6.42578125" customWidth="1"/>
    <col min="6149" max="6149" width="12.28515625" customWidth="1"/>
    <col min="6150" max="6150" width="12" customWidth="1"/>
    <col min="6151" max="6151" width="14.28515625" customWidth="1"/>
    <col min="6152" max="6152" width="18.140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6.42578125" customWidth="1"/>
    <col min="6405" max="6405" width="12.28515625" customWidth="1"/>
    <col min="6406" max="6406" width="12" customWidth="1"/>
    <col min="6407" max="6407" width="14.28515625" customWidth="1"/>
    <col min="6408" max="6408" width="18.140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6.42578125" customWidth="1"/>
    <col min="6661" max="6661" width="12.28515625" customWidth="1"/>
    <col min="6662" max="6662" width="12" customWidth="1"/>
    <col min="6663" max="6663" width="14.28515625" customWidth="1"/>
    <col min="6664" max="6664" width="18.140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6.42578125" customWidth="1"/>
    <col min="6917" max="6917" width="12.28515625" customWidth="1"/>
    <col min="6918" max="6918" width="12" customWidth="1"/>
    <col min="6919" max="6919" width="14.28515625" customWidth="1"/>
    <col min="6920" max="6920" width="18.140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6.42578125" customWidth="1"/>
    <col min="7173" max="7173" width="12.28515625" customWidth="1"/>
    <col min="7174" max="7174" width="12" customWidth="1"/>
    <col min="7175" max="7175" width="14.28515625" customWidth="1"/>
    <col min="7176" max="7176" width="18.140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6.42578125" customWidth="1"/>
    <col min="7429" max="7429" width="12.28515625" customWidth="1"/>
    <col min="7430" max="7430" width="12" customWidth="1"/>
    <col min="7431" max="7431" width="14.28515625" customWidth="1"/>
    <col min="7432" max="7432" width="18.140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6.42578125" customWidth="1"/>
    <col min="7685" max="7685" width="12.28515625" customWidth="1"/>
    <col min="7686" max="7686" width="12" customWidth="1"/>
    <col min="7687" max="7687" width="14.28515625" customWidth="1"/>
    <col min="7688" max="7688" width="18.140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6.42578125" customWidth="1"/>
    <col min="7941" max="7941" width="12.28515625" customWidth="1"/>
    <col min="7942" max="7942" width="12" customWidth="1"/>
    <col min="7943" max="7943" width="14.28515625" customWidth="1"/>
    <col min="7944" max="7944" width="18.140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6.42578125" customWidth="1"/>
    <col min="8197" max="8197" width="12.28515625" customWidth="1"/>
    <col min="8198" max="8198" width="12" customWidth="1"/>
    <col min="8199" max="8199" width="14.28515625" customWidth="1"/>
    <col min="8200" max="8200" width="18.140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6.42578125" customWidth="1"/>
    <col min="8453" max="8453" width="12.28515625" customWidth="1"/>
    <col min="8454" max="8454" width="12" customWidth="1"/>
    <col min="8455" max="8455" width="14.28515625" customWidth="1"/>
    <col min="8456" max="8456" width="18.140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6.42578125" customWidth="1"/>
    <col min="8709" max="8709" width="12.28515625" customWidth="1"/>
    <col min="8710" max="8710" width="12" customWidth="1"/>
    <col min="8711" max="8711" width="14.28515625" customWidth="1"/>
    <col min="8712" max="8712" width="18.140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6.42578125" customWidth="1"/>
    <col min="8965" max="8965" width="12.28515625" customWidth="1"/>
    <col min="8966" max="8966" width="12" customWidth="1"/>
    <col min="8967" max="8967" width="14.28515625" customWidth="1"/>
    <col min="8968" max="8968" width="18.140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6.42578125" customWidth="1"/>
    <col min="9221" max="9221" width="12.28515625" customWidth="1"/>
    <col min="9222" max="9222" width="12" customWidth="1"/>
    <col min="9223" max="9223" width="14.28515625" customWidth="1"/>
    <col min="9224" max="9224" width="18.140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6.42578125" customWidth="1"/>
    <col min="9477" max="9477" width="12.28515625" customWidth="1"/>
    <col min="9478" max="9478" width="12" customWidth="1"/>
    <col min="9479" max="9479" width="14.28515625" customWidth="1"/>
    <col min="9480" max="9480" width="18.140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6.42578125" customWidth="1"/>
    <col min="9733" max="9733" width="12.28515625" customWidth="1"/>
    <col min="9734" max="9734" width="12" customWidth="1"/>
    <col min="9735" max="9735" width="14.28515625" customWidth="1"/>
    <col min="9736" max="9736" width="18.140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6.42578125" customWidth="1"/>
    <col min="9989" max="9989" width="12.28515625" customWidth="1"/>
    <col min="9990" max="9990" width="12" customWidth="1"/>
    <col min="9991" max="9991" width="14.28515625" customWidth="1"/>
    <col min="9992" max="9992" width="18.140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6.42578125" customWidth="1"/>
    <col min="10245" max="10245" width="12.28515625" customWidth="1"/>
    <col min="10246" max="10246" width="12" customWidth="1"/>
    <col min="10247" max="10247" width="14.28515625" customWidth="1"/>
    <col min="10248" max="10248" width="18.140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6.42578125" customWidth="1"/>
    <col min="10501" max="10501" width="12.28515625" customWidth="1"/>
    <col min="10502" max="10502" width="12" customWidth="1"/>
    <col min="10503" max="10503" width="14.28515625" customWidth="1"/>
    <col min="10504" max="10504" width="18.140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6.42578125" customWidth="1"/>
    <col min="10757" max="10757" width="12.28515625" customWidth="1"/>
    <col min="10758" max="10758" width="12" customWidth="1"/>
    <col min="10759" max="10759" width="14.28515625" customWidth="1"/>
    <col min="10760" max="10760" width="18.140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6.42578125" customWidth="1"/>
    <col min="11013" max="11013" width="12.28515625" customWidth="1"/>
    <col min="11014" max="11014" width="12" customWidth="1"/>
    <col min="11015" max="11015" width="14.28515625" customWidth="1"/>
    <col min="11016" max="11016" width="18.140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6.42578125" customWidth="1"/>
    <col min="11269" max="11269" width="12.28515625" customWidth="1"/>
    <col min="11270" max="11270" width="12" customWidth="1"/>
    <col min="11271" max="11271" width="14.28515625" customWidth="1"/>
    <col min="11272" max="11272" width="18.140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6.42578125" customWidth="1"/>
    <col min="11525" max="11525" width="12.28515625" customWidth="1"/>
    <col min="11526" max="11526" width="12" customWidth="1"/>
    <col min="11527" max="11527" width="14.28515625" customWidth="1"/>
    <col min="11528" max="11528" width="18.140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6.42578125" customWidth="1"/>
    <col min="11781" max="11781" width="12.28515625" customWidth="1"/>
    <col min="11782" max="11782" width="12" customWidth="1"/>
    <col min="11783" max="11783" width="14.28515625" customWidth="1"/>
    <col min="11784" max="11784" width="18.140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6.42578125" customWidth="1"/>
    <col min="12037" max="12037" width="12.28515625" customWidth="1"/>
    <col min="12038" max="12038" width="12" customWidth="1"/>
    <col min="12039" max="12039" width="14.28515625" customWidth="1"/>
    <col min="12040" max="12040" width="18.140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6.42578125" customWidth="1"/>
    <col min="12293" max="12293" width="12.28515625" customWidth="1"/>
    <col min="12294" max="12294" width="12" customWidth="1"/>
    <col min="12295" max="12295" width="14.28515625" customWidth="1"/>
    <col min="12296" max="12296" width="18.140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6.42578125" customWidth="1"/>
    <col min="12549" max="12549" width="12.28515625" customWidth="1"/>
    <col min="12550" max="12550" width="12" customWidth="1"/>
    <col min="12551" max="12551" width="14.28515625" customWidth="1"/>
    <col min="12552" max="12552" width="18.140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6.42578125" customWidth="1"/>
    <col min="12805" max="12805" width="12.28515625" customWidth="1"/>
    <col min="12806" max="12806" width="12" customWidth="1"/>
    <col min="12807" max="12807" width="14.28515625" customWidth="1"/>
    <col min="12808" max="12808" width="18.140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6.42578125" customWidth="1"/>
    <col min="13061" max="13061" width="12.28515625" customWidth="1"/>
    <col min="13062" max="13062" width="12" customWidth="1"/>
    <col min="13063" max="13063" width="14.28515625" customWidth="1"/>
    <col min="13064" max="13064" width="18.140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6.42578125" customWidth="1"/>
    <col min="13317" max="13317" width="12.28515625" customWidth="1"/>
    <col min="13318" max="13318" width="12" customWidth="1"/>
    <col min="13319" max="13319" width="14.28515625" customWidth="1"/>
    <col min="13320" max="13320" width="18.140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6.42578125" customWidth="1"/>
    <col min="13573" max="13573" width="12.28515625" customWidth="1"/>
    <col min="13574" max="13574" width="12" customWidth="1"/>
    <col min="13575" max="13575" width="14.28515625" customWidth="1"/>
    <col min="13576" max="13576" width="18.140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6.42578125" customWidth="1"/>
    <col min="13829" max="13829" width="12.28515625" customWidth="1"/>
    <col min="13830" max="13830" width="12" customWidth="1"/>
    <col min="13831" max="13831" width="14.28515625" customWidth="1"/>
    <col min="13832" max="13832" width="18.140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6.42578125" customWidth="1"/>
    <col min="14085" max="14085" width="12.28515625" customWidth="1"/>
    <col min="14086" max="14086" width="12" customWidth="1"/>
    <col min="14087" max="14087" width="14.28515625" customWidth="1"/>
    <col min="14088" max="14088" width="18.140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6.42578125" customWidth="1"/>
    <col min="14341" max="14341" width="12.28515625" customWidth="1"/>
    <col min="14342" max="14342" width="12" customWidth="1"/>
    <col min="14343" max="14343" width="14.28515625" customWidth="1"/>
    <col min="14344" max="14344" width="18.140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6.42578125" customWidth="1"/>
    <col min="14597" max="14597" width="12.28515625" customWidth="1"/>
    <col min="14598" max="14598" width="12" customWidth="1"/>
    <col min="14599" max="14599" width="14.28515625" customWidth="1"/>
    <col min="14600" max="14600" width="18.140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6.42578125" customWidth="1"/>
    <col min="14853" max="14853" width="12.28515625" customWidth="1"/>
    <col min="14854" max="14854" width="12" customWidth="1"/>
    <col min="14855" max="14855" width="14.28515625" customWidth="1"/>
    <col min="14856" max="14856" width="18.140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6.42578125" customWidth="1"/>
    <col min="15109" max="15109" width="12.28515625" customWidth="1"/>
    <col min="15110" max="15110" width="12" customWidth="1"/>
    <col min="15111" max="15111" width="14.28515625" customWidth="1"/>
    <col min="15112" max="15112" width="18.140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6.42578125" customWidth="1"/>
    <col min="15365" max="15365" width="12.28515625" customWidth="1"/>
    <col min="15366" max="15366" width="12" customWidth="1"/>
    <col min="15367" max="15367" width="14.28515625" customWidth="1"/>
    <col min="15368" max="15368" width="18.140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6.42578125" customWidth="1"/>
    <col min="15621" max="15621" width="12.28515625" customWidth="1"/>
    <col min="15622" max="15622" width="12" customWidth="1"/>
    <col min="15623" max="15623" width="14.28515625" customWidth="1"/>
    <col min="15624" max="15624" width="18.140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6.42578125" customWidth="1"/>
    <col min="15877" max="15877" width="12.28515625" customWidth="1"/>
    <col min="15878" max="15878" width="12" customWidth="1"/>
    <col min="15879" max="15879" width="14.28515625" customWidth="1"/>
    <col min="15880" max="15880" width="18.140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6.42578125" customWidth="1"/>
    <col min="16133" max="16133" width="12.28515625" customWidth="1"/>
    <col min="16134" max="16134" width="12" customWidth="1"/>
    <col min="16135" max="16135" width="14.28515625" customWidth="1"/>
    <col min="16136" max="16136" width="18.140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s="2" t="str">
        <f>+'[2]Phôi giấy NK 325'!A4:I5</f>
        <v>THẺ KHO NGUYÊN VẬT LIỆU</v>
      </c>
      <c r="B4" s="3"/>
      <c r="C4" s="2"/>
      <c r="D4" s="2"/>
      <c r="E4" s="2"/>
      <c r="F4" s="2"/>
      <c r="G4" s="2"/>
      <c r="H4" s="2"/>
      <c r="I4" s="2"/>
    </row>
    <row r="5" spans="1:9" x14ac:dyDescent="0.25">
      <c r="A5" s="2"/>
      <c r="B5" s="3"/>
      <c r="C5" s="2"/>
      <c r="D5" s="2"/>
      <c r="E5" s="2"/>
      <c r="F5" s="2"/>
      <c r="G5" s="2"/>
      <c r="H5" s="2"/>
      <c r="I5" s="2"/>
    </row>
    <row r="7" spans="1:9" ht="27.75" customHeight="1" x14ac:dyDescent="0.25">
      <c r="A7" s="4" t="s">
        <v>3</v>
      </c>
      <c r="B7" s="5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9" s="191" customFormat="1" ht="18" customHeight="1" x14ac:dyDescent="0.2">
      <c r="A8" s="249"/>
      <c r="B8" s="298">
        <v>45658</v>
      </c>
      <c r="C8" s="9" t="s">
        <v>15</v>
      </c>
      <c r="D8" s="250"/>
      <c r="E8" s="251"/>
      <c r="F8" s="252"/>
      <c r="G8" s="253">
        <v>178</v>
      </c>
      <c r="H8" s="249"/>
      <c r="I8" s="249" t="s">
        <v>143</v>
      </c>
    </row>
    <row r="9" spans="1:9" ht="18" customHeight="1" x14ac:dyDescent="0.25">
      <c r="A9" s="14">
        <v>1</v>
      </c>
      <c r="B9" s="39">
        <v>45659</v>
      </c>
      <c r="C9" s="254" t="s">
        <v>44</v>
      </c>
      <c r="D9" s="255" t="s">
        <v>45</v>
      </c>
      <c r="E9" s="16"/>
      <c r="F9" s="27">
        <v>1</v>
      </c>
      <c r="G9" s="18">
        <f>+G8+E9-F9</f>
        <v>177</v>
      </c>
      <c r="H9" s="256" t="s">
        <v>89</v>
      </c>
      <c r="I9" s="7" t="s">
        <v>90</v>
      </c>
    </row>
    <row r="10" spans="1:9" ht="18" customHeight="1" x14ac:dyDescent="0.25">
      <c r="A10" s="14">
        <f>+A9+1</f>
        <v>2</v>
      </c>
      <c r="B10" s="39">
        <v>45297</v>
      </c>
      <c r="C10" s="254" t="s">
        <v>44</v>
      </c>
      <c r="D10" s="255" t="s">
        <v>45</v>
      </c>
      <c r="E10" s="16"/>
      <c r="F10" s="17">
        <v>1</v>
      </c>
      <c r="G10" s="18">
        <f t="shared" ref="G10:G73" si="0">+G9+E10-F10</f>
        <v>176</v>
      </c>
      <c r="H10" s="256" t="s">
        <v>89</v>
      </c>
      <c r="I10" s="7" t="s">
        <v>90</v>
      </c>
    </row>
    <row r="11" spans="1:9" ht="18" customHeight="1" x14ac:dyDescent="0.25">
      <c r="A11" s="14">
        <f t="shared" ref="A11:A83" si="1">+A10+1</f>
        <v>3</v>
      </c>
      <c r="B11" s="39">
        <v>45666</v>
      </c>
      <c r="C11" s="254" t="s">
        <v>44</v>
      </c>
      <c r="D11" s="255" t="s">
        <v>45</v>
      </c>
      <c r="E11" s="16"/>
      <c r="F11" s="17">
        <v>1</v>
      </c>
      <c r="G11" s="18">
        <f t="shared" si="0"/>
        <v>175</v>
      </c>
      <c r="H11" s="256" t="s">
        <v>89</v>
      </c>
      <c r="I11" s="7" t="s">
        <v>90</v>
      </c>
    </row>
    <row r="12" spans="1:9" ht="18" customHeight="1" x14ac:dyDescent="0.25">
      <c r="A12" s="14"/>
      <c r="B12" s="39">
        <v>45668</v>
      </c>
      <c r="C12" s="254" t="s">
        <v>44</v>
      </c>
      <c r="D12" s="255" t="s">
        <v>45</v>
      </c>
      <c r="E12" s="16"/>
      <c r="F12" s="17">
        <v>1</v>
      </c>
      <c r="G12" s="18">
        <f t="shared" si="0"/>
        <v>174</v>
      </c>
      <c r="H12" s="256" t="s">
        <v>89</v>
      </c>
      <c r="I12" s="7" t="s">
        <v>90</v>
      </c>
    </row>
    <row r="13" spans="1:9" ht="18" customHeight="1" x14ac:dyDescent="0.25">
      <c r="A13" s="14">
        <f>+A11+1</f>
        <v>4</v>
      </c>
      <c r="B13" s="41">
        <v>45671</v>
      </c>
      <c r="C13" s="254" t="s">
        <v>44</v>
      </c>
      <c r="D13" s="255" t="s">
        <v>45</v>
      </c>
      <c r="E13" s="16"/>
      <c r="F13" s="27">
        <v>1</v>
      </c>
      <c r="G13" s="18">
        <f t="shared" si="0"/>
        <v>173</v>
      </c>
      <c r="H13" s="256" t="s">
        <v>149</v>
      </c>
      <c r="I13" s="7" t="s">
        <v>150</v>
      </c>
    </row>
    <row r="14" spans="1:9" ht="18" customHeight="1" x14ac:dyDescent="0.25">
      <c r="A14" s="14">
        <f t="shared" si="1"/>
        <v>5</v>
      </c>
      <c r="B14" s="41">
        <v>45672</v>
      </c>
      <c r="C14" s="254" t="s">
        <v>44</v>
      </c>
      <c r="D14" s="255" t="s">
        <v>45</v>
      </c>
      <c r="E14" s="16"/>
      <c r="F14" s="17">
        <v>1</v>
      </c>
      <c r="G14" s="18">
        <f t="shared" si="0"/>
        <v>172</v>
      </c>
      <c r="H14" s="256" t="s">
        <v>89</v>
      </c>
      <c r="I14" s="7" t="s">
        <v>90</v>
      </c>
    </row>
    <row r="15" spans="1:9" ht="18" customHeight="1" x14ac:dyDescent="0.25">
      <c r="A15" s="14">
        <f t="shared" si="1"/>
        <v>6</v>
      </c>
      <c r="B15" s="41">
        <v>45673</v>
      </c>
      <c r="C15" s="254" t="s">
        <v>44</v>
      </c>
      <c r="D15" s="255" t="s">
        <v>45</v>
      </c>
      <c r="E15" s="16"/>
      <c r="F15" s="27">
        <v>2</v>
      </c>
      <c r="G15" s="18">
        <f t="shared" si="0"/>
        <v>170</v>
      </c>
      <c r="H15" s="256" t="s">
        <v>89</v>
      </c>
      <c r="I15" s="7" t="s">
        <v>128</v>
      </c>
    </row>
    <row r="16" spans="1:9" ht="18" customHeight="1" x14ac:dyDescent="0.25">
      <c r="A16" s="14">
        <f t="shared" si="1"/>
        <v>7</v>
      </c>
      <c r="B16" s="41">
        <v>45674</v>
      </c>
      <c r="C16" s="254" t="s">
        <v>44</v>
      </c>
      <c r="D16" s="255" t="s">
        <v>45</v>
      </c>
      <c r="E16" s="16"/>
      <c r="F16" s="27">
        <v>1</v>
      </c>
      <c r="G16" s="18">
        <f t="shared" si="0"/>
        <v>169</v>
      </c>
      <c r="H16" s="256" t="s">
        <v>129</v>
      </c>
      <c r="I16" s="7" t="s">
        <v>90</v>
      </c>
    </row>
    <row r="17" spans="1:9" ht="18" customHeight="1" x14ac:dyDescent="0.25">
      <c r="A17" s="14"/>
      <c r="B17" s="41">
        <v>45677</v>
      </c>
      <c r="C17" s="254" t="s">
        <v>44</v>
      </c>
      <c r="D17" s="255" t="s">
        <v>45</v>
      </c>
      <c r="E17" s="16"/>
      <c r="F17" s="27">
        <v>1</v>
      </c>
      <c r="G17" s="18">
        <f t="shared" si="0"/>
        <v>168</v>
      </c>
      <c r="H17" s="256" t="s">
        <v>89</v>
      </c>
      <c r="I17" s="7" t="s">
        <v>154</v>
      </c>
    </row>
    <row r="18" spans="1:9" ht="18" customHeight="1" x14ac:dyDescent="0.25">
      <c r="A18" s="14">
        <f>+A16+1</f>
        <v>8</v>
      </c>
      <c r="B18" s="39">
        <v>45679</v>
      </c>
      <c r="C18" s="254" t="s">
        <v>44</v>
      </c>
      <c r="D18" s="255" t="s">
        <v>45</v>
      </c>
      <c r="E18" s="16"/>
      <c r="F18" s="27">
        <v>1</v>
      </c>
      <c r="G18" s="18">
        <f t="shared" si="0"/>
        <v>167</v>
      </c>
      <c r="H18" s="256" t="s">
        <v>89</v>
      </c>
      <c r="I18" s="7" t="s">
        <v>154</v>
      </c>
    </row>
    <row r="19" spans="1:9" ht="18" customHeight="1" x14ac:dyDescent="0.25">
      <c r="A19" s="14">
        <f t="shared" si="1"/>
        <v>9</v>
      </c>
      <c r="B19" s="39">
        <v>45681</v>
      </c>
      <c r="C19" s="254" t="s">
        <v>44</v>
      </c>
      <c r="D19" s="255" t="s">
        <v>45</v>
      </c>
      <c r="E19" s="16"/>
      <c r="F19" s="17">
        <v>1</v>
      </c>
      <c r="G19" s="18">
        <f t="shared" si="0"/>
        <v>166</v>
      </c>
      <c r="H19" s="256" t="s">
        <v>89</v>
      </c>
      <c r="I19" s="7" t="s">
        <v>90</v>
      </c>
    </row>
    <row r="20" spans="1:9" ht="18" customHeight="1" x14ac:dyDescent="0.25">
      <c r="A20" s="14">
        <f t="shared" si="1"/>
        <v>10</v>
      </c>
      <c r="B20" s="39">
        <v>45690</v>
      </c>
      <c r="C20" s="254" t="s">
        <v>44</v>
      </c>
      <c r="D20" s="255" t="s">
        <v>45</v>
      </c>
      <c r="E20" s="16"/>
      <c r="F20" s="27">
        <v>1</v>
      </c>
      <c r="G20" s="18">
        <f t="shared" si="0"/>
        <v>165</v>
      </c>
      <c r="H20" s="256" t="s">
        <v>129</v>
      </c>
      <c r="I20" s="7" t="s">
        <v>90</v>
      </c>
    </row>
    <row r="21" spans="1:9" ht="18" customHeight="1" x14ac:dyDescent="0.25">
      <c r="A21" s="14"/>
      <c r="B21" s="39">
        <v>45691</v>
      </c>
      <c r="C21" s="254" t="s">
        <v>44</v>
      </c>
      <c r="D21" s="255" t="s">
        <v>45</v>
      </c>
      <c r="E21" s="16"/>
      <c r="F21" s="27">
        <v>1</v>
      </c>
      <c r="G21" s="18">
        <f t="shared" si="0"/>
        <v>164</v>
      </c>
      <c r="H21" s="256" t="s">
        <v>129</v>
      </c>
      <c r="I21" s="7" t="s">
        <v>90</v>
      </c>
    </row>
    <row r="22" spans="1:9" ht="18" customHeight="1" x14ac:dyDescent="0.25">
      <c r="A22" s="14"/>
      <c r="B22" s="39">
        <v>45692</v>
      </c>
      <c r="C22" s="254" t="s">
        <v>44</v>
      </c>
      <c r="D22" s="255" t="s">
        <v>45</v>
      </c>
      <c r="E22" s="16"/>
      <c r="F22" s="27">
        <v>2</v>
      </c>
      <c r="G22" s="18">
        <f t="shared" si="0"/>
        <v>162</v>
      </c>
      <c r="H22" s="256" t="s">
        <v>129</v>
      </c>
      <c r="I22" s="7" t="s">
        <v>90</v>
      </c>
    </row>
    <row r="23" spans="1:9" ht="18" customHeight="1" x14ac:dyDescent="0.25">
      <c r="A23" s="14"/>
      <c r="B23" s="39">
        <v>45694</v>
      </c>
      <c r="C23" s="254" t="s">
        <v>44</v>
      </c>
      <c r="D23" s="255" t="s">
        <v>45</v>
      </c>
      <c r="E23" s="16"/>
      <c r="F23" s="27">
        <v>1</v>
      </c>
      <c r="G23" s="18">
        <f t="shared" si="0"/>
        <v>161</v>
      </c>
      <c r="H23" s="256" t="s">
        <v>129</v>
      </c>
      <c r="I23" s="7" t="s">
        <v>90</v>
      </c>
    </row>
    <row r="24" spans="1:9" ht="18" customHeight="1" x14ac:dyDescent="0.25">
      <c r="A24" s="14">
        <f>+A20+1</f>
        <v>11</v>
      </c>
      <c r="B24" s="39">
        <v>45696</v>
      </c>
      <c r="C24" s="254" t="s">
        <v>44</v>
      </c>
      <c r="D24" s="255" t="s">
        <v>45</v>
      </c>
      <c r="E24" s="16"/>
      <c r="F24" s="17">
        <v>1</v>
      </c>
      <c r="G24" s="18">
        <f t="shared" si="0"/>
        <v>160</v>
      </c>
      <c r="H24" s="256" t="s">
        <v>129</v>
      </c>
      <c r="I24" s="7" t="s">
        <v>90</v>
      </c>
    </row>
    <row r="25" spans="1:9" ht="18" customHeight="1" x14ac:dyDescent="0.25">
      <c r="A25" s="14"/>
      <c r="B25" s="39">
        <v>45698</v>
      </c>
      <c r="C25" s="254" t="s">
        <v>44</v>
      </c>
      <c r="D25" s="255" t="s">
        <v>45</v>
      </c>
      <c r="E25" s="16"/>
      <c r="F25" s="17">
        <v>1</v>
      </c>
      <c r="G25" s="18">
        <f t="shared" si="0"/>
        <v>159</v>
      </c>
      <c r="H25" s="256" t="s">
        <v>129</v>
      </c>
      <c r="I25" s="7" t="s">
        <v>90</v>
      </c>
    </row>
    <row r="26" spans="1:9" ht="18" customHeight="1" x14ac:dyDescent="0.25">
      <c r="A26" s="14">
        <f>+A24+1</f>
        <v>12</v>
      </c>
      <c r="B26" s="39">
        <v>45699</v>
      </c>
      <c r="C26" s="254" t="s">
        <v>44</v>
      </c>
      <c r="D26" s="255" t="s">
        <v>45</v>
      </c>
      <c r="E26" s="16"/>
      <c r="F26" s="17">
        <v>1</v>
      </c>
      <c r="G26" s="18">
        <f t="shared" si="0"/>
        <v>158</v>
      </c>
      <c r="H26" s="256" t="s">
        <v>129</v>
      </c>
      <c r="I26" s="7" t="s">
        <v>90</v>
      </c>
    </row>
    <row r="27" spans="1:9" ht="18" customHeight="1" x14ac:dyDescent="0.25">
      <c r="A27" s="14"/>
      <c r="B27" s="39">
        <v>45702</v>
      </c>
      <c r="C27" s="254" t="s">
        <v>44</v>
      </c>
      <c r="D27" s="255" t="s">
        <v>45</v>
      </c>
      <c r="E27" s="16"/>
      <c r="F27" s="17">
        <v>1</v>
      </c>
      <c r="G27" s="18">
        <f t="shared" si="0"/>
        <v>157</v>
      </c>
      <c r="H27" s="256" t="s">
        <v>129</v>
      </c>
      <c r="I27" s="7" t="s">
        <v>90</v>
      </c>
    </row>
    <row r="28" spans="1:9" ht="18" customHeight="1" x14ac:dyDescent="0.25">
      <c r="A28" s="14">
        <f>+A26+1</f>
        <v>13</v>
      </c>
      <c r="B28" s="39">
        <v>45705</v>
      </c>
      <c r="C28" s="254" t="s">
        <v>44</v>
      </c>
      <c r="D28" s="255" t="s">
        <v>45</v>
      </c>
      <c r="E28" s="16"/>
      <c r="F28" s="17">
        <v>1</v>
      </c>
      <c r="G28" s="18">
        <f t="shared" si="0"/>
        <v>156</v>
      </c>
      <c r="H28" s="256" t="s">
        <v>129</v>
      </c>
      <c r="I28" s="7" t="s">
        <v>90</v>
      </c>
    </row>
    <row r="29" spans="1:9" ht="18" customHeight="1" x14ac:dyDescent="0.25">
      <c r="A29" s="14"/>
      <c r="B29" s="39">
        <v>45706</v>
      </c>
      <c r="C29" s="254" t="s">
        <v>44</v>
      </c>
      <c r="D29" s="255" t="s">
        <v>45</v>
      </c>
      <c r="E29" s="16"/>
      <c r="F29" s="17">
        <v>2</v>
      </c>
      <c r="G29" s="18">
        <f t="shared" si="0"/>
        <v>154</v>
      </c>
      <c r="H29" s="256" t="s">
        <v>129</v>
      </c>
      <c r="I29" s="7" t="s">
        <v>90</v>
      </c>
    </row>
    <row r="30" spans="1:9" ht="18" customHeight="1" x14ac:dyDescent="0.25">
      <c r="A30" s="14"/>
      <c r="B30" s="39">
        <v>45707</v>
      </c>
      <c r="C30" s="254" t="s">
        <v>44</v>
      </c>
      <c r="D30" s="255" t="s">
        <v>45</v>
      </c>
      <c r="E30" s="16"/>
      <c r="F30" s="17">
        <v>2</v>
      </c>
      <c r="G30" s="18">
        <f t="shared" si="0"/>
        <v>152</v>
      </c>
      <c r="H30" s="256" t="s">
        <v>129</v>
      </c>
      <c r="I30" s="7" t="s">
        <v>90</v>
      </c>
    </row>
    <row r="31" spans="1:9" ht="18" customHeight="1" x14ac:dyDescent="0.25">
      <c r="A31" s="14">
        <f>+A28+1</f>
        <v>14</v>
      </c>
      <c r="B31" s="39">
        <v>45708</v>
      </c>
      <c r="C31" s="254" t="s">
        <v>44</v>
      </c>
      <c r="D31" s="255" t="s">
        <v>45</v>
      </c>
      <c r="E31" s="16"/>
      <c r="F31" s="17">
        <v>2</v>
      </c>
      <c r="G31" s="18">
        <f t="shared" si="0"/>
        <v>150</v>
      </c>
      <c r="H31" s="256" t="s">
        <v>129</v>
      </c>
      <c r="I31" s="7" t="s">
        <v>90</v>
      </c>
    </row>
    <row r="32" spans="1:9" ht="18" customHeight="1" x14ac:dyDescent="0.25">
      <c r="A32" s="14">
        <f t="shared" si="1"/>
        <v>15</v>
      </c>
      <c r="B32" s="39">
        <v>45709</v>
      </c>
      <c r="C32" s="254" t="s">
        <v>44</v>
      </c>
      <c r="D32" s="255" t="s">
        <v>45</v>
      </c>
      <c r="E32" s="32"/>
      <c r="F32" s="27">
        <v>1</v>
      </c>
      <c r="G32" s="18">
        <f t="shared" si="0"/>
        <v>149</v>
      </c>
      <c r="H32" s="256" t="s">
        <v>129</v>
      </c>
      <c r="I32" s="7" t="s">
        <v>90</v>
      </c>
    </row>
    <row r="33" spans="1:10" ht="18" customHeight="1" x14ac:dyDescent="0.25">
      <c r="A33" s="14">
        <f t="shared" si="1"/>
        <v>16</v>
      </c>
      <c r="B33" s="39">
        <v>45710</v>
      </c>
      <c r="C33" s="254" t="s">
        <v>44</v>
      </c>
      <c r="D33" s="255" t="s">
        <v>45</v>
      </c>
      <c r="E33" s="32"/>
      <c r="F33" s="17">
        <v>2</v>
      </c>
      <c r="G33" s="18">
        <f t="shared" si="0"/>
        <v>147</v>
      </c>
      <c r="H33" s="256" t="s">
        <v>129</v>
      </c>
      <c r="I33" s="7" t="s">
        <v>90</v>
      </c>
    </row>
    <row r="34" spans="1:10" ht="18" customHeight="1" x14ac:dyDescent="0.25">
      <c r="A34" s="14">
        <f t="shared" si="1"/>
        <v>17</v>
      </c>
      <c r="B34" s="39">
        <v>45712</v>
      </c>
      <c r="C34" s="254" t="s">
        <v>44</v>
      </c>
      <c r="D34" s="255" t="s">
        <v>45</v>
      </c>
      <c r="E34" s="32"/>
      <c r="F34" s="17">
        <v>2</v>
      </c>
      <c r="G34" s="18">
        <f t="shared" si="0"/>
        <v>145</v>
      </c>
      <c r="H34" s="256" t="s">
        <v>129</v>
      </c>
      <c r="I34" s="7" t="s">
        <v>90</v>
      </c>
    </row>
    <row r="35" spans="1:10" ht="18" customHeight="1" x14ac:dyDescent="0.25">
      <c r="A35" s="14">
        <f t="shared" si="1"/>
        <v>18</v>
      </c>
      <c r="B35" s="39">
        <v>45713</v>
      </c>
      <c r="C35" s="254" t="s">
        <v>44</v>
      </c>
      <c r="D35" s="255" t="s">
        <v>45</v>
      </c>
      <c r="E35" s="32"/>
      <c r="F35" s="17">
        <v>2</v>
      </c>
      <c r="G35" s="18">
        <f t="shared" si="0"/>
        <v>143</v>
      </c>
      <c r="H35" s="256" t="s">
        <v>129</v>
      </c>
      <c r="I35" s="7" t="s">
        <v>90</v>
      </c>
    </row>
    <row r="36" spans="1:10" ht="18" customHeight="1" x14ac:dyDescent="0.25">
      <c r="A36" s="14">
        <f t="shared" si="1"/>
        <v>19</v>
      </c>
      <c r="B36" s="39">
        <v>45714</v>
      </c>
      <c r="C36" s="254" t="s">
        <v>44</v>
      </c>
      <c r="D36" s="255" t="s">
        <v>45</v>
      </c>
      <c r="E36" s="51"/>
      <c r="F36" s="17">
        <v>2</v>
      </c>
      <c r="G36" s="18">
        <f t="shared" si="0"/>
        <v>141</v>
      </c>
      <c r="H36" s="256" t="s">
        <v>129</v>
      </c>
      <c r="I36" s="7" t="s">
        <v>90</v>
      </c>
    </row>
    <row r="37" spans="1:10" ht="18" customHeight="1" x14ac:dyDescent="0.25">
      <c r="A37" s="14">
        <f t="shared" si="1"/>
        <v>20</v>
      </c>
      <c r="B37" s="39">
        <v>45715</v>
      </c>
      <c r="C37" s="254" t="s">
        <v>44</v>
      </c>
      <c r="D37" s="255" t="s">
        <v>45</v>
      </c>
      <c r="E37" s="32"/>
      <c r="F37" s="17">
        <v>2</v>
      </c>
      <c r="G37" s="18">
        <f t="shared" si="0"/>
        <v>139</v>
      </c>
      <c r="H37" s="256" t="s">
        <v>129</v>
      </c>
      <c r="I37" s="7" t="s">
        <v>90</v>
      </c>
    </row>
    <row r="38" spans="1:10" ht="18" customHeight="1" x14ac:dyDescent="0.25">
      <c r="A38" s="14">
        <f t="shared" si="1"/>
        <v>21</v>
      </c>
      <c r="B38" s="39">
        <v>45716</v>
      </c>
      <c r="C38" s="254" t="s">
        <v>44</v>
      </c>
      <c r="D38" s="255" t="s">
        <v>45</v>
      </c>
      <c r="E38" s="32"/>
      <c r="F38" s="17">
        <v>2</v>
      </c>
      <c r="G38" s="18">
        <f t="shared" si="0"/>
        <v>137</v>
      </c>
      <c r="H38" s="256" t="s">
        <v>129</v>
      </c>
      <c r="I38" s="7" t="s">
        <v>90</v>
      </c>
    </row>
    <row r="39" spans="1:10" ht="18" customHeight="1" x14ac:dyDescent="0.25">
      <c r="A39" s="14">
        <f t="shared" si="1"/>
        <v>22</v>
      </c>
      <c r="B39" s="39">
        <v>45717</v>
      </c>
      <c r="C39" s="254" t="s">
        <v>44</v>
      </c>
      <c r="D39" s="255" t="s">
        <v>45</v>
      </c>
      <c r="E39" s="32"/>
      <c r="F39" s="27">
        <v>2</v>
      </c>
      <c r="G39" s="18">
        <f t="shared" si="0"/>
        <v>135</v>
      </c>
      <c r="H39" s="256" t="s">
        <v>129</v>
      </c>
      <c r="I39" s="7" t="s">
        <v>90</v>
      </c>
    </row>
    <row r="40" spans="1:10" ht="18" customHeight="1" x14ac:dyDescent="0.25">
      <c r="A40" s="14">
        <f t="shared" si="1"/>
        <v>23</v>
      </c>
      <c r="B40" s="39">
        <v>45719</v>
      </c>
      <c r="C40" s="254" t="s">
        <v>44</v>
      </c>
      <c r="D40" s="255" t="s">
        <v>45</v>
      </c>
      <c r="E40" s="32"/>
      <c r="F40" s="17">
        <v>2</v>
      </c>
      <c r="G40" s="18">
        <f t="shared" si="0"/>
        <v>133</v>
      </c>
      <c r="H40" s="256" t="s">
        <v>129</v>
      </c>
      <c r="I40" s="7" t="s">
        <v>90</v>
      </c>
    </row>
    <row r="41" spans="1:10" ht="18" customHeight="1" x14ac:dyDescent="0.25">
      <c r="A41" s="14">
        <f t="shared" si="1"/>
        <v>24</v>
      </c>
      <c r="B41" s="39">
        <v>45720</v>
      </c>
      <c r="C41" s="254" t="s">
        <v>44</v>
      </c>
      <c r="D41" s="255" t="s">
        <v>45</v>
      </c>
      <c r="E41" s="32"/>
      <c r="F41" s="17">
        <v>4</v>
      </c>
      <c r="G41" s="18">
        <f t="shared" si="0"/>
        <v>129</v>
      </c>
      <c r="H41" s="256" t="s">
        <v>129</v>
      </c>
      <c r="I41" s="7" t="s">
        <v>90</v>
      </c>
      <c r="J41" t="s">
        <v>366</v>
      </c>
    </row>
    <row r="42" spans="1:10" ht="18" customHeight="1" x14ac:dyDescent="0.25">
      <c r="A42" s="14">
        <f t="shared" si="1"/>
        <v>25</v>
      </c>
      <c r="B42" s="39">
        <v>45721</v>
      </c>
      <c r="C42" s="254" t="s">
        <v>44</v>
      </c>
      <c r="D42" s="255" t="s">
        <v>45</v>
      </c>
      <c r="E42" s="32"/>
      <c r="F42" s="17">
        <v>2</v>
      </c>
      <c r="G42" s="18">
        <f t="shared" si="0"/>
        <v>127</v>
      </c>
      <c r="H42" s="256" t="s">
        <v>129</v>
      </c>
      <c r="I42" s="7" t="s">
        <v>90</v>
      </c>
    </row>
    <row r="43" spans="1:10" ht="18" customHeight="1" x14ac:dyDescent="0.25">
      <c r="A43" s="14">
        <f t="shared" si="1"/>
        <v>26</v>
      </c>
      <c r="B43" s="8">
        <v>45722</v>
      </c>
      <c r="C43" s="254" t="s">
        <v>44</v>
      </c>
      <c r="D43" s="255" t="s">
        <v>45</v>
      </c>
      <c r="E43" s="32"/>
      <c r="F43" s="17">
        <v>2</v>
      </c>
      <c r="G43" s="18">
        <f t="shared" si="0"/>
        <v>125</v>
      </c>
      <c r="H43" s="256" t="s">
        <v>129</v>
      </c>
      <c r="I43" s="7" t="s">
        <v>90</v>
      </c>
    </row>
    <row r="44" spans="1:10" ht="18" customHeight="1" x14ac:dyDescent="0.25">
      <c r="A44" s="14">
        <f t="shared" si="1"/>
        <v>27</v>
      </c>
      <c r="B44" s="8">
        <v>45723</v>
      </c>
      <c r="C44" s="254" t="s">
        <v>44</v>
      </c>
      <c r="D44" s="255" t="s">
        <v>45</v>
      </c>
      <c r="E44" s="32"/>
      <c r="F44" s="17">
        <v>2</v>
      </c>
      <c r="G44" s="18">
        <f t="shared" si="0"/>
        <v>123</v>
      </c>
      <c r="H44" s="256" t="s">
        <v>129</v>
      </c>
      <c r="I44" s="7" t="s">
        <v>90</v>
      </c>
    </row>
    <row r="45" spans="1:10" ht="18" customHeight="1" x14ac:dyDescent="0.25">
      <c r="A45" s="14">
        <f t="shared" si="1"/>
        <v>28</v>
      </c>
      <c r="B45" s="8">
        <v>45724</v>
      </c>
      <c r="C45" s="254" t="s">
        <v>44</v>
      </c>
      <c r="D45" s="255" t="s">
        <v>45</v>
      </c>
      <c r="E45" s="32"/>
      <c r="F45" s="17">
        <v>2</v>
      </c>
      <c r="G45" s="18">
        <f t="shared" si="0"/>
        <v>121</v>
      </c>
      <c r="H45" s="256" t="s">
        <v>129</v>
      </c>
      <c r="I45" s="7" t="s">
        <v>90</v>
      </c>
    </row>
    <row r="46" spans="1:10" ht="18" customHeight="1" x14ac:dyDescent="0.25">
      <c r="A46" s="14">
        <f t="shared" si="1"/>
        <v>29</v>
      </c>
      <c r="B46" s="8">
        <v>45726</v>
      </c>
      <c r="C46" s="254" t="s">
        <v>44</v>
      </c>
      <c r="D46" s="255" t="s">
        <v>45</v>
      </c>
      <c r="E46" s="32"/>
      <c r="F46" s="17">
        <v>4</v>
      </c>
      <c r="G46" s="18">
        <f t="shared" si="0"/>
        <v>117</v>
      </c>
      <c r="H46" s="256" t="s">
        <v>129</v>
      </c>
      <c r="I46" s="7" t="s">
        <v>90</v>
      </c>
    </row>
    <row r="47" spans="1:10" ht="18" customHeight="1" x14ac:dyDescent="0.25">
      <c r="A47" s="14">
        <f t="shared" si="1"/>
        <v>30</v>
      </c>
      <c r="B47" s="8">
        <v>45727</v>
      </c>
      <c r="C47" s="254" t="s">
        <v>44</v>
      </c>
      <c r="D47" s="255" t="s">
        <v>45</v>
      </c>
      <c r="E47" s="32"/>
      <c r="F47" s="17">
        <v>2</v>
      </c>
      <c r="G47" s="18">
        <f t="shared" si="0"/>
        <v>115</v>
      </c>
      <c r="H47" s="256" t="s">
        <v>129</v>
      </c>
      <c r="I47" s="7" t="s">
        <v>90</v>
      </c>
    </row>
    <row r="48" spans="1:10" ht="18" customHeight="1" x14ac:dyDescent="0.25">
      <c r="A48" s="14">
        <f t="shared" si="1"/>
        <v>31</v>
      </c>
      <c r="B48" s="8">
        <v>45728</v>
      </c>
      <c r="C48" s="254" t="s">
        <v>44</v>
      </c>
      <c r="D48" s="255" t="s">
        <v>45</v>
      </c>
      <c r="E48" s="32"/>
      <c r="F48" s="27">
        <v>3</v>
      </c>
      <c r="G48" s="18">
        <f t="shared" si="0"/>
        <v>112</v>
      </c>
      <c r="H48" s="256" t="s">
        <v>129</v>
      </c>
      <c r="I48" s="7" t="s">
        <v>90</v>
      </c>
    </row>
    <row r="49" spans="1:17" ht="18" customHeight="1" x14ac:dyDescent="0.25">
      <c r="A49" s="14">
        <f t="shared" si="1"/>
        <v>32</v>
      </c>
      <c r="B49" s="8">
        <v>45701</v>
      </c>
      <c r="C49" s="254" t="s">
        <v>44</v>
      </c>
      <c r="D49" s="255" t="s">
        <v>45</v>
      </c>
      <c r="E49" s="32"/>
      <c r="F49" s="17">
        <v>3</v>
      </c>
      <c r="G49" s="18">
        <f t="shared" si="0"/>
        <v>109</v>
      </c>
      <c r="H49" s="256" t="s">
        <v>129</v>
      </c>
      <c r="I49" s="7" t="s">
        <v>90</v>
      </c>
    </row>
    <row r="50" spans="1:17" ht="18" customHeight="1" x14ac:dyDescent="0.25">
      <c r="A50" s="14">
        <f t="shared" si="1"/>
        <v>33</v>
      </c>
      <c r="B50" s="8">
        <v>45702</v>
      </c>
      <c r="C50" s="254" t="s">
        <v>44</v>
      </c>
      <c r="D50" s="255" t="s">
        <v>45</v>
      </c>
      <c r="E50" s="32"/>
      <c r="F50" s="17">
        <v>4</v>
      </c>
      <c r="G50" s="18">
        <f t="shared" si="0"/>
        <v>105</v>
      </c>
      <c r="H50" s="256" t="s">
        <v>129</v>
      </c>
      <c r="I50" s="7" t="s">
        <v>90</v>
      </c>
    </row>
    <row r="51" spans="1:17" ht="18" customHeight="1" x14ac:dyDescent="0.25">
      <c r="A51" s="14">
        <f t="shared" si="1"/>
        <v>34</v>
      </c>
      <c r="B51" s="8">
        <v>45731</v>
      </c>
      <c r="C51" s="254" t="s">
        <v>44</v>
      </c>
      <c r="D51" s="255" t="s">
        <v>45</v>
      </c>
      <c r="E51" s="32"/>
      <c r="F51" s="17">
        <v>3</v>
      </c>
      <c r="G51" s="18">
        <f t="shared" si="0"/>
        <v>102</v>
      </c>
      <c r="H51" s="256" t="s">
        <v>129</v>
      </c>
      <c r="I51" s="7" t="s">
        <v>90</v>
      </c>
    </row>
    <row r="52" spans="1:17" ht="18" customHeight="1" x14ac:dyDescent="0.25">
      <c r="A52" s="14">
        <f t="shared" si="1"/>
        <v>35</v>
      </c>
      <c r="B52" s="8">
        <v>45733</v>
      </c>
      <c r="C52" s="254" t="s">
        <v>44</v>
      </c>
      <c r="D52" s="255" t="s">
        <v>45</v>
      </c>
      <c r="E52" s="32"/>
      <c r="F52" s="17">
        <v>5</v>
      </c>
      <c r="G52" s="18">
        <f t="shared" si="0"/>
        <v>97</v>
      </c>
      <c r="H52" s="256" t="s">
        <v>129</v>
      </c>
      <c r="I52" s="7" t="s">
        <v>90</v>
      </c>
    </row>
    <row r="53" spans="1:17" ht="18" customHeight="1" x14ac:dyDescent="0.25">
      <c r="A53" s="14">
        <f t="shared" si="1"/>
        <v>36</v>
      </c>
      <c r="B53" s="8">
        <v>45734</v>
      </c>
      <c r="C53" s="254" t="s">
        <v>44</v>
      </c>
      <c r="D53" s="255" t="s">
        <v>45</v>
      </c>
      <c r="E53" s="32"/>
      <c r="F53" s="17">
        <v>6</v>
      </c>
      <c r="G53" s="18">
        <f t="shared" si="0"/>
        <v>91</v>
      </c>
      <c r="H53" s="256" t="s">
        <v>129</v>
      </c>
      <c r="I53" s="7" t="s">
        <v>90</v>
      </c>
    </row>
    <row r="54" spans="1:17" ht="18" customHeight="1" x14ac:dyDescent="0.25">
      <c r="A54" s="14">
        <f t="shared" si="1"/>
        <v>37</v>
      </c>
      <c r="B54" s="8">
        <v>45735</v>
      </c>
      <c r="C54" s="254" t="s">
        <v>44</v>
      </c>
      <c r="D54" s="255" t="s">
        <v>45</v>
      </c>
      <c r="E54" s="32"/>
      <c r="F54" s="17">
        <v>4</v>
      </c>
      <c r="G54" s="18">
        <f t="shared" si="0"/>
        <v>87</v>
      </c>
      <c r="H54" s="256" t="s">
        <v>129</v>
      </c>
      <c r="I54" s="7" t="s">
        <v>90</v>
      </c>
    </row>
    <row r="55" spans="1:17" ht="18" customHeight="1" x14ac:dyDescent="0.25">
      <c r="A55" s="14">
        <f t="shared" si="1"/>
        <v>38</v>
      </c>
      <c r="B55" s="8">
        <v>45736</v>
      </c>
      <c r="C55" s="254" t="s">
        <v>44</v>
      </c>
      <c r="D55" s="255" t="s">
        <v>45</v>
      </c>
      <c r="E55" s="32"/>
      <c r="F55" s="17">
        <v>3</v>
      </c>
      <c r="G55" s="18">
        <f t="shared" si="0"/>
        <v>84</v>
      </c>
      <c r="H55" s="256" t="s">
        <v>129</v>
      </c>
      <c r="I55" s="7" t="s">
        <v>90</v>
      </c>
    </row>
    <row r="56" spans="1:17" ht="18" customHeight="1" x14ac:dyDescent="0.25">
      <c r="A56" s="14">
        <f t="shared" si="1"/>
        <v>39</v>
      </c>
      <c r="B56" s="8">
        <v>45737</v>
      </c>
      <c r="C56" s="254" t="s">
        <v>44</v>
      </c>
      <c r="D56" s="255" t="s">
        <v>45</v>
      </c>
      <c r="E56" s="32"/>
      <c r="F56" s="17">
        <v>3</v>
      </c>
      <c r="G56" s="18">
        <f t="shared" si="0"/>
        <v>81</v>
      </c>
      <c r="H56" s="256" t="s">
        <v>129</v>
      </c>
      <c r="I56" s="7" t="s">
        <v>90</v>
      </c>
      <c r="L56" s="199"/>
      <c r="Q56" s="199"/>
    </row>
    <row r="57" spans="1:17" ht="18" customHeight="1" x14ac:dyDescent="0.25">
      <c r="A57" s="14">
        <f t="shared" si="1"/>
        <v>40</v>
      </c>
      <c r="B57" s="8">
        <v>45738</v>
      </c>
      <c r="C57" s="254" t="s">
        <v>44</v>
      </c>
      <c r="D57" s="255" t="s">
        <v>45</v>
      </c>
      <c r="E57" s="32"/>
      <c r="F57" s="27">
        <v>3</v>
      </c>
      <c r="G57" s="18">
        <f t="shared" si="0"/>
        <v>78</v>
      </c>
      <c r="H57" s="256" t="s">
        <v>129</v>
      </c>
      <c r="I57" s="7" t="s">
        <v>90</v>
      </c>
      <c r="L57" s="199"/>
      <c r="Q57" s="199"/>
    </row>
    <row r="58" spans="1:17" ht="18" customHeight="1" x14ac:dyDescent="0.25">
      <c r="A58" s="14">
        <f t="shared" si="1"/>
        <v>41</v>
      </c>
      <c r="B58" s="8">
        <v>45739</v>
      </c>
      <c r="C58" s="254" t="s">
        <v>44</v>
      </c>
      <c r="D58" s="255" t="s">
        <v>45</v>
      </c>
      <c r="E58" s="32"/>
      <c r="F58" s="17">
        <v>1</v>
      </c>
      <c r="G58" s="18">
        <f t="shared" si="0"/>
        <v>77</v>
      </c>
      <c r="H58" s="256" t="s">
        <v>129</v>
      </c>
      <c r="I58" s="7" t="s">
        <v>90</v>
      </c>
      <c r="L58" s="199"/>
      <c r="Q58" s="199"/>
    </row>
    <row r="59" spans="1:17" ht="18" customHeight="1" x14ac:dyDescent="0.25">
      <c r="A59" s="14">
        <f t="shared" si="1"/>
        <v>42</v>
      </c>
      <c r="B59" s="8">
        <v>45740</v>
      </c>
      <c r="C59" s="254" t="s">
        <v>44</v>
      </c>
      <c r="D59" s="255" t="s">
        <v>45</v>
      </c>
      <c r="E59" s="32"/>
      <c r="F59" s="17">
        <v>3</v>
      </c>
      <c r="G59" s="18">
        <f t="shared" si="0"/>
        <v>74</v>
      </c>
      <c r="H59" s="256" t="s">
        <v>129</v>
      </c>
      <c r="I59" s="7" t="s">
        <v>90</v>
      </c>
      <c r="L59" s="199"/>
      <c r="Q59" s="199"/>
    </row>
    <row r="60" spans="1:17" ht="18" customHeight="1" x14ac:dyDescent="0.25">
      <c r="A60" s="14">
        <f t="shared" si="1"/>
        <v>43</v>
      </c>
      <c r="B60" s="8">
        <v>45741</v>
      </c>
      <c r="C60" s="254" t="s">
        <v>44</v>
      </c>
      <c r="D60" s="255" t="s">
        <v>45</v>
      </c>
      <c r="E60" s="32"/>
      <c r="F60" s="17">
        <v>2</v>
      </c>
      <c r="G60" s="18">
        <f t="shared" si="0"/>
        <v>72</v>
      </c>
      <c r="H60" s="256" t="s">
        <v>129</v>
      </c>
      <c r="I60" s="7" t="s">
        <v>90</v>
      </c>
      <c r="L60" s="199"/>
      <c r="Q60" s="199"/>
    </row>
    <row r="61" spans="1:17" ht="18" customHeight="1" x14ac:dyDescent="0.25">
      <c r="A61" s="14">
        <f t="shared" si="1"/>
        <v>44</v>
      </c>
      <c r="B61" s="8">
        <v>45743</v>
      </c>
      <c r="C61" s="254" t="s">
        <v>44</v>
      </c>
      <c r="D61" s="255" t="s">
        <v>45</v>
      </c>
      <c r="E61" s="32"/>
      <c r="F61" s="17">
        <v>2</v>
      </c>
      <c r="G61" s="18">
        <f t="shared" si="0"/>
        <v>70</v>
      </c>
      <c r="H61" s="256" t="s">
        <v>129</v>
      </c>
      <c r="I61" s="7" t="s">
        <v>90</v>
      </c>
      <c r="L61" s="199">
        <f>7-2.7</f>
        <v>4.3</v>
      </c>
      <c r="Q61" s="199"/>
    </row>
    <row r="62" spans="1:17" ht="18" customHeight="1" x14ac:dyDescent="0.25">
      <c r="A62" s="14">
        <f t="shared" si="1"/>
        <v>45</v>
      </c>
      <c r="B62" s="8">
        <v>45744</v>
      </c>
      <c r="C62" s="254" t="s">
        <v>44</v>
      </c>
      <c r="D62" s="255" t="s">
        <v>45</v>
      </c>
      <c r="E62" s="32"/>
      <c r="F62" s="17">
        <v>2</v>
      </c>
      <c r="G62" s="18">
        <f t="shared" si="0"/>
        <v>68</v>
      </c>
      <c r="H62" s="256" t="s">
        <v>129</v>
      </c>
      <c r="I62" s="7" t="s">
        <v>90</v>
      </c>
      <c r="L62" s="199"/>
      <c r="Q62" s="199"/>
    </row>
    <row r="63" spans="1:17" ht="18" customHeight="1" x14ac:dyDescent="0.25">
      <c r="A63" s="14">
        <f t="shared" si="1"/>
        <v>46</v>
      </c>
      <c r="B63" s="8">
        <v>45746</v>
      </c>
      <c r="C63" s="254" t="s">
        <v>44</v>
      </c>
      <c r="D63" s="255" t="s">
        <v>45</v>
      </c>
      <c r="E63" s="32"/>
      <c r="F63" s="17">
        <v>2</v>
      </c>
      <c r="G63" s="18">
        <f t="shared" si="0"/>
        <v>66</v>
      </c>
      <c r="H63" s="256" t="s">
        <v>129</v>
      </c>
      <c r="I63" s="7" t="s">
        <v>90</v>
      </c>
      <c r="L63" s="199"/>
      <c r="Q63" s="199"/>
    </row>
    <row r="64" spans="1:17" ht="18" customHeight="1" x14ac:dyDescent="0.25">
      <c r="A64" s="14">
        <f t="shared" si="1"/>
        <v>47</v>
      </c>
      <c r="B64" s="8">
        <v>45747</v>
      </c>
      <c r="C64" s="254" t="s">
        <v>44</v>
      </c>
      <c r="D64" s="255" t="s">
        <v>45</v>
      </c>
      <c r="E64" s="32">
        <v>540</v>
      </c>
      <c r="F64" s="17">
        <v>5</v>
      </c>
      <c r="G64" s="18">
        <f t="shared" si="0"/>
        <v>601</v>
      </c>
      <c r="H64" s="256" t="s">
        <v>129</v>
      </c>
      <c r="I64" s="7" t="s">
        <v>90</v>
      </c>
      <c r="L64" s="199"/>
      <c r="Q64" s="200"/>
    </row>
    <row r="65" spans="1:17" ht="18" customHeight="1" x14ac:dyDescent="0.25">
      <c r="A65" s="14">
        <f t="shared" si="1"/>
        <v>48</v>
      </c>
      <c r="B65" s="8">
        <v>45748</v>
      </c>
      <c r="C65" s="254" t="s">
        <v>44</v>
      </c>
      <c r="D65" s="255" t="s">
        <v>45</v>
      </c>
      <c r="E65" s="32"/>
      <c r="F65" s="27">
        <v>3</v>
      </c>
      <c r="G65" s="18">
        <f t="shared" si="0"/>
        <v>598</v>
      </c>
      <c r="H65" s="256" t="s">
        <v>129</v>
      </c>
      <c r="I65" s="7" t="s">
        <v>90</v>
      </c>
      <c r="L65" s="199"/>
      <c r="Q65" s="200"/>
    </row>
    <row r="66" spans="1:17" ht="18" customHeight="1" x14ac:dyDescent="0.25">
      <c r="A66" s="14">
        <f t="shared" si="1"/>
        <v>49</v>
      </c>
      <c r="B66" s="8">
        <v>45749</v>
      </c>
      <c r="C66" s="254" t="s">
        <v>44</v>
      </c>
      <c r="D66" s="255" t="s">
        <v>45</v>
      </c>
      <c r="E66" s="32"/>
      <c r="F66" s="17">
        <v>4</v>
      </c>
      <c r="G66" s="18">
        <f t="shared" si="0"/>
        <v>594</v>
      </c>
      <c r="H66" s="256" t="s">
        <v>129</v>
      </c>
      <c r="I66" s="7" t="s">
        <v>90</v>
      </c>
      <c r="L66" s="26"/>
      <c r="Q66" s="199"/>
    </row>
    <row r="67" spans="1:17" ht="18" customHeight="1" x14ac:dyDescent="0.25">
      <c r="A67" s="14">
        <f t="shared" si="1"/>
        <v>50</v>
      </c>
      <c r="B67" s="8">
        <v>45750</v>
      </c>
      <c r="C67" s="254" t="s">
        <v>44</v>
      </c>
      <c r="D67" s="255" t="s">
        <v>45</v>
      </c>
      <c r="E67" s="32"/>
      <c r="F67" s="17">
        <v>3</v>
      </c>
      <c r="G67" s="18">
        <f t="shared" si="0"/>
        <v>591</v>
      </c>
      <c r="H67" s="256" t="s">
        <v>129</v>
      </c>
      <c r="I67" s="7" t="s">
        <v>90</v>
      </c>
      <c r="L67" s="26"/>
      <c r="Q67" s="199"/>
    </row>
    <row r="68" spans="1:17" ht="18" customHeight="1" x14ac:dyDescent="0.25">
      <c r="A68" s="14">
        <f t="shared" si="1"/>
        <v>51</v>
      </c>
      <c r="B68" s="8">
        <v>45720</v>
      </c>
      <c r="C68" s="254" t="s">
        <v>44</v>
      </c>
      <c r="D68" s="255" t="s">
        <v>45</v>
      </c>
      <c r="E68" s="32"/>
      <c r="F68" s="17">
        <v>4</v>
      </c>
      <c r="G68" s="18">
        <f t="shared" si="0"/>
        <v>587</v>
      </c>
      <c r="H68" s="256" t="s">
        <v>129</v>
      </c>
      <c r="I68" s="7" t="s">
        <v>90</v>
      </c>
      <c r="L68" s="26"/>
      <c r="Q68" s="199"/>
    </row>
    <row r="69" spans="1:17" ht="18" customHeight="1" x14ac:dyDescent="0.25">
      <c r="A69" s="14">
        <f t="shared" si="1"/>
        <v>52</v>
      </c>
      <c r="B69" s="8">
        <v>45756</v>
      </c>
      <c r="C69" s="254" t="s">
        <v>44</v>
      </c>
      <c r="D69" s="255" t="s">
        <v>45</v>
      </c>
      <c r="E69" s="32"/>
      <c r="F69" s="17">
        <v>1</v>
      </c>
      <c r="G69" s="18">
        <f t="shared" si="0"/>
        <v>586</v>
      </c>
      <c r="H69" s="256" t="s">
        <v>129</v>
      </c>
      <c r="I69" s="7" t="s">
        <v>90</v>
      </c>
      <c r="L69" s="26"/>
      <c r="Q69" s="199"/>
    </row>
    <row r="70" spans="1:17" ht="18" customHeight="1" x14ac:dyDescent="0.25">
      <c r="A70" s="14">
        <f t="shared" si="1"/>
        <v>53</v>
      </c>
      <c r="B70" s="8">
        <v>45757</v>
      </c>
      <c r="C70" s="254" t="s">
        <v>44</v>
      </c>
      <c r="D70" s="255" t="s">
        <v>45</v>
      </c>
      <c r="E70" s="32"/>
      <c r="F70" s="17">
        <v>2</v>
      </c>
      <c r="G70" s="18">
        <f t="shared" si="0"/>
        <v>584</v>
      </c>
      <c r="H70" s="256" t="s">
        <v>129</v>
      </c>
      <c r="I70" s="7" t="s">
        <v>90</v>
      </c>
      <c r="L70" s="26"/>
      <c r="Q70" s="199"/>
    </row>
    <row r="71" spans="1:17" ht="18" customHeight="1" x14ac:dyDescent="0.25">
      <c r="A71" s="14">
        <f t="shared" si="1"/>
        <v>54</v>
      </c>
      <c r="B71" s="8">
        <v>45758</v>
      </c>
      <c r="C71" s="254" t="s">
        <v>44</v>
      </c>
      <c r="D71" s="255" t="s">
        <v>45</v>
      </c>
      <c r="E71" s="32"/>
      <c r="F71" s="17">
        <v>2</v>
      </c>
      <c r="G71" s="18">
        <f t="shared" si="0"/>
        <v>582</v>
      </c>
      <c r="H71" s="256" t="s">
        <v>129</v>
      </c>
      <c r="I71" s="7"/>
      <c r="L71" s="26"/>
      <c r="Q71" s="199"/>
    </row>
    <row r="72" spans="1:17" ht="18" customHeight="1" x14ac:dyDescent="0.25">
      <c r="A72" s="14">
        <f t="shared" si="1"/>
        <v>55</v>
      </c>
      <c r="B72" s="8">
        <v>45759</v>
      </c>
      <c r="C72" s="254" t="s">
        <v>44</v>
      </c>
      <c r="D72" s="255" t="s">
        <v>45</v>
      </c>
      <c r="E72" s="32"/>
      <c r="F72" s="17">
        <v>3</v>
      </c>
      <c r="G72" s="18">
        <f t="shared" si="0"/>
        <v>579</v>
      </c>
      <c r="H72" s="256" t="s">
        <v>129</v>
      </c>
      <c r="I72" s="7" t="s">
        <v>271</v>
      </c>
      <c r="L72" s="26"/>
      <c r="Q72" s="199"/>
    </row>
    <row r="73" spans="1:17" ht="18" customHeight="1" x14ac:dyDescent="0.25">
      <c r="A73" s="14">
        <f t="shared" si="1"/>
        <v>56</v>
      </c>
      <c r="B73" s="8">
        <v>45761</v>
      </c>
      <c r="C73" s="254" t="s">
        <v>44</v>
      </c>
      <c r="D73" s="255" t="s">
        <v>45</v>
      </c>
      <c r="E73" s="32"/>
      <c r="F73" s="17">
        <v>3</v>
      </c>
      <c r="G73" s="18">
        <f t="shared" si="0"/>
        <v>576</v>
      </c>
      <c r="H73" s="256" t="s">
        <v>129</v>
      </c>
      <c r="I73" s="7"/>
      <c r="L73" s="26"/>
      <c r="Q73" s="199"/>
    </row>
    <row r="74" spans="1:17" ht="18" customHeight="1" x14ac:dyDescent="0.25">
      <c r="A74" s="14">
        <f t="shared" si="1"/>
        <v>57</v>
      </c>
      <c r="B74" s="8">
        <v>45762</v>
      </c>
      <c r="C74" s="254" t="s">
        <v>44</v>
      </c>
      <c r="D74" s="255" t="s">
        <v>45</v>
      </c>
      <c r="E74" s="32"/>
      <c r="F74" s="17">
        <f>12+2</f>
        <v>14</v>
      </c>
      <c r="G74" s="18">
        <f t="shared" ref="G74:G137" si="2">+G73+E74-F74</f>
        <v>562</v>
      </c>
      <c r="H74" s="28"/>
      <c r="I74" s="7" t="s">
        <v>382</v>
      </c>
      <c r="L74" s="26"/>
      <c r="Q74" s="199"/>
    </row>
    <row r="75" spans="1:17" ht="18" customHeight="1" x14ac:dyDescent="0.25">
      <c r="A75" s="14">
        <f t="shared" si="1"/>
        <v>58</v>
      </c>
      <c r="B75" s="8">
        <v>45763</v>
      </c>
      <c r="C75" s="254" t="s">
        <v>44</v>
      </c>
      <c r="D75" s="255" t="s">
        <v>45</v>
      </c>
      <c r="E75" s="32"/>
      <c r="F75" s="27">
        <v>3</v>
      </c>
      <c r="G75" s="18">
        <f t="shared" si="2"/>
        <v>559</v>
      </c>
      <c r="H75" s="28"/>
      <c r="I75" s="7"/>
      <c r="L75" s="26"/>
      <c r="Q75" s="199"/>
    </row>
    <row r="76" spans="1:17" ht="18" customHeight="1" x14ac:dyDescent="0.25">
      <c r="A76" s="14">
        <f t="shared" si="1"/>
        <v>59</v>
      </c>
      <c r="B76" s="8">
        <v>45764</v>
      </c>
      <c r="C76" s="254" t="s">
        <v>44</v>
      </c>
      <c r="D76" s="255" t="s">
        <v>45</v>
      </c>
      <c r="E76" s="32"/>
      <c r="F76" s="17">
        <v>3</v>
      </c>
      <c r="G76" s="18">
        <f t="shared" si="2"/>
        <v>556</v>
      </c>
      <c r="H76" s="28"/>
      <c r="I76" s="7"/>
      <c r="L76" s="26"/>
      <c r="Q76" s="199"/>
    </row>
    <row r="77" spans="1:17" ht="18" customHeight="1" x14ac:dyDescent="0.25">
      <c r="A77" s="14">
        <f t="shared" si="1"/>
        <v>60</v>
      </c>
      <c r="B77" s="8">
        <v>45765</v>
      </c>
      <c r="C77" s="254" t="s">
        <v>44</v>
      </c>
      <c r="D77" s="255" t="s">
        <v>45</v>
      </c>
      <c r="E77" s="32"/>
      <c r="F77" s="17">
        <v>4</v>
      </c>
      <c r="G77" s="18">
        <f t="shared" si="2"/>
        <v>552</v>
      </c>
      <c r="H77" s="28"/>
      <c r="I77" s="7" t="s">
        <v>278</v>
      </c>
      <c r="L77" s="26"/>
      <c r="Q77" s="199"/>
    </row>
    <row r="78" spans="1:17" ht="18" customHeight="1" x14ac:dyDescent="0.25">
      <c r="A78" s="14">
        <f t="shared" si="1"/>
        <v>61</v>
      </c>
      <c r="B78" s="8">
        <v>45766</v>
      </c>
      <c r="C78" s="254" t="s">
        <v>44</v>
      </c>
      <c r="D78" s="255" t="s">
        <v>45</v>
      </c>
      <c r="E78" s="32"/>
      <c r="F78" s="17">
        <v>4</v>
      </c>
      <c r="G78" s="18">
        <f t="shared" si="2"/>
        <v>548</v>
      </c>
      <c r="H78" s="28"/>
      <c r="I78" s="7"/>
      <c r="L78" s="26"/>
      <c r="Q78" s="199"/>
    </row>
    <row r="79" spans="1:17" ht="18" customHeight="1" x14ac:dyDescent="0.25">
      <c r="A79" s="14">
        <f t="shared" si="1"/>
        <v>62</v>
      </c>
      <c r="B79" s="8">
        <v>45768</v>
      </c>
      <c r="C79" s="254" t="s">
        <v>44</v>
      </c>
      <c r="D79" s="255" t="s">
        <v>45</v>
      </c>
      <c r="E79" s="32"/>
      <c r="F79" s="17">
        <v>4</v>
      </c>
      <c r="G79" s="18">
        <f t="shared" si="2"/>
        <v>544</v>
      </c>
      <c r="H79" s="28"/>
      <c r="I79" s="7"/>
      <c r="L79" s="26"/>
      <c r="Q79" s="199"/>
    </row>
    <row r="80" spans="1:17" ht="18" customHeight="1" x14ac:dyDescent="0.25">
      <c r="A80" s="14">
        <f t="shared" si="1"/>
        <v>63</v>
      </c>
      <c r="B80" s="8">
        <v>45769</v>
      </c>
      <c r="C80" s="254" t="s">
        <v>44</v>
      </c>
      <c r="D80" s="255" t="s">
        <v>45</v>
      </c>
      <c r="E80" s="32"/>
      <c r="F80" s="27">
        <v>2</v>
      </c>
      <c r="G80" s="18">
        <f t="shared" si="2"/>
        <v>542</v>
      </c>
      <c r="H80" s="28"/>
      <c r="I80" s="7"/>
      <c r="L80" s="26"/>
      <c r="Q80" s="199"/>
    </row>
    <row r="81" spans="1:17" ht="18" customHeight="1" x14ac:dyDescent="0.25">
      <c r="A81" s="14">
        <f t="shared" si="1"/>
        <v>64</v>
      </c>
      <c r="B81" s="8">
        <v>45770</v>
      </c>
      <c r="C81" s="254" t="s">
        <v>44</v>
      </c>
      <c r="D81" s="255" t="s">
        <v>45</v>
      </c>
      <c r="E81" s="32"/>
      <c r="F81" s="27">
        <v>1</v>
      </c>
      <c r="G81" s="18">
        <f t="shared" si="2"/>
        <v>541</v>
      </c>
      <c r="H81" s="28"/>
      <c r="I81" s="7"/>
      <c r="L81" s="26"/>
      <c r="Q81" s="199"/>
    </row>
    <row r="82" spans="1:17" ht="18" customHeight="1" x14ac:dyDescent="0.25">
      <c r="A82" s="14">
        <f t="shared" si="1"/>
        <v>65</v>
      </c>
      <c r="B82" s="8">
        <v>45771</v>
      </c>
      <c r="C82" s="254" t="s">
        <v>44</v>
      </c>
      <c r="D82" s="255" t="s">
        <v>45</v>
      </c>
      <c r="E82" s="32"/>
      <c r="F82" s="27">
        <v>2</v>
      </c>
      <c r="G82" s="18">
        <f t="shared" si="2"/>
        <v>539</v>
      </c>
      <c r="H82" s="28"/>
      <c r="I82" s="7"/>
      <c r="L82" s="26"/>
      <c r="Q82" s="199"/>
    </row>
    <row r="83" spans="1:17" ht="18" customHeight="1" x14ac:dyDescent="0.25">
      <c r="A83" s="14">
        <f t="shared" si="1"/>
        <v>66</v>
      </c>
      <c r="B83" s="371">
        <v>45772</v>
      </c>
      <c r="C83" s="254" t="s">
        <v>44</v>
      </c>
      <c r="D83" s="255" t="s">
        <v>45</v>
      </c>
      <c r="E83" s="32"/>
      <c r="F83" s="27">
        <v>3</v>
      </c>
      <c r="G83" s="18">
        <f t="shared" si="2"/>
        <v>536</v>
      </c>
      <c r="H83" s="28"/>
      <c r="I83" s="7"/>
      <c r="L83" s="26"/>
      <c r="Q83" s="199"/>
    </row>
    <row r="84" spans="1:17" ht="18" customHeight="1" x14ac:dyDescent="0.25">
      <c r="A84" s="14">
        <f t="shared" ref="A84:A203" si="3">+A83+1</f>
        <v>67</v>
      </c>
      <c r="B84" s="44">
        <v>45773</v>
      </c>
      <c r="C84" s="254" t="s">
        <v>44</v>
      </c>
      <c r="D84" s="255" t="s">
        <v>45</v>
      </c>
      <c r="E84" s="32"/>
      <c r="F84" s="27">
        <v>1</v>
      </c>
      <c r="G84" s="18">
        <f t="shared" si="2"/>
        <v>535</v>
      </c>
      <c r="H84" s="28"/>
      <c r="I84" s="7"/>
      <c r="L84" s="26"/>
      <c r="Q84" s="199"/>
    </row>
    <row r="85" spans="1:17" ht="18" customHeight="1" x14ac:dyDescent="0.25">
      <c r="A85" s="14">
        <f t="shared" si="3"/>
        <v>68</v>
      </c>
      <c r="B85" s="44">
        <v>45774</v>
      </c>
      <c r="C85" s="254" t="s">
        <v>44</v>
      </c>
      <c r="D85" s="255" t="s">
        <v>45</v>
      </c>
      <c r="E85" s="32"/>
      <c r="F85" s="27">
        <v>4</v>
      </c>
      <c r="G85" s="18">
        <f t="shared" si="2"/>
        <v>531</v>
      </c>
      <c r="H85" s="28"/>
      <c r="I85" s="7"/>
      <c r="L85" s="26"/>
      <c r="Q85" s="199"/>
    </row>
    <row r="86" spans="1:17" ht="18" customHeight="1" x14ac:dyDescent="0.25">
      <c r="A86" s="14">
        <f t="shared" si="3"/>
        <v>69</v>
      </c>
      <c r="B86" s="44">
        <v>45775</v>
      </c>
      <c r="C86" s="254" t="s">
        <v>44</v>
      </c>
      <c r="D86" s="255" t="s">
        <v>45</v>
      </c>
      <c r="E86" s="32"/>
      <c r="F86" s="27">
        <v>2</v>
      </c>
      <c r="G86" s="18">
        <f t="shared" si="2"/>
        <v>529</v>
      </c>
      <c r="H86" s="28"/>
      <c r="I86" s="7"/>
      <c r="L86" s="26"/>
      <c r="Q86" s="199"/>
    </row>
    <row r="87" spans="1:17" ht="18" customHeight="1" x14ac:dyDescent="0.25">
      <c r="A87" s="14">
        <f t="shared" si="3"/>
        <v>70</v>
      </c>
      <c r="B87" s="8">
        <v>45776</v>
      </c>
      <c r="C87" s="254" t="s">
        <v>44</v>
      </c>
      <c r="D87" s="255" t="s">
        <v>45</v>
      </c>
      <c r="E87" s="32"/>
      <c r="F87" s="27">
        <v>2</v>
      </c>
      <c r="G87" s="18">
        <f t="shared" si="2"/>
        <v>527</v>
      </c>
      <c r="H87" s="28"/>
      <c r="I87" s="7"/>
      <c r="L87" s="26"/>
      <c r="Q87" s="199"/>
    </row>
    <row r="88" spans="1:17" ht="18" customHeight="1" x14ac:dyDescent="0.25">
      <c r="A88" s="14">
        <f t="shared" si="3"/>
        <v>71</v>
      </c>
      <c r="B88" s="8">
        <v>45782</v>
      </c>
      <c r="C88" s="254" t="s">
        <v>44</v>
      </c>
      <c r="D88" s="255" t="s">
        <v>45</v>
      </c>
      <c r="E88" s="32"/>
      <c r="F88" s="27">
        <v>4</v>
      </c>
      <c r="G88" s="18">
        <f t="shared" si="2"/>
        <v>523</v>
      </c>
      <c r="H88" s="28"/>
      <c r="I88" s="7"/>
      <c r="L88" s="26"/>
      <c r="Q88" s="199"/>
    </row>
    <row r="89" spans="1:17" ht="18" customHeight="1" x14ac:dyDescent="0.25">
      <c r="A89" s="14">
        <f t="shared" si="3"/>
        <v>72</v>
      </c>
      <c r="B89" s="8">
        <v>45783</v>
      </c>
      <c r="C89" s="254" t="s">
        <v>44</v>
      </c>
      <c r="D89" s="255" t="s">
        <v>45</v>
      </c>
      <c r="E89" s="32"/>
      <c r="F89" s="27">
        <v>2</v>
      </c>
      <c r="G89" s="18">
        <f t="shared" si="2"/>
        <v>521</v>
      </c>
      <c r="H89" s="28"/>
      <c r="I89" s="7"/>
      <c r="L89" s="26"/>
      <c r="Q89" s="199"/>
    </row>
    <row r="90" spans="1:17" ht="18" customHeight="1" x14ac:dyDescent="0.25">
      <c r="A90" s="14">
        <f t="shared" si="3"/>
        <v>73</v>
      </c>
      <c r="B90" s="8">
        <v>45784</v>
      </c>
      <c r="C90" s="254" t="s">
        <v>44</v>
      </c>
      <c r="D90" s="255" t="s">
        <v>45</v>
      </c>
      <c r="E90" s="32"/>
      <c r="F90" s="27">
        <v>4</v>
      </c>
      <c r="G90" s="18">
        <f t="shared" si="2"/>
        <v>517</v>
      </c>
      <c r="H90" s="28"/>
      <c r="I90" s="7"/>
      <c r="L90" s="26"/>
      <c r="Q90" s="199"/>
    </row>
    <row r="91" spans="1:17" ht="18" customHeight="1" x14ac:dyDescent="0.25">
      <c r="A91" s="14">
        <f t="shared" si="3"/>
        <v>74</v>
      </c>
      <c r="B91" s="8">
        <v>45786</v>
      </c>
      <c r="C91" s="254" t="s">
        <v>44</v>
      </c>
      <c r="D91" s="255" t="s">
        <v>45</v>
      </c>
      <c r="E91" s="32"/>
      <c r="F91" s="27">
        <v>2</v>
      </c>
      <c r="G91" s="18">
        <f t="shared" si="2"/>
        <v>515</v>
      </c>
      <c r="H91" s="28"/>
      <c r="I91" s="7"/>
      <c r="L91" s="26"/>
      <c r="Q91" s="199"/>
    </row>
    <row r="92" spans="1:17" ht="18" customHeight="1" x14ac:dyDescent="0.25">
      <c r="A92" s="14">
        <f t="shared" si="3"/>
        <v>75</v>
      </c>
      <c r="B92" s="8">
        <v>45787</v>
      </c>
      <c r="C92" s="254" t="s">
        <v>44</v>
      </c>
      <c r="D92" s="255" t="s">
        <v>45</v>
      </c>
      <c r="E92" s="32"/>
      <c r="F92" s="27">
        <v>2</v>
      </c>
      <c r="G92" s="18">
        <f t="shared" si="2"/>
        <v>513</v>
      </c>
      <c r="H92" s="28"/>
      <c r="I92" s="7"/>
      <c r="L92" s="26"/>
      <c r="Q92" s="199"/>
    </row>
    <row r="93" spans="1:17" ht="18" customHeight="1" x14ac:dyDescent="0.25">
      <c r="A93" s="14">
        <f t="shared" si="3"/>
        <v>76</v>
      </c>
      <c r="B93" s="300">
        <v>45789</v>
      </c>
      <c r="C93" s="254" t="s">
        <v>44</v>
      </c>
      <c r="D93" s="255" t="s">
        <v>45</v>
      </c>
      <c r="E93" s="32"/>
      <c r="F93" s="27">
        <v>2</v>
      </c>
      <c r="G93" s="18">
        <f t="shared" si="2"/>
        <v>511</v>
      </c>
      <c r="H93" s="28"/>
      <c r="I93" s="7"/>
      <c r="L93" s="26"/>
      <c r="Q93" s="199"/>
    </row>
    <row r="94" spans="1:17" ht="18" customHeight="1" x14ac:dyDescent="0.25">
      <c r="A94" s="14">
        <f t="shared" si="3"/>
        <v>77</v>
      </c>
      <c r="B94" s="8">
        <v>45790</v>
      </c>
      <c r="C94" s="254" t="s">
        <v>44</v>
      </c>
      <c r="D94" s="255" t="s">
        <v>45</v>
      </c>
      <c r="E94" s="32"/>
      <c r="F94" s="27">
        <v>2</v>
      </c>
      <c r="G94" s="18">
        <f t="shared" si="2"/>
        <v>509</v>
      </c>
      <c r="H94" s="28"/>
      <c r="I94" s="7"/>
      <c r="L94" s="26"/>
      <c r="Q94" s="199"/>
    </row>
    <row r="95" spans="1:17" ht="18" customHeight="1" x14ac:dyDescent="0.25">
      <c r="A95" s="14">
        <f t="shared" si="3"/>
        <v>78</v>
      </c>
      <c r="B95" s="8">
        <v>45791</v>
      </c>
      <c r="C95" s="254" t="s">
        <v>44</v>
      </c>
      <c r="D95" s="255" t="s">
        <v>45</v>
      </c>
      <c r="E95" s="32"/>
      <c r="F95" s="27">
        <v>2</v>
      </c>
      <c r="G95" s="18">
        <f t="shared" si="2"/>
        <v>507</v>
      </c>
      <c r="H95" s="28"/>
      <c r="I95" s="7"/>
      <c r="L95" s="26"/>
      <c r="Q95" s="199"/>
    </row>
    <row r="96" spans="1:17" ht="18" customHeight="1" x14ac:dyDescent="0.25">
      <c r="A96" s="14">
        <f t="shared" si="3"/>
        <v>79</v>
      </c>
      <c r="B96" s="8">
        <v>45792</v>
      </c>
      <c r="C96" s="254" t="s">
        <v>44</v>
      </c>
      <c r="D96" s="255" t="s">
        <v>45</v>
      </c>
      <c r="E96" s="32"/>
      <c r="F96" s="27">
        <v>5</v>
      </c>
      <c r="G96" s="18">
        <f t="shared" si="2"/>
        <v>502</v>
      </c>
      <c r="H96" s="28"/>
      <c r="I96" s="7"/>
      <c r="L96" s="26"/>
      <c r="Q96" s="199"/>
    </row>
    <row r="97" spans="1:17" ht="18" customHeight="1" x14ac:dyDescent="0.25">
      <c r="A97" s="14">
        <f t="shared" si="3"/>
        <v>80</v>
      </c>
      <c r="B97" s="8">
        <v>45794</v>
      </c>
      <c r="C97" s="254" t="s">
        <v>44</v>
      </c>
      <c r="D97" s="255" t="s">
        <v>45</v>
      </c>
      <c r="E97" s="32"/>
      <c r="F97" s="27">
        <v>3</v>
      </c>
      <c r="G97" s="18">
        <f t="shared" si="2"/>
        <v>499</v>
      </c>
      <c r="H97" s="28"/>
      <c r="I97" s="7"/>
      <c r="L97" s="26"/>
      <c r="Q97" s="199"/>
    </row>
    <row r="98" spans="1:17" ht="18" customHeight="1" x14ac:dyDescent="0.25">
      <c r="A98" s="14">
        <f t="shared" si="3"/>
        <v>81</v>
      </c>
      <c r="B98" s="8">
        <v>45735</v>
      </c>
      <c r="C98" s="254" t="s">
        <v>44</v>
      </c>
      <c r="D98" s="255" t="s">
        <v>45</v>
      </c>
      <c r="E98" s="32"/>
      <c r="F98" s="27">
        <v>3</v>
      </c>
      <c r="G98" s="18">
        <f t="shared" si="2"/>
        <v>496</v>
      </c>
      <c r="H98" s="28"/>
      <c r="I98" s="7"/>
      <c r="L98" s="26"/>
      <c r="Q98" s="199"/>
    </row>
    <row r="99" spans="1:17" ht="18" customHeight="1" x14ac:dyDescent="0.25">
      <c r="A99" s="14">
        <f t="shared" si="3"/>
        <v>82</v>
      </c>
      <c r="B99" s="8">
        <v>45797</v>
      </c>
      <c r="C99" s="254" t="s">
        <v>44</v>
      </c>
      <c r="D99" s="255" t="s">
        <v>45</v>
      </c>
      <c r="E99" s="32"/>
      <c r="F99" s="27">
        <v>5</v>
      </c>
      <c r="G99" s="18">
        <f t="shared" si="2"/>
        <v>491</v>
      </c>
      <c r="H99" s="28"/>
      <c r="I99" s="7"/>
      <c r="L99" s="26"/>
      <c r="Q99" s="199"/>
    </row>
    <row r="100" spans="1:17" ht="18" customHeight="1" x14ac:dyDescent="0.25">
      <c r="A100" s="14">
        <f t="shared" si="3"/>
        <v>83</v>
      </c>
      <c r="B100" s="8">
        <v>45798</v>
      </c>
      <c r="C100" s="254" t="s">
        <v>44</v>
      </c>
      <c r="D100" s="255" t="s">
        <v>45</v>
      </c>
      <c r="E100" s="32"/>
      <c r="F100" s="27">
        <v>4</v>
      </c>
      <c r="G100" s="18">
        <f t="shared" si="2"/>
        <v>487</v>
      </c>
      <c r="H100" s="28"/>
      <c r="I100" s="7"/>
      <c r="L100" s="26"/>
      <c r="Q100" s="199"/>
    </row>
    <row r="101" spans="1:17" ht="18" customHeight="1" x14ac:dyDescent="0.25">
      <c r="A101" s="14">
        <f t="shared" si="3"/>
        <v>84</v>
      </c>
      <c r="B101" s="8">
        <v>45799</v>
      </c>
      <c r="C101" s="254" t="s">
        <v>44</v>
      </c>
      <c r="D101" s="255" t="s">
        <v>45</v>
      </c>
      <c r="E101" s="32"/>
      <c r="F101" s="27">
        <v>5</v>
      </c>
      <c r="G101" s="18">
        <f t="shared" si="2"/>
        <v>482</v>
      </c>
      <c r="H101" s="28"/>
      <c r="I101" s="7"/>
      <c r="J101" s="26"/>
      <c r="L101" s="26"/>
      <c r="Q101" s="199"/>
    </row>
    <row r="102" spans="1:17" ht="18" customHeight="1" x14ac:dyDescent="0.25">
      <c r="A102" s="14">
        <f t="shared" si="3"/>
        <v>85</v>
      </c>
      <c r="B102" s="8">
        <v>45800</v>
      </c>
      <c r="C102" s="254" t="s">
        <v>44</v>
      </c>
      <c r="D102" s="255" t="s">
        <v>45</v>
      </c>
      <c r="E102" s="32"/>
      <c r="F102" s="27">
        <v>2</v>
      </c>
      <c r="G102" s="18">
        <f t="shared" si="2"/>
        <v>480</v>
      </c>
      <c r="H102" s="28"/>
      <c r="I102" s="7"/>
      <c r="L102" s="26"/>
      <c r="Q102" s="199"/>
    </row>
    <row r="103" spans="1:17" ht="18" customHeight="1" x14ac:dyDescent="0.25">
      <c r="A103" s="14">
        <f t="shared" si="3"/>
        <v>86</v>
      </c>
      <c r="B103" s="8">
        <v>45801</v>
      </c>
      <c r="C103" s="254" t="s">
        <v>44</v>
      </c>
      <c r="D103" s="255" t="s">
        <v>45</v>
      </c>
      <c r="E103" s="32"/>
      <c r="F103" s="27">
        <v>3</v>
      </c>
      <c r="G103" s="18">
        <f t="shared" si="2"/>
        <v>477</v>
      </c>
      <c r="H103" s="28"/>
      <c r="I103" s="7"/>
      <c r="J103" s="26"/>
      <c r="L103" s="26"/>
      <c r="Q103" s="199"/>
    </row>
    <row r="104" spans="1:17" ht="18" customHeight="1" x14ac:dyDescent="0.25">
      <c r="A104" s="14">
        <f t="shared" si="3"/>
        <v>87</v>
      </c>
      <c r="B104" s="8">
        <v>45803</v>
      </c>
      <c r="C104" s="254" t="s">
        <v>44</v>
      </c>
      <c r="D104" s="255" t="s">
        <v>45</v>
      </c>
      <c r="E104" s="32"/>
      <c r="F104" s="27">
        <v>2</v>
      </c>
      <c r="G104" s="18">
        <f t="shared" si="2"/>
        <v>475</v>
      </c>
      <c r="H104" s="28"/>
      <c r="I104" s="7"/>
      <c r="J104" s="26"/>
      <c r="L104" s="26"/>
      <c r="Q104" s="199"/>
    </row>
    <row r="105" spans="1:17" ht="18" customHeight="1" x14ac:dyDescent="0.25">
      <c r="A105" s="14">
        <f t="shared" si="3"/>
        <v>88</v>
      </c>
      <c r="B105" s="8">
        <v>45804</v>
      </c>
      <c r="C105" s="254" t="s">
        <v>44</v>
      </c>
      <c r="D105" s="255" t="s">
        <v>45</v>
      </c>
      <c r="E105" s="32"/>
      <c r="F105" s="27">
        <v>3</v>
      </c>
      <c r="G105" s="18">
        <f t="shared" si="2"/>
        <v>472</v>
      </c>
      <c r="H105" s="28"/>
      <c r="I105" s="7"/>
      <c r="L105" s="26"/>
      <c r="Q105" s="199"/>
    </row>
    <row r="106" spans="1:17" ht="18" customHeight="1" x14ac:dyDescent="0.25">
      <c r="A106" s="14">
        <f t="shared" si="3"/>
        <v>89</v>
      </c>
      <c r="B106" s="8">
        <v>45805</v>
      </c>
      <c r="C106" s="254" t="s">
        <v>44</v>
      </c>
      <c r="D106" s="255" t="s">
        <v>45</v>
      </c>
      <c r="E106" s="32"/>
      <c r="F106" s="27">
        <v>4</v>
      </c>
      <c r="G106" s="18">
        <f t="shared" si="2"/>
        <v>468</v>
      </c>
      <c r="H106" s="28"/>
      <c r="I106" s="7"/>
      <c r="L106" s="26"/>
      <c r="Q106" s="199"/>
    </row>
    <row r="107" spans="1:17" ht="18" customHeight="1" x14ac:dyDescent="0.25">
      <c r="A107" s="14">
        <f t="shared" si="3"/>
        <v>90</v>
      </c>
      <c r="B107" s="8">
        <v>45806</v>
      </c>
      <c r="C107" s="254" t="s">
        <v>44</v>
      </c>
      <c r="D107" s="255" t="s">
        <v>45</v>
      </c>
      <c r="E107" s="32"/>
      <c r="F107" s="27">
        <v>4</v>
      </c>
      <c r="G107" s="18">
        <f t="shared" si="2"/>
        <v>464</v>
      </c>
      <c r="H107" s="28"/>
      <c r="I107" s="7"/>
      <c r="J107" s="26"/>
      <c r="L107" s="26"/>
      <c r="Q107" s="199"/>
    </row>
    <row r="108" spans="1:17" ht="18" customHeight="1" x14ac:dyDescent="0.25">
      <c r="A108" s="14">
        <f t="shared" si="3"/>
        <v>91</v>
      </c>
      <c r="B108" s="8">
        <v>45807</v>
      </c>
      <c r="C108" s="254" t="s">
        <v>44</v>
      </c>
      <c r="D108" s="255" t="s">
        <v>45</v>
      </c>
      <c r="E108" s="32"/>
      <c r="F108" s="27">
        <v>5</v>
      </c>
      <c r="G108" s="18">
        <f t="shared" si="2"/>
        <v>459</v>
      </c>
      <c r="H108" s="28"/>
      <c r="I108" s="7"/>
      <c r="L108" s="26"/>
      <c r="Q108" s="199"/>
    </row>
    <row r="109" spans="1:17" ht="18" customHeight="1" x14ac:dyDescent="0.25">
      <c r="A109" s="14">
        <f t="shared" si="3"/>
        <v>92</v>
      </c>
      <c r="B109" s="8">
        <v>45809</v>
      </c>
      <c r="C109" s="254" t="s">
        <v>44</v>
      </c>
      <c r="D109" s="255" t="s">
        <v>45</v>
      </c>
      <c r="E109" s="32"/>
      <c r="F109" s="27">
        <v>1</v>
      </c>
      <c r="G109" s="18">
        <f t="shared" si="2"/>
        <v>458</v>
      </c>
      <c r="H109" s="28"/>
      <c r="I109" s="7"/>
      <c r="L109" s="26"/>
      <c r="Q109" s="199"/>
    </row>
    <row r="110" spans="1:17" ht="18" customHeight="1" x14ac:dyDescent="0.25">
      <c r="A110" s="14">
        <f t="shared" si="3"/>
        <v>93</v>
      </c>
      <c r="B110" s="8">
        <v>45810</v>
      </c>
      <c r="C110" s="254" t="s">
        <v>44</v>
      </c>
      <c r="D110" s="255" t="s">
        <v>45</v>
      </c>
      <c r="E110" s="32"/>
      <c r="F110" s="27">
        <v>3</v>
      </c>
      <c r="G110" s="18">
        <f t="shared" si="2"/>
        <v>455</v>
      </c>
      <c r="H110" s="28"/>
      <c r="I110" s="7"/>
      <c r="L110" s="26"/>
      <c r="Q110" s="199"/>
    </row>
    <row r="111" spans="1:17" ht="18" customHeight="1" x14ac:dyDescent="0.25">
      <c r="A111" s="14">
        <f t="shared" si="3"/>
        <v>94</v>
      </c>
      <c r="B111" s="8">
        <v>45811</v>
      </c>
      <c r="C111" s="254" t="s">
        <v>44</v>
      </c>
      <c r="D111" s="255" t="s">
        <v>45</v>
      </c>
      <c r="E111" s="32"/>
      <c r="F111" s="27">
        <v>5</v>
      </c>
      <c r="G111" s="18">
        <f t="shared" si="2"/>
        <v>450</v>
      </c>
      <c r="H111" s="49"/>
      <c r="I111" s="7"/>
      <c r="L111" s="26"/>
      <c r="Q111" s="199"/>
    </row>
    <row r="112" spans="1:17" ht="18" customHeight="1" x14ac:dyDescent="0.25">
      <c r="A112" s="14">
        <f t="shared" si="3"/>
        <v>95</v>
      </c>
      <c r="B112" s="8">
        <v>45812</v>
      </c>
      <c r="C112" s="254" t="s">
        <v>44</v>
      </c>
      <c r="D112" s="255" t="s">
        <v>45</v>
      </c>
      <c r="E112" s="32"/>
      <c r="F112" s="27">
        <v>5</v>
      </c>
      <c r="G112" s="18">
        <f t="shared" si="2"/>
        <v>445</v>
      </c>
      <c r="H112" s="49"/>
      <c r="I112" s="7"/>
      <c r="L112" s="26"/>
      <c r="Q112" s="199"/>
    </row>
    <row r="113" spans="1:18" ht="18" customHeight="1" x14ac:dyDescent="0.25">
      <c r="A113" s="14">
        <f t="shared" si="3"/>
        <v>96</v>
      </c>
      <c r="B113" s="8">
        <v>45813</v>
      </c>
      <c r="C113" s="254" t="s">
        <v>44</v>
      </c>
      <c r="D113" s="255" t="s">
        <v>45</v>
      </c>
      <c r="E113" s="32"/>
      <c r="F113" s="27">
        <v>6</v>
      </c>
      <c r="G113" s="18">
        <f t="shared" si="2"/>
        <v>439</v>
      </c>
      <c r="H113" s="49"/>
      <c r="I113" s="7"/>
      <c r="L113" s="26"/>
      <c r="Q113" s="199"/>
    </row>
    <row r="114" spans="1:18" ht="18" customHeight="1" x14ac:dyDescent="0.25">
      <c r="A114" s="14">
        <f t="shared" si="3"/>
        <v>97</v>
      </c>
      <c r="B114" s="8">
        <v>45814</v>
      </c>
      <c r="C114" s="254" t="s">
        <v>44</v>
      </c>
      <c r="D114" s="255" t="s">
        <v>45</v>
      </c>
      <c r="E114" s="32"/>
      <c r="F114" s="27">
        <v>6</v>
      </c>
      <c r="G114" s="18">
        <f t="shared" si="2"/>
        <v>433</v>
      </c>
      <c r="H114" s="49"/>
      <c r="I114" s="7"/>
      <c r="L114" s="26"/>
      <c r="Q114" s="199"/>
    </row>
    <row r="115" spans="1:18" ht="18" customHeight="1" x14ac:dyDescent="0.25">
      <c r="A115" s="14">
        <f t="shared" si="3"/>
        <v>98</v>
      </c>
      <c r="B115" s="8">
        <v>45815</v>
      </c>
      <c r="C115" s="254" t="s">
        <v>44</v>
      </c>
      <c r="D115" s="255" t="s">
        <v>45</v>
      </c>
      <c r="E115" s="32"/>
      <c r="F115" s="27">
        <v>3</v>
      </c>
      <c r="G115" s="18">
        <f t="shared" si="2"/>
        <v>430</v>
      </c>
      <c r="H115" s="49"/>
      <c r="I115" s="7"/>
      <c r="L115" s="26"/>
      <c r="Q115" s="199"/>
    </row>
    <row r="116" spans="1:18" ht="18" customHeight="1" x14ac:dyDescent="0.25">
      <c r="A116" s="14">
        <f t="shared" si="3"/>
        <v>99</v>
      </c>
      <c r="B116" s="8">
        <v>45817</v>
      </c>
      <c r="C116" s="254" t="s">
        <v>44</v>
      </c>
      <c r="D116" s="255" t="s">
        <v>45</v>
      </c>
      <c r="E116" s="32"/>
      <c r="F116" s="27">
        <v>2</v>
      </c>
      <c r="G116" s="18">
        <f t="shared" si="2"/>
        <v>428</v>
      </c>
      <c r="H116" s="49"/>
      <c r="I116" s="7"/>
      <c r="L116" s="26"/>
      <c r="Q116" s="199"/>
    </row>
    <row r="117" spans="1:18" ht="18" customHeight="1" x14ac:dyDescent="0.25">
      <c r="A117" s="14">
        <f t="shared" si="3"/>
        <v>100</v>
      </c>
      <c r="B117" s="8">
        <v>45818</v>
      </c>
      <c r="C117" s="254" t="s">
        <v>44</v>
      </c>
      <c r="D117" s="255" t="s">
        <v>45</v>
      </c>
      <c r="E117" s="32"/>
      <c r="F117" s="27">
        <v>2</v>
      </c>
      <c r="G117" s="18">
        <f t="shared" si="2"/>
        <v>426</v>
      </c>
      <c r="H117" s="49"/>
      <c r="I117" s="7"/>
      <c r="L117" s="26"/>
      <c r="Q117" s="199"/>
    </row>
    <row r="118" spans="1:18" ht="18" customHeight="1" x14ac:dyDescent="0.25">
      <c r="A118" s="14">
        <f t="shared" si="3"/>
        <v>101</v>
      </c>
      <c r="B118" s="8">
        <v>45819</v>
      </c>
      <c r="C118" s="254" t="s">
        <v>44</v>
      </c>
      <c r="D118" s="255" t="s">
        <v>45</v>
      </c>
      <c r="E118" s="32"/>
      <c r="F118" s="27">
        <v>5</v>
      </c>
      <c r="G118" s="18">
        <f t="shared" si="2"/>
        <v>421</v>
      </c>
      <c r="H118" s="49"/>
      <c r="I118" s="7"/>
      <c r="L118" s="26"/>
      <c r="Q118" s="199"/>
    </row>
    <row r="119" spans="1:18" ht="18" customHeight="1" x14ac:dyDescent="0.25">
      <c r="A119" s="14">
        <f t="shared" si="3"/>
        <v>102</v>
      </c>
      <c r="B119" s="8">
        <v>45820</v>
      </c>
      <c r="C119" s="254" t="s">
        <v>44</v>
      </c>
      <c r="D119" s="255" t="s">
        <v>45</v>
      </c>
      <c r="E119" s="32"/>
      <c r="F119" s="27">
        <v>4</v>
      </c>
      <c r="G119" s="18">
        <f t="shared" si="2"/>
        <v>417</v>
      </c>
      <c r="H119" s="49"/>
      <c r="I119" s="7"/>
      <c r="L119" s="26"/>
      <c r="Q119" s="199"/>
    </row>
    <row r="120" spans="1:18" ht="18" customHeight="1" x14ac:dyDescent="0.25">
      <c r="A120" s="14">
        <f t="shared" si="3"/>
        <v>103</v>
      </c>
      <c r="B120" s="8">
        <v>46186</v>
      </c>
      <c r="C120" s="254" t="s">
        <v>44</v>
      </c>
      <c r="D120" s="255" t="s">
        <v>45</v>
      </c>
      <c r="E120" s="32"/>
      <c r="F120" s="27">
        <v>4</v>
      </c>
      <c r="G120" s="18">
        <f t="shared" si="2"/>
        <v>413</v>
      </c>
      <c r="H120" s="49"/>
      <c r="I120" s="7"/>
      <c r="L120" s="26"/>
      <c r="Q120" s="199"/>
    </row>
    <row r="121" spans="1:18" ht="18" customHeight="1" x14ac:dyDescent="0.25">
      <c r="A121" s="14">
        <f t="shared" si="3"/>
        <v>104</v>
      </c>
      <c r="B121" s="8">
        <v>45822</v>
      </c>
      <c r="C121" s="254"/>
      <c r="D121" s="255"/>
      <c r="E121" s="32"/>
      <c r="F121" s="27">
        <v>4</v>
      </c>
      <c r="G121" s="18">
        <f t="shared" si="2"/>
        <v>409</v>
      </c>
      <c r="H121" s="49"/>
      <c r="I121" s="7"/>
      <c r="L121" s="26"/>
      <c r="Q121" s="199"/>
    </row>
    <row r="122" spans="1:18" ht="18" customHeight="1" x14ac:dyDescent="0.25">
      <c r="A122" s="14">
        <f t="shared" si="3"/>
        <v>105</v>
      </c>
      <c r="B122" s="8">
        <v>45824</v>
      </c>
      <c r="C122" s="254"/>
      <c r="D122" s="255"/>
      <c r="E122" s="32"/>
      <c r="F122" s="27">
        <v>1</v>
      </c>
      <c r="G122" s="18">
        <f t="shared" si="2"/>
        <v>408</v>
      </c>
      <c r="H122" s="49"/>
      <c r="I122" s="7"/>
      <c r="L122" s="26"/>
      <c r="Q122" s="199"/>
    </row>
    <row r="123" spans="1:18" ht="18" customHeight="1" x14ac:dyDescent="0.25">
      <c r="A123" s="14">
        <f t="shared" si="3"/>
        <v>106</v>
      </c>
      <c r="B123" s="8">
        <v>45825</v>
      </c>
      <c r="C123" s="254"/>
      <c r="D123" s="255"/>
      <c r="E123" s="32"/>
      <c r="F123" s="27">
        <v>1</v>
      </c>
      <c r="G123" s="18">
        <f t="shared" si="2"/>
        <v>407</v>
      </c>
      <c r="H123" s="49"/>
      <c r="I123" s="7"/>
      <c r="L123" s="26"/>
      <c r="Q123" s="199"/>
    </row>
    <row r="124" spans="1:18" ht="18" customHeight="1" x14ac:dyDescent="0.25">
      <c r="A124" s="14">
        <f t="shared" si="3"/>
        <v>107</v>
      </c>
      <c r="B124" s="8">
        <v>45826</v>
      </c>
      <c r="C124" s="254"/>
      <c r="D124" s="255"/>
      <c r="E124" s="32"/>
      <c r="F124" s="27">
        <v>6</v>
      </c>
      <c r="G124" s="18">
        <f t="shared" si="2"/>
        <v>401</v>
      </c>
      <c r="H124" s="49"/>
      <c r="I124" s="7"/>
      <c r="L124" s="26"/>
      <c r="Q124" s="199"/>
    </row>
    <row r="125" spans="1:18" ht="18" customHeight="1" x14ac:dyDescent="0.25">
      <c r="A125" s="14">
        <f t="shared" si="3"/>
        <v>108</v>
      </c>
      <c r="B125" s="8">
        <v>45827</v>
      </c>
      <c r="C125" s="254"/>
      <c r="D125" s="255"/>
      <c r="E125" s="32"/>
      <c r="F125" s="27">
        <v>4</v>
      </c>
      <c r="G125" s="18">
        <f t="shared" si="2"/>
        <v>397</v>
      </c>
      <c r="H125" s="49"/>
      <c r="I125" s="7"/>
      <c r="L125" s="26"/>
      <c r="P125">
        <f>2192+127</f>
        <v>2319</v>
      </c>
      <c r="Q125" s="199"/>
    </row>
    <row r="126" spans="1:18" ht="18" customHeight="1" x14ac:dyDescent="0.25">
      <c r="A126" s="14">
        <f t="shared" si="3"/>
        <v>109</v>
      </c>
      <c r="B126" s="8">
        <v>45828</v>
      </c>
      <c r="C126" s="254"/>
      <c r="D126" s="255"/>
      <c r="E126" s="32"/>
      <c r="F126" s="27">
        <v>5</v>
      </c>
      <c r="G126" s="18">
        <f t="shared" si="2"/>
        <v>392</v>
      </c>
      <c r="H126" s="49"/>
      <c r="I126" s="7"/>
      <c r="L126" s="26"/>
      <c r="P126">
        <f>+P125*88</f>
        <v>204072</v>
      </c>
      <c r="Q126" s="199"/>
    </row>
    <row r="127" spans="1:18" ht="18" customHeight="1" x14ac:dyDescent="0.25">
      <c r="A127" s="14">
        <f t="shared" si="3"/>
        <v>110</v>
      </c>
      <c r="B127" s="8">
        <v>45829</v>
      </c>
      <c r="C127" s="254"/>
      <c r="D127" s="255"/>
      <c r="E127" s="32"/>
      <c r="F127" s="27">
        <v>4</v>
      </c>
      <c r="G127" s="18">
        <f t="shared" si="2"/>
        <v>388</v>
      </c>
      <c r="H127" s="49"/>
      <c r="I127" s="7"/>
      <c r="L127" s="26"/>
      <c r="P127">
        <f>+P126/2848</f>
        <v>71.654494382022477</v>
      </c>
      <c r="Q127" s="199"/>
      <c r="R127">
        <f>2880/89</f>
        <v>32.359550561797754</v>
      </c>
    </row>
    <row r="128" spans="1:18" ht="18" customHeight="1" x14ac:dyDescent="0.25">
      <c r="A128" s="14">
        <f t="shared" si="3"/>
        <v>111</v>
      </c>
      <c r="B128" s="8">
        <v>45833</v>
      </c>
      <c r="C128" s="254"/>
      <c r="D128" s="255"/>
      <c r="E128" s="32"/>
      <c r="F128" s="27">
        <v>4</v>
      </c>
      <c r="G128" s="18">
        <f t="shared" si="2"/>
        <v>384</v>
      </c>
      <c r="H128" s="49"/>
      <c r="I128" s="7"/>
      <c r="L128" s="26"/>
      <c r="Q128" s="199"/>
      <c r="R128">
        <f>32*89</f>
        <v>2848</v>
      </c>
    </row>
    <row r="129" spans="1:17" ht="18" customHeight="1" x14ac:dyDescent="0.25">
      <c r="A129" s="14">
        <f t="shared" si="3"/>
        <v>112</v>
      </c>
      <c r="B129" s="8">
        <v>45834</v>
      </c>
      <c r="C129" s="254"/>
      <c r="D129" s="255"/>
      <c r="E129" s="32"/>
      <c r="F129" s="27">
        <v>4</v>
      </c>
      <c r="G129" s="18">
        <f t="shared" si="2"/>
        <v>380</v>
      </c>
      <c r="H129" s="49"/>
      <c r="I129" s="7"/>
      <c r="L129" s="26"/>
      <c r="Q129" s="199"/>
    </row>
    <row r="130" spans="1:17" ht="18" customHeight="1" x14ac:dyDescent="0.25">
      <c r="A130" s="14">
        <f t="shared" si="3"/>
        <v>113</v>
      </c>
      <c r="B130" s="8">
        <v>45835</v>
      </c>
      <c r="C130" s="254"/>
      <c r="D130" s="255"/>
      <c r="E130" s="32"/>
      <c r="F130" s="27">
        <v>2</v>
      </c>
      <c r="G130" s="18">
        <f t="shared" si="2"/>
        <v>378</v>
      </c>
      <c r="H130" s="49"/>
      <c r="I130" s="7"/>
      <c r="L130" s="26"/>
      <c r="Q130" s="199"/>
    </row>
    <row r="131" spans="1:17" ht="18" customHeight="1" x14ac:dyDescent="0.25">
      <c r="A131" s="14">
        <f t="shared" si="3"/>
        <v>114</v>
      </c>
      <c r="B131" s="8">
        <v>45836</v>
      </c>
      <c r="C131" s="254"/>
      <c r="D131" s="255"/>
      <c r="E131" s="32"/>
      <c r="F131" s="27">
        <v>4</v>
      </c>
      <c r="G131" s="18">
        <f t="shared" si="2"/>
        <v>374</v>
      </c>
      <c r="H131" s="49"/>
      <c r="I131" s="7"/>
      <c r="L131" s="26"/>
      <c r="Q131" s="199"/>
    </row>
    <row r="132" spans="1:17" ht="18" customHeight="1" x14ac:dyDescent="0.25">
      <c r="A132" s="14">
        <f t="shared" si="3"/>
        <v>115</v>
      </c>
      <c r="B132" s="8">
        <v>45838</v>
      </c>
      <c r="C132" s="254"/>
      <c r="D132" s="255"/>
      <c r="E132" s="32"/>
      <c r="F132" s="27">
        <v>3</v>
      </c>
      <c r="G132" s="18">
        <f t="shared" si="2"/>
        <v>371</v>
      </c>
      <c r="H132" s="49"/>
      <c r="I132" s="7"/>
      <c r="L132" s="26"/>
      <c r="N132">
        <f>4*90+18+5</f>
        <v>383</v>
      </c>
      <c r="Q132" s="199"/>
    </row>
    <row r="133" spans="1:17" ht="18" customHeight="1" x14ac:dyDescent="0.25">
      <c r="A133" s="14">
        <f t="shared" si="3"/>
        <v>116</v>
      </c>
      <c r="B133" s="8">
        <v>46204</v>
      </c>
      <c r="C133" s="254"/>
      <c r="D133" s="255"/>
      <c r="E133" s="32"/>
      <c r="F133" s="27">
        <v>2</v>
      </c>
      <c r="G133" s="18">
        <f t="shared" si="2"/>
        <v>369</v>
      </c>
      <c r="H133" s="49"/>
      <c r="I133" s="7"/>
      <c r="L133" s="26"/>
      <c r="Q133" s="199"/>
    </row>
    <row r="134" spans="1:17" ht="18" customHeight="1" x14ac:dyDescent="0.25">
      <c r="A134" s="14">
        <f t="shared" si="3"/>
        <v>117</v>
      </c>
      <c r="B134" s="8">
        <v>45840</v>
      </c>
      <c r="C134" s="254"/>
      <c r="D134" s="255"/>
      <c r="E134" s="32"/>
      <c r="F134" s="27">
        <v>5</v>
      </c>
      <c r="G134" s="18">
        <f t="shared" si="2"/>
        <v>364</v>
      </c>
      <c r="H134" s="49"/>
      <c r="I134" s="7"/>
      <c r="L134" s="26"/>
      <c r="Q134" s="199"/>
    </row>
    <row r="135" spans="1:17" ht="18" customHeight="1" x14ac:dyDescent="0.25">
      <c r="A135" s="14">
        <f t="shared" si="3"/>
        <v>118</v>
      </c>
      <c r="B135" s="8">
        <v>45841</v>
      </c>
      <c r="C135" s="254"/>
      <c r="D135" s="255"/>
      <c r="E135" s="32"/>
      <c r="F135" s="27">
        <v>4</v>
      </c>
      <c r="G135" s="18">
        <f t="shared" si="2"/>
        <v>360</v>
      </c>
      <c r="H135" s="47"/>
      <c r="I135" s="7"/>
      <c r="L135" s="26"/>
      <c r="Q135" s="199"/>
    </row>
    <row r="136" spans="1:17" ht="18" customHeight="1" x14ac:dyDescent="0.25">
      <c r="A136" s="14">
        <f t="shared" si="3"/>
        <v>119</v>
      </c>
      <c r="B136" s="8">
        <v>45842</v>
      </c>
      <c r="C136" s="254"/>
      <c r="D136" s="255"/>
      <c r="E136" s="32"/>
      <c r="F136" s="27">
        <v>4</v>
      </c>
      <c r="G136" s="18">
        <f t="shared" si="2"/>
        <v>356</v>
      </c>
      <c r="H136" s="47"/>
      <c r="I136" s="7"/>
      <c r="L136" s="26"/>
      <c r="Q136" s="199"/>
    </row>
    <row r="137" spans="1:17" ht="18" customHeight="1" x14ac:dyDescent="0.25">
      <c r="A137" s="14">
        <f t="shared" si="3"/>
        <v>120</v>
      </c>
      <c r="B137" s="8">
        <v>45843</v>
      </c>
      <c r="C137" s="254"/>
      <c r="D137" s="255"/>
      <c r="E137" s="32"/>
      <c r="F137" s="27">
        <v>2</v>
      </c>
      <c r="G137" s="18">
        <f t="shared" si="2"/>
        <v>354</v>
      </c>
      <c r="H137" s="47"/>
      <c r="I137" s="7"/>
      <c r="L137" s="26"/>
      <c r="Q137" s="199"/>
    </row>
    <row r="138" spans="1:17" ht="18" customHeight="1" x14ac:dyDescent="0.25">
      <c r="A138" s="14">
        <f t="shared" si="3"/>
        <v>121</v>
      </c>
      <c r="B138" s="8">
        <v>45845</v>
      </c>
      <c r="C138" s="254"/>
      <c r="D138" s="255"/>
      <c r="E138" s="32"/>
      <c r="F138" s="27">
        <v>3</v>
      </c>
      <c r="G138" s="18">
        <f t="shared" ref="G138:G201" si="4">+G137+E138-F138</f>
        <v>351</v>
      </c>
      <c r="H138" s="47"/>
      <c r="I138" s="7"/>
      <c r="L138" s="26"/>
      <c r="Q138" s="199"/>
    </row>
    <row r="139" spans="1:17" ht="18" customHeight="1" x14ac:dyDescent="0.25">
      <c r="A139" s="14">
        <f t="shared" si="3"/>
        <v>122</v>
      </c>
      <c r="B139" s="8">
        <v>45846</v>
      </c>
      <c r="C139" s="254"/>
      <c r="D139" s="255"/>
      <c r="E139" s="32"/>
      <c r="F139" s="27">
        <v>3</v>
      </c>
      <c r="G139" s="18">
        <f t="shared" si="4"/>
        <v>348</v>
      </c>
      <c r="H139" s="47"/>
      <c r="I139" s="7"/>
      <c r="L139" s="26"/>
      <c r="Q139" s="199"/>
    </row>
    <row r="140" spans="1:17" ht="18" customHeight="1" x14ac:dyDescent="0.25">
      <c r="A140" s="14">
        <f t="shared" si="3"/>
        <v>123</v>
      </c>
      <c r="B140" s="8">
        <v>45847</v>
      </c>
      <c r="C140" s="254"/>
      <c r="D140" s="255"/>
      <c r="E140" s="32"/>
      <c r="F140" s="27">
        <v>4</v>
      </c>
      <c r="G140" s="18">
        <f t="shared" si="4"/>
        <v>344</v>
      </c>
      <c r="H140" s="47"/>
      <c r="I140" s="7"/>
      <c r="L140" s="26"/>
      <c r="Q140" s="199"/>
    </row>
    <row r="141" spans="1:17" ht="18" customHeight="1" x14ac:dyDescent="0.25">
      <c r="A141" s="14">
        <f t="shared" si="3"/>
        <v>124</v>
      </c>
      <c r="B141" s="8">
        <v>45849</v>
      </c>
      <c r="C141" s="254"/>
      <c r="D141" s="255"/>
      <c r="E141" s="32"/>
      <c r="F141" s="27">
        <v>4</v>
      </c>
      <c r="G141" s="18">
        <f t="shared" si="4"/>
        <v>340</v>
      </c>
      <c r="H141" s="47"/>
      <c r="I141" s="7"/>
      <c r="L141" s="26"/>
      <c r="Q141" s="199"/>
    </row>
    <row r="142" spans="1:17" ht="18" customHeight="1" x14ac:dyDescent="0.25">
      <c r="A142" s="14">
        <f t="shared" si="3"/>
        <v>125</v>
      </c>
      <c r="B142" s="8">
        <v>45850</v>
      </c>
      <c r="C142" s="254"/>
      <c r="D142" s="255"/>
      <c r="E142" s="32"/>
      <c r="F142" s="27">
        <v>4</v>
      </c>
      <c r="G142" s="18">
        <f t="shared" si="4"/>
        <v>336</v>
      </c>
      <c r="H142" s="47"/>
      <c r="I142" s="7"/>
      <c r="L142" s="26"/>
      <c r="Q142" s="199"/>
    </row>
    <row r="143" spans="1:17" ht="18" customHeight="1" x14ac:dyDescent="0.25">
      <c r="A143" s="14">
        <f t="shared" si="3"/>
        <v>126</v>
      </c>
      <c r="B143" s="8">
        <v>45852</v>
      </c>
      <c r="C143" s="254"/>
      <c r="D143" s="255"/>
      <c r="E143" s="32"/>
      <c r="F143" s="27">
        <v>4</v>
      </c>
      <c r="G143" s="18">
        <f t="shared" si="4"/>
        <v>332</v>
      </c>
      <c r="H143" s="47"/>
      <c r="I143" s="7"/>
      <c r="L143" s="26"/>
      <c r="Q143" s="199"/>
    </row>
    <row r="144" spans="1:17" ht="18" customHeight="1" x14ac:dyDescent="0.25">
      <c r="A144" s="14">
        <f t="shared" si="3"/>
        <v>127</v>
      </c>
      <c r="B144" s="8">
        <v>45853</v>
      </c>
      <c r="C144" s="254"/>
      <c r="D144" s="255"/>
      <c r="E144" s="32"/>
      <c r="F144" s="27">
        <v>4</v>
      </c>
      <c r="G144" s="18">
        <f t="shared" si="4"/>
        <v>328</v>
      </c>
      <c r="H144" s="47"/>
      <c r="I144" s="7"/>
      <c r="L144" s="26"/>
      <c r="Q144" s="199"/>
    </row>
    <row r="145" spans="1:17" ht="18" customHeight="1" x14ac:dyDescent="0.25">
      <c r="A145" s="14">
        <f t="shared" si="3"/>
        <v>128</v>
      </c>
      <c r="B145" s="8">
        <v>45854</v>
      </c>
      <c r="C145" s="254"/>
      <c r="D145" s="255"/>
      <c r="E145" s="32"/>
      <c r="F145" s="27">
        <v>4</v>
      </c>
      <c r="G145" s="18">
        <f t="shared" si="4"/>
        <v>324</v>
      </c>
      <c r="H145" s="47"/>
      <c r="I145" s="7"/>
      <c r="L145" s="26"/>
      <c r="Q145" s="199"/>
    </row>
    <row r="146" spans="1:17" ht="18" customHeight="1" x14ac:dyDescent="0.25">
      <c r="A146" s="14">
        <f t="shared" si="3"/>
        <v>129</v>
      </c>
      <c r="B146" s="8">
        <v>45855</v>
      </c>
      <c r="C146" s="254"/>
      <c r="D146" s="255"/>
      <c r="E146" s="32"/>
      <c r="F146" s="27">
        <v>5</v>
      </c>
      <c r="G146" s="18">
        <f t="shared" si="4"/>
        <v>319</v>
      </c>
      <c r="H146" s="47"/>
      <c r="I146" s="7"/>
      <c r="L146" s="26"/>
      <c r="Q146" s="199"/>
    </row>
    <row r="147" spans="1:17" ht="18" customHeight="1" x14ac:dyDescent="0.25">
      <c r="A147" s="14">
        <f t="shared" si="3"/>
        <v>130</v>
      </c>
      <c r="B147" s="8">
        <v>45856</v>
      </c>
      <c r="C147" s="254"/>
      <c r="D147" s="255"/>
      <c r="E147" s="32"/>
      <c r="F147" s="27">
        <v>5</v>
      </c>
      <c r="G147" s="18">
        <f t="shared" si="4"/>
        <v>314</v>
      </c>
      <c r="H147" s="47"/>
      <c r="I147" s="7"/>
      <c r="L147" s="26"/>
      <c r="Q147" s="199"/>
    </row>
    <row r="148" spans="1:17" ht="18" customHeight="1" x14ac:dyDescent="0.25">
      <c r="A148" s="14">
        <f t="shared" si="3"/>
        <v>131</v>
      </c>
      <c r="B148" s="8">
        <v>45857</v>
      </c>
      <c r="C148" s="254"/>
      <c r="D148" s="255"/>
      <c r="E148" s="32"/>
      <c r="F148" s="27">
        <v>3</v>
      </c>
      <c r="G148" s="18">
        <f t="shared" si="4"/>
        <v>311</v>
      </c>
      <c r="H148" s="47"/>
      <c r="I148" s="7"/>
      <c r="L148" s="26"/>
      <c r="Q148" s="199"/>
    </row>
    <row r="149" spans="1:17" ht="18" customHeight="1" x14ac:dyDescent="0.25">
      <c r="A149" s="14">
        <f t="shared" si="3"/>
        <v>132</v>
      </c>
      <c r="B149" s="8">
        <v>45859</v>
      </c>
      <c r="C149" s="254"/>
      <c r="D149" s="255"/>
      <c r="E149" s="32"/>
      <c r="F149" s="27">
        <v>2</v>
      </c>
      <c r="G149" s="18">
        <f t="shared" si="4"/>
        <v>309</v>
      </c>
      <c r="H149" s="47"/>
      <c r="I149" s="7"/>
      <c r="L149" s="26"/>
      <c r="Q149" s="199"/>
    </row>
    <row r="150" spans="1:17" ht="18" customHeight="1" x14ac:dyDescent="0.25">
      <c r="A150" s="14">
        <f t="shared" si="3"/>
        <v>133</v>
      </c>
      <c r="B150" s="8">
        <v>45860</v>
      </c>
      <c r="C150" s="254"/>
      <c r="D150" s="255"/>
      <c r="E150" s="32"/>
      <c r="F150" s="27">
        <v>3</v>
      </c>
      <c r="G150" s="18">
        <f t="shared" si="4"/>
        <v>306</v>
      </c>
      <c r="H150" s="47"/>
      <c r="I150" s="7"/>
      <c r="L150" s="26"/>
      <c r="Q150" s="199"/>
    </row>
    <row r="151" spans="1:17" ht="18" customHeight="1" x14ac:dyDescent="0.25">
      <c r="A151" s="14">
        <f t="shared" si="3"/>
        <v>134</v>
      </c>
      <c r="B151" s="8">
        <v>45861</v>
      </c>
      <c r="C151" s="254"/>
      <c r="D151" s="255"/>
      <c r="E151" s="32"/>
      <c r="F151" s="27">
        <v>3</v>
      </c>
      <c r="G151" s="18">
        <f t="shared" si="4"/>
        <v>303</v>
      </c>
      <c r="H151" s="47"/>
      <c r="I151" s="7"/>
      <c r="L151" s="26"/>
      <c r="Q151" s="199"/>
    </row>
    <row r="152" spans="1:17" ht="18" customHeight="1" x14ac:dyDescent="0.25">
      <c r="A152" s="14">
        <f t="shared" si="3"/>
        <v>135</v>
      </c>
      <c r="B152" s="8">
        <v>45862</v>
      </c>
      <c r="C152" s="254"/>
      <c r="D152" s="255"/>
      <c r="E152" s="32"/>
      <c r="F152" s="27">
        <v>4</v>
      </c>
      <c r="G152" s="18">
        <f t="shared" si="4"/>
        <v>299</v>
      </c>
      <c r="H152" s="47"/>
      <c r="I152" s="7"/>
      <c r="L152" s="26"/>
      <c r="Q152" s="199"/>
    </row>
    <row r="153" spans="1:17" ht="18" customHeight="1" x14ac:dyDescent="0.25">
      <c r="A153" s="14">
        <f t="shared" si="3"/>
        <v>136</v>
      </c>
      <c r="B153" s="8">
        <v>45863</v>
      </c>
      <c r="C153" s="254"/>
      <c r="D153" s="255"/>
      <c r="E153" s="32"/>
      <c r="F153" s="27">
        <v>4</v>
      </c>
      <c r="G153" s="18">
        <f t="shared" si="4"/>
        <v>295</v>
      </c>
      <c r="H153" s="47"/>
      <c r="I153" s="7"/>
      <c r="L153" s="26"/>
      <c r="Q153" s="199"/>
    </row>
    <row r="154" spans="1:17" ht="18" customHeight="1" x14ac:dyDescent="0.25">
      <c r="A154" s="14">
        <f t="shared" si="3"/>
        <v>137</v>
      </c>
      <c r="B154" s="8">
        <v>45864</v>
      </c>
      <c r="C154" s="254"/>
      <c r="D154" s="255"/>
      <c r="E154" s="32"/>
      <c r="F154" s="27">
        <v>3</v>
      </c>
      <c r="G154" s="18">
        <f t="shared" si="4"/>
        <v>292</v>
      </c>
      <c r="H154" s="47"/>
      <c r="I154" s="7"/>
      <c r="L154" s="26"/>
      <c r="Q154" s="199"/>
    </row>
    <row r="155" spans="1:17" ht="18" customHeight="1" x14ac:dyDescent="0.25">
      <c r="A155" s="14">
        <f t="shared" si="3"/>
        <v>138</v>
      </c>
      <c r="B155" s="8">
        <v>45866</v>
      </c>
      <c r="C155" s="254"/>
      <c r="D155" s="255"/>
      <c r="E155" s="32"/>
      <c r="F155" s="27">
        <v>4</v>
      </c>
      <c r="G155" s="18">
        <f t="shared" si="4"/>
        <v>288</v>
      </c>
      <c r="H155" s="47"/>
      <c r="I155" s="7"/>
      <c r="L155" s="26"/>
      <c r="Q155" s="199"/>
    </row>
    <row r="156" spans="1:17" ht="18" customHeight="1" x14ac:dyDescent="0.25">
      <c r="A156" s="14">
        <f t="shared" si="3"/>
        <v>139</v>
      </c>
      <c r="B156" s="8">
        <v>45867</v>
      </c>
      <c r="C156" s="254"/>
      <c r="D156" s="255"/>
      <c r="E156" s="32"/>
      <c r="F156" s="27">
        <v>3</v>
      </c>
      <c r="G156" s="18">
        <f t="shared" si="4"/>
        <v>285</v>
      </c>
      <c r="H156" s="47"/>
      <c r="I156" s="7"/>
      <c r="L156" s="26"/>
      <c r="Q156" s="199"/>
    </row>
    <row r="157" spans="1:17" ht="18" customHeight="1" x14ac:dyDescent="0.25">
      <c r="A157" s="14">
        <f t="shared" si="3"/>
        <v>140</v>
      </c>
      <c r="B157" s="8">
        <v>45868</v>
      </c>
      <c r="C157" s="254"/>
      <c r="D157" s="255"/>
      <c r="E157" s="32"/>
      <c r="F157" s="27">
        <v>2</v>
      </c>
      <c r="G157" s="18">
        <f t="shared" si="4"/>
        <v>283</v>
      </c>
      <c r="H157" s="47"/>
      <c r="I157" s="7"/>
      <c r="L157" s="26"/>
      <c r="Q157" s="199"/>
    </row>
    <row r="158" spans="1:17" ht="18" customHeight="1" x14ac:dyDescent="0.25">
      <c r="A158" s="14">
        <f t="shared" si="3"/>
        <v>141</v>
      </c>
      <c r="B158" s="8">
        <v>45869</v>
      </c>
      <c r="C158" s="254"/>
      <c r="D158" s="255"/>
      <c r="E158" s="32"/>
      <c r="F158" s="27">
        <v>2</v>
      </c>
      <c r="G158" s="18">
        <f t="shared" si="4"/>
        <v>281</v>
      </c>
      <c r="H158" s="47"/>
      <c r="I158" s="7"/>
      <c r="L158" s="26"/>
      <c r="Q158" s="199"/>
    </row>
    <row r="159" spans="1:17" ht="18" customHeight="1" x14ac:dyDescent="0.25">
      <c r="A159" s="14">
        <f t="shared" si="3"/>
        <v>142</v>
      </c>
      <c r="B159" s="8">
        <v>45870</v>
      </c>
      <c r="C159" s="254"/>
      <c r="D159" s="255"/>
      <c r="E159" s="32"/>
      <c r="F159" s="27">
        <v>4</v>
      </c>
      <c r="G159" s="18">
        <f t="shared" si="4"/>
        <v>277</v>
      </c>
      <c r="H159" s="47"/>
      <c r="I159" s="7"/>
      <c r="L159" s="26"/>
      <c r="Q159" s="199"/>
    </row>
    <row r="160" spans="1:17" ht="18" customHeight="1" x14ac:dyDescent="0.25">
      <c r="A160" s="14">
        <f t="shared" si="3"/>
        <v>143</v>
      </c>
      <c r="B160" s="8">
        <v>45871</v>
      </c>
      <c r="C160" s="254"/>
      <c r="D160" s="255"/>
      <c r="E160" s="32"/>
      <c r="F160" s="27">
        <v>4</v>
      </c>
      <c r="G160" s="18">
        <f t="shared" si="4"/>
        <v>273</v>
      </c>
      <c r="H160" s="47"/>
      <c r="I160" s="7"/>
      <c r="L160" s="26"/>
      <c r="Q160" s="199"/>
    </row>
    <row r="161" spans="1:17" ht="18" customHeight="1" x14ac:dyDescent="0.25">
      <c r="A161" s="14">
        <f t="shared" si="3"/>
        <v>144</v>
      </c>
      <c r="B161" s="8">
        <v>45873</v>
      </c>
      <c r="C161" s="254"/>
      <c r="D161" s="255"/>
      <c r="E161" s="32"/>
      <c r="F161" s="27">
        <v>4</v>
      </c>
      <c r="G161" s="18">
        <f t="shared" si="4"/>
        <v>269</v>
      </c>
      <c r="H161" s="47"/>
      <c r="I161" s="7"/>
      <c r="L161" s="26"/>
      <c r="Q161" s="199"/>
    </row>
    <row r="162" spans="1:17" ht="18" customHeight="1" x14ac:dyDescent="0.25">
      <c r="A162" s="14">
        <f t="shared" si="3"/>
        <v>145</v>
      </c>
      <c r="B162" s="8">
        <v>45874</v>
      </c>
      <c r="C162" s="254"/>
      <c r="D162" s="255"/>
      <c r="E162" s="32"/>
      <c r="F162" s="27">
        <v>4</v>
      </c>
      <c r="G162" s="18">
        <f t="shared" si="4"/>
        <v>265</v>
      </c>
      <c r="H162" s="47"/>
      <c r="I162" s="7"/>
      <c r="L162" s="26"/>
      <c r="Q162" s="199"/>
    </row>
    <row r="163" spans="1:17" ht="18" customHeight="1" x14ac:dyDescent="0.25">
      <c r="A163" s="14">
        <f t="shared" si="3"/>
        <v>146</v>
      </c>
      <c r="B163" s="8">
        <v>45875</v>
      </c>
      <c r="C163" s="254"/>
      <c r="D163" s="255"/>
      <c r="E163" s="32"/>
      <c r="F163" s="27">
        <v>4</v>
      </c>
      <c r="G163" s="18">
        <f t="shared" si="4"/>
        <v>261</v>
      </c>
      <c r="H163" s="47"/>
      <c r="I163" s="7"/>
      <c r="L163" s="26"/>
      <c r="Q163" s="199"/>
    </row>
    <row r="164" spans="1:17" ht="18" customHeight="1" x14ac:dyDescent="0.25">
      <c r="A164" s="14">
        <f t="shared" si="3"/>
        <v>147</v>
      </c>
      <c r="B164" s="8">
        <v>45876</v>
      </c>
      <c r="C164" s="254"/>
      <c r="D164" s="255"/>
      <c r="E164" s="32"/>
      <c r="F164" s="27">
        <v>4</v>
      </c>
      <c r="G164" s="18">
        <f t="shared" si="4"/>
        <v>257</v>
      </c>
      <c r="H164" s="47"/>
      <c r="I164" s="7"/>
      <c r="L164" s="26"/>
      <c r="Q164" s="199"/>
    </row>
    <row r="165" spans="1:17" ht="18" customHeight="1" x14ac:dyDescent="0.25">
      <c r="A165" s="14">
        <f t="shared" si="3"/>
        <v>148</v>
      </c>
      <c r="B165" s="8">
        <v>45877</v>
      </c>
      <c r="C165" s="254"/>
      <c r="D165" s="255"/>
      <c r="E165" s="32"/>
      <c r="F165" s="27">
        <v>3</v>
      </c>
      <c r="G165" s="18">
        <f t="shared" si="4"/>
        <v>254</v>
      </c>
      <c r="H165" s="47"/>
      <c r="I165" s="7"/>
      <c r="L165" s="26"/>
      <c r="Q165" s="199"/>
    </row>
    <row r="166" spans="1:17" ht="18" customHeight="1" x14ac:dyDescent="0.25">
      <c r="A166" s="14">
        <f t="shared" si="3"/>
        <v>149</v>
      </c>
      <c r="B166" s="8">
        <v>45878</v>
      </c>
      <c r="C166" s="254"/>
      <c r="D166" s="255"/>
      <c r="E166" s="32"/>
      <c r="F166" s="27">
        <v>2</v>
      </c>
      <c r="G166" s="18">
        <f t="shared" si="4"/>
        <v>252</v>
      </c>
      <c r="H166" s="47"/>
      <c r="I166" s="7"/>
      <c r="L166" s="26"/>
      <c r="Q166" s="199"/>
    </row>
    <row r="167" spans="1:17" ht="18" customHeight="1" x14ac:dyDescent="0.25">
      <c r="A167" s="14">
        <f t="shared" si="3"/>
        <v>150</v>
      </c>
      <c r="B167" s="8">
        <v>45880</v>
      </c>
      <c r="C167" s="254"/>
      <c r="D167" s="255"/>
      <c r="E167" s="32"/>
      <c r="F167" s="27">
        <v>2</v>
      </c>
      <c r="G167" s="18">
        <f t="shared" si="4"/>
        <v>250</v>
      </c>
      <c r="H167" s="47"/>
      <c r="I167" s="7"/>
      <c r="L167" s="26"/>
      <c r="Q167" s="199"/>
    </row>
    <row r="168" spans="1:17" ht="18" customHeight="1" x14ac:dyDescent="0.25">
      <c r="A168" s="14">
        <f t="shared" si="3"/>
        <v>151</v>
      </c>
      <c r="B168" s="8">
        <v>45881</v>
      </c>
      <c r="C168" s="254"/>
      <c r="D168" s="255"/>
      <c r="E168" s="32"/>
      <c r="F168" s="27">
        <v>4</v>
      </c>
      <c r="G168" s="18">
        <f t="shared" si="4"/>
        <v>246</v>
      </c>
      <c r="H168" s="47"/>
      <c r="I168" s="7"/>
      <c r="L168" s="26"/>
      <c r="Q168" s="199"/>
    </row>
    <row r="169" spans="1:17" ht="18" customHeight="1" x14ac:dyDescent="0.25">
      <c r="A169" s="14">
        <f t="shared" si="3"/>
        <v>152</v>
      </c>
      <c r="B169" s="8">
        <v>45882</v>
      </c>
      <c r="C169" s="254"/>
      <c r="D169" s="255"/>
      <c r="E169" s="32"/>
      <c r="F169" s="27">
        <v>5</v>
      </c>
      <c r="G169" s="18">
        <f t="shared" si="4"/>
        <v>241</v>
      </c>
      <c r="H169" s="47"/>
      <c r="I169" s="7"/>
      <c r="L169" s="26"/>
      <c r="Q169" s="199"/>
    </row>
    <row r="170" spans="1:17" ht="18" customHeight="1" x14ac:dyDescent="0.25">
      <c r="A170" s="14">
        <f t="shared" si="3"/>
        <v>153</v>
      </c>
      <c r="B170" s="8">
        <v>45883</v>
      </c>
      <c r="C170" s="254"/>
      <c r="D170" s="255"/>
      <c r="E170" s="32"/>
      <c r="F170" s="27">
        <v>4</v>
      </c>
      <c r="G170" s="18">
        <f t="shared" si="4"/>
        <v>237</v>
      </c>
      <c r="H170" s="47"/>
      <c r="I170" s="7"/>
      <c r="L170" s="26"/>
      <c r="Q170" s="199"/>
    </row>
    <row r="171" spans="1:17" ht="18" customHeight="1" x14ac:dyDescent="0.25">
      <c r="A171" s="14"/>
      <c r="B171" s="8">
        <v>45884</v>
      </c>
      <c r="C171" s="254"/>
      <c r="D171" s="255"/>
      <c r="E171" s="32"/>
      <c r="F171" s="27">
        <v>4</v>
      </c>
      <c r="G171" s="18">
        <f t="shared" si="4"/>
        <v>233</v>
      </c>
      <c r="H171" s="47"/>
      <c r="I171" s="7"/>
      <c r="L171" s="26"/>
      <c r="Q171" s="199"/>
    </row>
    <row r="172" spans="1:17" ht="18" customHeight="1" x14ac:dyDescent="0.25">
      <c r="A172" s="14">
        <f>+A170+1</f>
        <v>154</v>
      </c>
      <c r="B172" s="8">
        <v>45885</v>
      </c>
      <c r="C172" s="254"/>
      <c r="D172" s="255"/>
      <c r="E172" s="32"/>
      <c r="F172" s="27">
        <v>4</v>
      </c>
      <c r="G172" s="18">
        <f t="shared" si="4"/>
        <v>229</v>
      </c>
      <c r="H172" s="47"/>
      <c r="I172" s="7"/>
      <c r="L172" s="26"/>
      <c r="Q172" s="199"/>
    </row>
    <row r="173" spans="1:17" ht="18" customHeight="1" x14ac:dyDescent="0.25">
      <c r="A173" s="14">
        <f t="shared" si="3"/>
        <v>155</v>
      </c>
      <c r="B173" s="8">
        <v>45887</v>
      </c>
      <c r="C173" s="254"/>
      <c r="D173" s="255"/>
      <c r="E173" s="32"/>
      <c r="F173" s="27">
        <v>4</v>
      </c>
      <c r="G173" s="18">
        <f t="shared" si="4"/>
        <v>225</v>
      </c>
      <c r="H173" s="47"/>
      <c r="I173" s="7"/>
      <c r="L173" s="26"/>
      <c r="Q173" s="199"/>
    </row>
    <row r="174" spans="1:17" ht="18" customHeight="1" x14ac:dyDescent="0.25">
      <c r="A174" s="14">
        <f t="shared" si="3"/>
        <v>156</v>
      </c>
      <c r="B174" s="8">
        <v>45888</v>
      </c>
      <c r="C174" s="254"/>
      <c r="D174" s="255"/>
      <c r="E174" s="32"/>
      <c r="F174" s="27">
        <v>7</v>
      </c>
      <c r="G174" s="18">
        <f t="shared" si="4"/>
        <v>218</v>
      </c>
      <c r="H174" s="47" t="s">
        <v>428</v>
      </c>
      <c r="I174" s="7"/>
      <c r="L174" s="26"/>
      <c r="Q174" s="199"/>
    </row>
    <row r="175" spans="1:17" ht="18" customHeight="1" x14ac:dyDescent="0.25">
      <c r="A175" s="14">
        <f t="shared" si="3"/>
        <v>157</v>
      </c>
      <c r="B175" s="8">
        <v>45889</v>
      </c>
      <c r="C175" s="254"/>
      <c r="D175" s="255"/>
      <c r="E175" s="32"/>
      <c r="F175" s="27">
        <v>4</v>
      </c>
      <c r="G175" s="18">
        <f t="shared" si="4"/>
        <v>214</v>
      </c>
      <c r="H175" s="47"/>
      <c r="I175" s="7"/>
      <c r="L175" s="26"/>
      <c r="Q175" s="199"/>
    </row>
    <row r="176" spans="1:17" ht="18" customHeight="1" x14ac:dyDescent="0.25">
      <c r="A176" s="14">
        <f t="shared" si="3"/>
        <v>158</v>
      </c>
      <c r="B176" s="8">
        <v>45890</v>
      </c>
      <c r="C176" s="254"/>
      <c r="D176" s="255"/>
      <c r="E176" s="32"/>
      <c r="F176" s="27">
        <v>4</v>
      </c>
      <c r="G176" s="18">
        <f t="shared" si="4"/>
        <v>210</v>
      </c>
      <c r="H176" s="47"/>
      <c r="I176" s="7"/>
      <c r="L176" s="26"/>
      <c r="Q176" s="199"/>
    </row>
    <row r="177" spans="1:17" ht="18" customHeight="1" x14ac:dyDescent="0.25">
      <c r="A177" s="14">
        <f t="shared" si="3"/>
        <v>159</v>
      </c>
      <c r="B177" s="8">
        <v>45891</v>
      </c>
      <c r="C177" s="254"/>
      <c r="D177" s="255"/>
      <c r="E177" s="32"/>
      <c r="F177" s="27">
        <v>3</v>
      </c>
      <c r="G177" s="18">
        <f t="shared" si="4"/>
        <v>207</v>
      </c>
      <c r="H177" s="47"/>
      <c r="I177" s="7"/>
      <c r="L177" s="26"/>
      <c r="Q177" s="199"/>
    </row>
    <row r="178" spans="1:17" ht="18" customHeight="1" x14ac:dyDescent="0.25">
      <c r="A178" s="14">
        <f t="shared" si="3"/>
        <v>160</v>
      </c>
      <c r="B178" s="8">
        <v>45892</v>
      </c>
      <c r="C178" s="254"/>
      <c r="D178" s="255"/>
      <c r="E178" s="32"/>
      <c r="F178" s="27">
        <v>2</v>
      </c>
      <c r="G178" s="18">
        <f t="shared" si="4"/>
        <v>205</v>
      </c>
      <c r="H178" s="47"/>
      <c r="I178" s="7"/>
      <c r="L178" s="26"/>
      <c r="Q178" s="199"/>
    </row>
    <row r="179" spans="1:17" ht="18" customHeight="1" x14ac:dyDescent="0.25">
      <c r="A179" s="14">
        <f t="shared" si="3"/>
        <v>161</v>
      </c>
      <c r="B179" s="8">
        <v>45894</v>
      </c>
      <c r="C179" s="254"/>
      <c r="D179" s="255"/>
      <c r="E179" s="32"/>
      <c r="F179" s="27">
        <v>4</v>
      </c>
      <c r="G179" s="18">
        <f t="shared" si="4"/>
        <v>201</v>
      </c>
      <c r="H179" s="47"/>
      <c r="I179" s="7"/>
      <c r="L179" s="26"/>
      <c r="Q179" s="199"/>
    </row>
    <row r="180" spans="1:17" ht="18" customHeight="1" x14ac:dyDescent="0.25">
      <c r="A180" s="14">
        <f t="shared" si="3"/>
        <v>162</v>
      </c>
      <c r="B180" s="8">
        <v>45895</v>
      </c>
      <c r="C180" s="254"/>
      <c r="D180" s="255"/>
      <c r="E180" s="32"/>
      <c r="F180" s="27">
        <v>7</v>
      </c>
      <c r="G180" s="18">
        <f t="shared" si="4"/>
        <v>194</v>
      </c>
      <c r="H180" s="47"/>
      <c r="I180" s="7"/>
      <c r="L180" s="26"/>
      <c r="Q180" s="199"/>
    </row>
    <row r="181" spans="1:17" ht="18" customHeight="1" x14ac:dyDescent="0.25">
      <c r="A181" s="14">
        <f t="shared" si="3"/>
        <v>163</v>
      </c>
      <c r="B181" s="8">
        <v>45896</v>
      </c>
      <c r="C181" s="254"/>
      <c r="D181" s="255"/>
      <c r="E181" s="32"/>
      <c r="F181" s="27">
        <v>3</v>
      </c>
      <c r="G181" s="18">
        <f t="shared" si="4"/>
        <v>191</v>
      </c>
      <c r="H181" s="47"/>
      <c r="I181" s="7"/>
      <c r="L181" s="26"/>
      <c r="Q181" s="199"/>
    </row>
    <row r="182" spans="1:17" ht="18" customHeight="1" x14ac:dyDescent="0.25">
      <c r="A182" s="14">
        <f t="shared" si="3"/>
        <v>164</v>
      </c>
      <c r="B182" s="8">
        <v>45897</v>
      </c>
      <c r="C182" s="254"/>
      <c r="D182" s="255"/>
      <c r="E182" s="32"/>
      <c r="F182" s="27">
        <v>3</v>
      </c>
      <c r="G182" s="18">
        <f t="shared" si="4"/>
        <v>188</v>
      </c>
      <c r="H182" s="47"/>
      <c r="I182" s="7"/>
      <c r="L182" s="26"/>
      <c r="Q182" s="199"/>
    </row>
    <row r="183" spans="1:17" ht="18" customHeight="1" x14ac:dyDescent="0.25">
      <c r="A183" s="14">
        <f t="shared" si="3"/>
        <v>165</v>
      </c>
      <c r="B183" s="8">
        <v>45898</v>
      </c>
      <c r="C183" s="254"/>
      <c r="D183" s="255"/>
      <c r="E183" s="32"/>
      <c r="F183" s="27">
        <v>1</v>
      </c>
      <c r="G183" s="18">
        <f t="shared" si="4"/>
        <v>187</v>
      </c>
      <c r="H183" s="47"/>
      <c r="I183" s="7"/>
      <c r="L183" s="26"/>
      <c r="Q183" s="199"/>
    </row>
    <row r="184" spans="1:17" ht="18" customHeight="1" x14ac:dyDescent="0.25">
      <c r="A184" s="14">
        <f t="shared" si="3"/>
        <v>166</v>
      </c>
      <c r="B184" s="8">
        <v>45899</v>
      </c>
      <c r="C184" s="254"/>
      <c r="D184" s="255"/>
      <c r="E184" s="32"/>
      <c r="F184" s="27">
        <v>2</v>
      </c>
      <c r="G184" s="18">
        <f t="shared" si="4"/>
        <v>185</v>
      </c>
      <c r="H184" s="47"/>
      <c r="I184" s="7"/>
      <c r="L184" s="26"/>
      <c r="Q184" s="199"/>
    </row>
    <row r="185" spans="1:17" ht="18" customHeight="1" x14ac:dyDescent="0.25">
      <c r="A185" s="14">
        <f t="shared" si="3"/>
        <v>167</v>
      </c>
      <c r="B185" s="8">
        <v>45903</v>
      </c>
      <c r="C185" s="254"/>
      <c r="D185" s="255"/>
      <c r="E185" s="32"/>
      <c r="F185" s="27">
        <v>3</v>
      </c>
      <c r="G185" s="18">
        <f t="shared" si="4"/>
        <v>182</v>
      </c>
      <c r="H185" s="47"/>
      <c r="I185" s="7"/>
      <c r="L185" s="26"/>
      <c r="Q185" s="199"/>
    </row>
    <row r="186" spans="1:17" ht="18" customHeight="1" x14ac:dyDescent="0.25">
      <c r="A186" s="14">
        <f t="shared" si="3"/>
        <v>168</v>
      </c>
      <c r="B186" s="8">
        <v>45904</v>
      </c>
      <c r="C186" s="254"/>
      <c r="D186" s="255"/>
      <c r="E186" s="32"/>
      <c r="F186" s="27">
        <v>4</v>
      </c>
      <c r="G186" s="18">
        <f t="shared" si="4"/>
        <v>178</v>
      </c>
      <c r="H186" s="47"/>
      <c r="I186" s="7"/>
      <c r="L186" s="26"/>
      <c r="Q186" s="199"/>
    </row>
    <row r="187" spans="1:17" ht="18" customHeight="1" x14ac:dyDescent="0.25">
      <c r="A187" s="14">
        <f t="shared" si="3"/>
        <v>169</v>
      </c>
      <c r="B187" s="8">
        <v>45905</v>
      </c>
      <c r="C187" s="46"/>
      <c r="D187" s="10"/>
      <c r="E187" s="32"/>
      <c r="F187" s="40">
        <v>9</v>
      </c>
      <c r="G187" s="18">
        <f t="shared" si="4"/>
        <v>169</v>
      </c>
      <c r="H187" s="18"/>
      <c r="I187" s="7"/>
      <c r="Q187" s="26"/>
    </row>
    <row r="188" spans="1:17" ht="18" customHeight="1" x14ac:dyDescent="0.25">
      <c r="A188" s="14">
        <f t="shared" si="3"/>
        <v>170</v>
      </c>
      <c r="B188" s="8">
        <v>45910</v>
      </c>
      <c r="C188" s="46"/>
      <c r="D188" s="10"/>
      <c r="E188" s="32"/>
      <c r="F188" s="40">
        <v>5</v>
      </c>
      <c r="G188" s="18">
        <f t="shared" si="4"/>
        <v>164</v>
      </c>
      <c r="H188" s="18"/>
      <c r="I188" s="7"/>
      <c r="Q188" s="26"/>
    </row>
    <row r="189" spans="1:17" ht="18" customHeight="1" x14ac:dyDescent="0.25">
      <c r="A189" s="14">
        <f t="shared" si="3"/>
        <v>171</v>
      </c>
      <c r="B189" s="8">
        <v>45911</v>
      </c>
      <c r="C189" s="46"/>
      <c r="D189" s="10"/>
      <c r="E189" s="32"/>
      <c r="F189" s="40">
        <v>3</v>
      </c>
      <c r="G189" s="18">
        <f t="shared" si="4"/>
        <v>161</v>
      </c>
      <c r="H189" s="18"/>
      <c r="I189" s="7"/>
      <c r="Q189" s="26"/>
    </row>
    <row r="190" spans="1:17" ht="18" customHeight="1" x14ac:dyDescent="0.25">
      <c r="A190" s="14">
        <f t="shared" si="3"/>
        <v>172</v>
      </c>
      <c r="B190" s="8">
        <v>45912</v>
      </c>
      <c r="C190" s="46"/>
      <c r="D190" s="10"/>
      <c r="E190" s="32"/>
      <c r="F190" s="40">
        <v>1</v>
      </c>
      <c r="G190" s="18">
        <f t="shared" si="4"/>
        <v>160</v>
      </c>
      <c r="H190" s="18"/>
      <c r="I190" s="7"/>
      <c r="Q190" s="26"/>
    </row>
    <row r="191" spans="1:17" ht="18" customHeight="1" x14ac:dyDescent="0.25">
      <c r="A191" s="14">
        <f t="shared" si="3"/>
        <v>173</v>
      </c>
      <c r="B191" s="8">
        <v>45913</v>
      </c>
      <c r="C191" s="46"/>
      <c r="D191" s="10"/>
      <c r="E191" s="32"/>
      <c r="F191" s="40">
        <v>2</v>
      </c>
      <c r="G191" s="18">
        <f t="shared" si="4"/>
        <v>158</v>
      </c>
      <c r="H191" s="18"/>
      <c r="I191" s="7"/>
      <c r="Q191" s="26"/>
    </row>
    <row r="192" spans="1:17" ht="18" customHeight="1" x14ac:dyDescent="0.25">
      <c r="A192" s="14">
        <f t="shared" si="3"/>
        <v>174</v>
      </c>
      <c r="B192" s="8">
        <v>45915</v>
      </c>
      <c r="C192" s="46"/>
      <c r="D192" s="10"/>
      <c r="E192" s="32"/>
      <c r="F192" s="40">
        <v>2</v>
      </c>
      <c r="G192" s="18">
        <f t="shared" si="4"/>
        <v>156</v>
      </c>
      <c r="H192" s="18"/>
      <c r="I192" s="7"/>
      <c r="Q192" s="26"/>
    </row>
    <row r="193" spans="1:17" ht="18" customHeight="1" x14ac:dyDescent="0.25">
      <c r="A193" s="14">
        <f t="shared" si="3"/>
        <v>175</v>
      </c>
      <c r="B193" s="8">
        <v>45916</v>
      </c>
      <c r="C193" s="46"/>
      <c r="D193" s="10"/>
      <c r="E193" s="32"/>
      <c r="F193" s="40">
        <v>2</v>
      </c>
      <c r="G193" s="18">
        <f t="shared" si="4"/>
        <v>154</v>
      </c>
      <c r="H193" s="18"/>
      <c r="I193" s="7"/>
      <c r="Q193" s="26"/>
    </row>
    <row r="194" spans="1:17" ht="18" customHeight="1" x14ac:dyDescent="0.25">
      <c r="A194" s="14">
        <f t="shared" si="3"/>
        <v>176</v>
      </c>
      <c r="B194" s="8">
        <v>45917</v>
      </c>
      <c r="C194" s="46"/>
      <c r="D194" s="10"/>
      <c r="E194" s="32"/>
      <c r="F194" s="40">
        <v>3</v>
      </c>
      <c r="G194" s="18">
        <f t="shared" si="4"/>
        <v>151</v>
      </c>
      <c r="H194" s="18"/>
      <c r="I194" s="7"/>
      <c r="Q194" s="26"/>
    </row>
    <row r="195" spans="1:17" ht="18" customHeight="1" x14ac:dyDescent="0.25">
      <c r="A195" s="14">
        <f t="shared" si="3"/>
        <v>177</v>
      </c>
      <c r="B195" s="8">
        <v>45918</v>
      </c>
      <c r="C195" s="46"/>
      <c r="D195" s="10"/>
      <c r="E195" s="32"/>
      <c r="F195" s="40">
        <v>5</v>
      </c>
      <c r="G195" s="18">
        <f t="shared" si="4"/>
        <v>146</v>
      </c>
      <c r="H195" s="18"/>
      <c r="I195" s="7"/>
      <c r="Q195" s="26"/>
    </row>
    <row r="196" spans="1:17" ht="18" customHeight="1" x14ac:dyDescent="0.25">
      <c r="A196" s="14">
        <f t="shared" si="3"/>
        <v>178</v>
      </c>
      <c r="B196" s="8">
        <v>45919</v>
      </c>
      <c r="C196" s="46"/>
      <c r="D196" s="10"/>
      <c r="E196" s="32"/>
      <c r="F196" s="40">
        <v>3</v>
      </c>
      <c r="G196" s="18">
        <f t="shared" si="4"/>
        <v>143</v>
      </c>
      <c r="H196" s="18"/>
      <c r="I196" s="7"/>
      <c r="Q196" s="26"/>
    </row>
    <row r="197" spans="1:17" ht="18" customHeight="1" x14ac:dyDescent="0.25">
      <c r="A197" s="14">
        <f t="shared" si="3"/>
        <v>179</v>
      </c>
      <c r="B197" s="8">
        <v>45920</v>
      </c>
      <c r="C197" s="46"/>
      <c r="D197" s="10"/>
      <c r="E197" s="32"/>
      <c r="F197" s="40">
        <v>4</v>
      </c>
      <c r="G197" s="18">
        <f t="shared" si="4"/>
        <v>139</v>
      </c>
      <c r="H197" s="18"/>
      <c r="I197" s="7"/>
      <c r="Q197" s="26"/>
    </row>
    <row r="198" spans="1:17" ht="18" customHeight="1" x14ac:dyDescent="0.25">
      <c r="A198" s="14">
        <f t="shared" si="3"/>
        <v>180</v>
      </c>
      <c r="B198" s="8">
        <v>45922</v>
      </c>
      <c r="C198" s="46"/>
      <c r="D198" s="10"/>
      <c r="E198" s="32"/>
      <c r="F198" s="40">
        <v>4</v>
      </c>
      <c r="G198" s="18">
        <f t="shared" si="4"/>
        <v>135</v>
      </c>
      <c r="H198" s="18"/>
      <c r="I198" s="7"/>
      <c r="Q198" s="26"/>
    </row>
    <row r="199" spans="1:17" ht="18" customHeight="1" x14ac:dyDescent="0.25">
      <c r="A199" s="14">
        <f t="shared" si="3"/>
        <v>181</v>
      </c>
      <c r="B199" s="8">
        <v>45923</v>
      </c>
      <c r="C199" s="46"/>
      <c r="D199" s="10"/>
      <c r="E199" s="32"/>
      <c r="F199" s="40">
        <v>3</v>
      </c>
      <c r="G199" s="18">
        <f t="shared" si="4"/>
        <v>132</v>
      </c>
      <c r="H199" s="18"/>
      <c r="I199" s="7"/>
      <c r="M199">
        <f>346-160</f>
        <v>186</v>
      </c>
      <c r="Q199" s="26"/>
    </row>
    <row r="200" spans="1:17" ht="18" customHeight="1" x14ac:dyDescent="0.25">
      <c r="A200" s="14">
        <f t="shared" si="3"/>
        <v>182</v>
      </c>
      <c r="B200" s="8">
        <v>45925</v>
      </c>
      <c r="C200" s="46"/>
      <c r="D200" s="10"/>
      <c r="E200" s="32"/>
      <c r="F200" s="40">
        <v>5</v>
      </c>
      <c r="G200" s="18">
        <f t="shared" si="4"/>
        <v>127</v>
      </c>
      <c r="H200" s="18"/>
      <c r="I200" s="7"/>
      <c r="Q200" s="26"/>
    </row>
    <row r="201" spans="1:17" ht="18" customHeight="1" x14ac:dyDescent="0.25">
      <c r="A201" s="14">
        <f t="shared" si="3"/>
        <v>183</v>
      </c>
      <c r="B201" s="8">
        <v>45926</v>
      </c>
      <c r="C201" s="46"/>
      <c r="D201" s="10"/>
      <c r="E201" s="32"/>
      <c r="F201" s="40">
        <v>3</v>
      </c>
      <c r="G201" s="18">
        <f t="shared" si="4"/>
        <v>124</v>
      </c>
      <c r="H201" s="18"/>
      <c r="I201" s="7"/>
      <c r="Q201" s="26"/>
    </row>
    <row r="202" spans="1:17" ht="18" customHeight="1" x14ac:dyDescent="0.25">
      <c r="A202" s="14">
        <f t="shared" si="3"/>
        <v>184</v>
      </c>
      <c r="B202" s="8">
        <v>45927</v>
      </c>
      <c r="C202" s="46"/>
      <c r="D202" s="10"/>
      <c r="E202" s="140"/>
      <c r="F202" s="257">
        <v>1</v>
      </c>
      <c r="G202" s="18">
        <f t="shared" ref="G202:G216" si="5">+G201+E202-F202</f>
        <v>123</v>
      </c>
      <c r="H202" s="18"/>
      <c r="I202" s="7"/>
    </row>
    <row r="203" spans="1:17" ht="18" customHeight="1" x14ac:dyDescent="0.25">
      <c r="A203" s="14">
        <f t="shared" si="3"/>
        <v>185</v>
      </c>
      <c r="B203" s="8">
        <v>45929</v>
      </c>
      <c r="C203" s="46"/>
      <c r="D203" s="10"/>
      <c r="E203" s="140"/>
      <c r="F203" s="257">
        <v>3</v>
      </c>
      <c r="G203" s="18">
        <f t="shared" si="5"/>
        <v>120</v>
      </c>
      <c r="H203" s="18"/>
      <c r="I203" s="7"/>
    </row>
    <row r="204" spans="1:17" ht="18" customHeight="1" x14ac:dyDescent="0.25">
      <c r="A204" s="14">
        <f t="shared" ref="A204:A212" si="6">+A203+1</f>
        <v>186</v>
      </c>
      <c r="B204" s="8">
        <v>45930</v>
      </c>
      <c r="C204" s="46"/>
      <c r="D204" s="10"/>
      <c r="E204" s="140"/>
      <c r="F204" s="257">
        <v>5</v>
      </c>
      <c r="G204" s="18">
        <f t="shared" si="5"/>
        <v>115</v>
      </c>
      <c r="H204" s="18"/>
      <c r="I204" s="7"/>
    </row>
    <row r="205" spans="1:17" ht="18" customHeight="1" x14ac:dyDescent="0.25">
      <c r="A205" s="14">
        <f t="shared" si="6"/>
        <v>187</v>
      </c>
      <c r="B205" s="8">
        <v>45932</v>
      </c>
      <c r="C205" s="46"/>
      <c r="D205" s="10"/>
      <c r="E205" s="140"/>
      <c r="F205" s="257">
        <v>3</v>
      </c>
      <c r="G205" s="18">
        <f t="shared" si="5"/>
        <v>112</v>
      </c>
      <c r="H205" s="18"/>
      <c r="I205" s="7"/>
      <c r="N205">
        <v>2</v>
      </c>
    </row>
    <row r="206" spans="1:17" ht="18" customHeight="1" x14ac:dyDescent="0.25">
      <c r="A206" s="14">
        <f t="shared" si="6"/>
        <v>188</v>
      </c>
      <c r="B206" s="8">
        <v>45933</v>
      </c>
      <c r="C206" s="46"/>
      <c r="D206" s="10"/>
      <c r="E206" s="140"/>
      <c r="F206" s="257">
        <v>5</v>
      </c>
      <c r="G206" s="18">
        <f t="shared" si="5"/>
        <v>107</v>
      </c>
      <c r="H206" s="18"/>
      <c r="I206" s="7"/>
    </row>
    <row r="207" spans="1:17" ht="18" customHeight="1" x14ac:dyDescent="0.25">
      <c r="A207" s="14">
        <f t="shared" si="6"/>
        <v>189</v>
      </c>
      <c r="B207" s="8">
        <v>45934</v>
      </c>
      <c r="C207" s="46"/>
      <c r="D207" s="10"/>
      <c r="E207" s="140"/>
      <c r="F207" s="257">
        <v>4</v>
      </c>
      <c r="G207" s="18">
        <f t="shared" si="5"/>
        <v>103</v>
      </c>
      <c r="H207" s="18"/>
      <c r="I207" s="7"/>
    </row>
    <row r="208" spans="1:17" ht="18" customHeight="1" x14ac:dyDescent="0.25">
      <c r="A208" s="14">
        <f t="shared" si="6"/>
        <v>190</v>
      </c>
      <c r="B208" s="8">
        <v>45937</v>
      </c>
      <c r="C208" s="46"/>
      <c r="D208" s="10"/>
      <c r="E208" s="140"/>
      <c r="F208" s="257">
        <v>5</v>
      </c>
      <c r="G208" s="18">
        <f t="shared" si="5"/>
        <v>98</v>
      </c>
      <c r="H208" s="18"/>
      <c r="I208" s="7"/>
    </row>
    <row r="209" spans="1:9" ht="18" customHeight="1" x14ac:dyDescent="0.25">
      <c r="A209" s="14">
        <f t="shared" si="6"/>
        <v>191</v>
      </c>
      <c r="B209" s="8">
        <v>45938</v>
      </c>
      <c r="C209" s="46"/>
      <c r="D209" s="10"/>
      <c r="E209" s="140"/>
      <c r="F209" s="257">
        <v>3</v>
      </c>
      <c r="G209" s="18">
        <f t="shared" si="5"/>
        <v>95</v>
      </c>
      <c r="H209" s="18"/>
      <c r="I209" s="7"/>
    </row>
    <row r="210" spans="1:9" ht="18" customHeight="1" x14ac:dyDescent="0.25">
      <c r="A210" s="14">
        <f t="shared" si="6"/>
        <v>192</v>
      </c>
      <c r="B210" s="8">
        <v>45939</v>
      </c>
      <c r="C210" s="46"/>
      <c r="D210" s="10"/>
      <c r="E210" s="140"/>
      <c r="F210" s="257">
        <v>3</v>
      </c>
      <c r="G210" s="18">
        <f t="shared" si="5"/>
        <v>92</v>
      </c>
      <c r="H210" s="18"/>
      <c r="I210" s="7"/>
    </row>
    <row r="211" spans="1:9" ht="18" customHeight="1" x14ac:dyDescent="0.25">
      <c r="A211" s="14">
        <f t="shared" si="6"/>
        <v>193</v>
      </c>
      <c r="B211" s="8">
        <v>45940</v>
      </c>
      <c r="C211" s="46"/>
      <c r="D211" s="10"/>
      <c r="E211" s="140"/>
      <c r="F211" s="257">
        <v>2</v>
      </c>
      <c r="G211" s="18">
        <f t="shared" si="5"/>
        <v>90</v>
      </c>
      <c r="H211" s="18"/>
      <c r="I211" s="7"/>
    </row>
    <row r="212" spans="1:9" ht="18" customHeight="1" x14ac:dyDescent="0.25">
      <c r="A212" s="14">
        <f t="shared" si="6"/>
        <v>194</v>
      </c>
      <c r="B212" s="8"/>
      <c r="C212" s="46"/>
      <c r="D212" s="10"/>
      <c r="E212" s="140"/>
      <c r="F212" s="257"/>
      <c r="G212" s="18">
        <f t="shared" si="5"/>
        <v>90</v>
      </c>
      <c r="H212" s="18"/>
      <c r="I212" s="7"/>
    </row>
    <row r="213" spans="1:9" ht="18" customHeight="1" x14ac:dyDescent="0.25">
      <c r="A213" s="14"/>
      <c r="B213" s="8"/>
      <c r="C213" s="46"/>
      <c r="D213" s="10"/>
      <c r="E213" s="140"/>
      <c r="F213" s="257"/>
      <c r="G213" s="18">
        <f t="shared" si="5"/>
        <v>90</v>
      </c>
      <c r="H213" s="18"/>
      <c r="I213" s="7"/>
    </row>
    <row r="214" spans="1:9" ht="18" customHeight="1" x14ac:dyDescent="0.25">
      <c r="A214" s="14"/>
      <c r="B214" s="8"/>
      <c r="C214" s="46"/>
      <c r="D214" s="10"/>
      <c r="E214" s="140"/>
      <c r="F214" s="257"/>
      <c r="G214" s="18">
        <f t="shared" si="5"/>
        <v>90</v>
      </c>
      <c r="H214" s="18"/>
      <c r="I214" s="7"/>
    </row>
    <row r="215" spans="1:9" ht="18" customHeight="1" x14ac:dyDescent="0.25">
      <c r="A215" s="14"/>
      <c r="B215" s="8"/>
      <c r="C215" s="46"/>
      <c r="D215" s="10"/>
      <c r="E215" s="140"/>
      <c r="F215" s="257"/>
      <c r="G215" s="18">
        <f t="shared" si="5"/>
        <v>90</v>
      </c>
      <c r="H215" s="18"/>
      <c r="I215" s="7"/>
    </row>
    <row r="216" spans="1:9" ht="18" customHeight="1" x14ac:dyDescent="0.25">
      <c r="A216" s="14">
        <f>+A202+1</f>
        <v>185</v>
      </c>
      <c r="B216" s="33">
        <v>45930</v>
      </c>
      <c r="C216" s="7"/>
      <c r="D216" s="14"/>
      <c r="E216" s="140"/>
      <c r="F216" s="141"/>
      <c r="G216" s="18">
        <f t="shared" si="5"/>
        <v>90</v>
      </c>
      <c r="H216" s="18"/>
      <c r="I216" s="7"/>
    </row>
    <row r="217" spans="1:9" ht="18" customHeight="1" x14ac:dyDescent="0.25">
      <c r="A217" s="7"/>
      <c r="B217" s="33"/>
      <c r="C217" s="34" t="s">
        <v>13</v>
      </c>
      <c r="D217" s="14"/>
      <c r="E217" s="122">
        <f>SUM(E8:E216)</f>
        <v>540</v>
      </c>
      <c r="F217" s="122">
        <f>SUM(F8:F216)</f>
        <v>628</v>
      </c>
      <c r="G217" s="122">
        <f>+E217-F217+G8</f>
        <v>90</v>
      </c>
      <c r="H217" s="35"/>
      <c r="I217" s="36"/>
    </row>
    <row r="218" spans="1:9" ht="18" customHeight="1" x14ac:dyDescent="0.25">
      <c r="E218" s="26">
        <f>+E217+23</f>
        <v>563</v>
      </c>
      <c r="G218" s="258"/>
    </row>
    <row r="221" spans="1:9" x14ac:dyDescent="0.25">
      <c r="E221" s="201"/>
      <c r="F221" s="201"/>
      <c r="G221" s="201"/>
      <c r="H221" s="201"/>
    </row>
    <row r="222" spans="1:9" x14ac:dyDescent="0.25">
      <c r="F222" s="26"/>
    </row>
    <row r="223" spans="1:9" x14ac:dyDescent="0.25">
      <c r="E223" s="26"/>
      <c r="F223" s="26"/>
      <c r="G223" s="26"/>
      <c r="H223" s="26"/>
      <c r="I223" s="26"/>
    </row>
    <row r="224" spans="1:9" x14ac:dyDescent="0.25">
      <c r="I224" s="202"/>
    </row>
    <row r="225" spans="5:8" x14ac:dyDescent="0.25">
      <c r="E225" s="199"/>
    </row>
    <row r="226" spans="5:8" x14ac:dyDescent="0.25">
      <c r="E226" s="26"/>
      <c r="F226" s="26"/>
    </row>
    <row r="227" spans="5:8" x14ac:dyDescent="0.25">
      <c r="E227" s="203"/>
      <c r="F227" s="204"/>
      <c r="G227" s="203"/>
      <c r="H227" s="203"/>
    </row>
    <row r="228" spans="5:8" x14ac:dyDescent="0.25">
      <c r="F228" s="26"/>
    </row>
  </sheetData>
  <pageMargins left="0.7" right="0.7" top="0.75" bottom="0.75" header="0.3" footer="0.3"/>
  <pageSetup paperSize="9" orientation="portrait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18"/>
  <dimension ref="A1:J46"/>
  <sheetViews>
    <sheetView workbookViewId="0">
      <selection activeCell="F11" sqref="F1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2.5703125" customWidth="1"/>
    <col min="8" max="8" width="20.57031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+'[2]Phôi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>
        <v>118.2</v>
      </c>
      <c r="H8" s="7"/>
      <c r="I8" s="7"/>
    </row>
    <row r="9" spans="1:10" ht="18" customHeight="1" x14ac:dyDescent="0.25">
      <c r="A9" s="14">
        <v>1</v>
      </c>
      <c r="B9" s="8">
        <v>45664</v>
      </c>
      <c r="C9" s="254" t="s">
        <v>46</v>
      </c>
      <c r="D9" s="133" t="s">
        <v>23</v>
      </c>
      <c r="E9" s="51"/>
      <c r="F9" s="27">
        <v>3.3</v>
      </c>
      <c r="G9" s="114">
        <f t="shared" ref="G9:G34" si="0">+G8+E9-F9</f>
        <v>114.9</v>
      </c>
      <c r="H9" s="28" t="s">
        <v>91</v>
      </c>
      <c r="I9" s="7" t="s">
        <v>90</v>
      </c>
    </row>
    <row r="10" spans="1:10" ht="18" customHeight="1" x14ac:dyDescent="0.25">
      <c r="A10" s="14">
        <f t="shared" ref="A10:A34" si="1">+A9+1</f>
        <v>2</v>
      </c>
      <c r="B10" s="8">
        <v>45700</v>
      </c>
      <c r="C10" s="254" t="s">
        <v>46</v>
      </c>
      <c r="D10" s="133" t="s">
        <v>23</v>
      </c>
      <c r="E10" s="16"/>
      <c r="F10" s="27">
        <v>3</v>
      </c>
      <c r="G10" s="114">
        <f t="shared" si="0"/>
        <v>111.9</v>
      </c>
      <c r="H10" s="28" t="s">
        <v>91</v>
      </c>
      <c r="I10" s="7" t="s">
        <v>90</v>
      </c>
    </row>
    <row r="11" spans="1:10" ht="18" customHeight="1" x14ac:dyDescent="0.25">
      <c r="A11" s="14">
        <f t="shared" si="1"/>
        <v>3</v>
      </c>
      <c r="B11" s="8">
        <v>45938</v>
      </c>
      <c r="C11" s="254" t="s">
        <v>46</v>
      </c>
      <c r="D11" s="133" t="s">
        <v>23</v>
      </c>
      <c r="E11" s="16"/>
      <c r="F11" s="125">
        <v>4</v>
      </c>
      <c r="G11" s="114">
        <f t="shared" si="0"/>
        <v>107.9</v>
      </c>
      <c r="H11" s="28"/>
      <c r="I11" s="7"/>
    </row>
    <row r="12" spans="1:10" ht="18" customHeight="1" x14ac:dyDescent="0.25">
      <c r="A12" s="14">
        <f t="shared" si="1"/>
        <v>4</v>
      </c>
      <c r="B12" s="8"/>
      <c r="C12" s="254" t="s">
        <v>46</v>
      </c>
      <c r="D12" s="133" t="s">
        <v>23</v>
      </c>
      <c r="E12" s="16"/>
      <c r="F12" s="125"/>
      <c r="G12" s="114">
        <f t="shared" si="0"/>
        <v>107.9</v>
      </c>
      <c r="H12" s="28"/>
      <c r="I12" s="7"/>
    </row>
    <row r="13" spans="1:10" ht="18" customHeight="1" x14ac:dyDescent="0.25">
      <c r="A13" s="14">
        <f t="shared" si="1"/>
        <v>5</v>
      </c>
      <c r="B13" s="205"/>
      <c r="C13" s="254" t="s">
        <v>46</v>
      </c>
      <c r="D13" s="133" t="s">
        <v>23</v>
      </c>
      <c r="E13" s="16"/>
      <c r="F13" s="125"/>
      <c r="G13" s="114">
        <f t="shared" si="0"/>
        <v>107.9</v>
      </c>
      <c r="H13" s="28"/>
      <c r="I13" s="7"/>
    </row>
    <row r="14" spans="1:10" ht="18" customHeight="1" x14ac:dyDescent="0.25">
      <c r="A14" s="14">
        <f t="shared" si="1"/>
        <v>6</v>
      </c>
      <c r="B14" s="205"/>
      <c r="C14" s="254" t="s">
        <v>46</v>
      </c>
      <c r="D14" s="133" t="s">
        <v>23</v>
      </c>
      <c r="E14" s="16"/>
      <c r="F14" s="125"/>
      <c r="G14" s="114">
        <f t="shared" si="0"/>
        <v>107.9</v>
      </c>
      <c r="H14" s="28"/>
      <c r="I14" s="7"/>
      <c r="J14" s="26"/>
    </row>
    <row r="15" spans="1:10" ht="18" customHeight="1" x14ac:dyDescent="0.25">
      <c r="A15" s="14">
        <f t="shared" si="1"/>
        <v>7</v>
      </c>
      <c r="B15" s="8"/>
      <c r="C15" s="254" t="s">
        <v>46</v>
      </c>
      <c r="D15" s="133" t="s">
        <v>23</v>
      </c>
      <c r="E15" s="16"/>
      <c r="F15" s="27"/>
      <c r="G15" s="114">
        <f t="shared" si="0"/>
        <v>107.9</v>
      </c>
      <c r="H15" s="18"/>
      <c r="I15" s="7"/>
    </row>
    <row r="16" spans="1:10" ht="18" customHeight="1" x14ac:dyDescent="0.25">
      <c r="A16" s="14">
        <f t="shared" si="1"/>
        <v>8</v>
      </c>
      <c r="B16" s="8"/>
      <c r="C16" s="254" t="s">
        <v>46</v>
      </c>
      <c r="D16" s="133" t="s">
        <v>23</v>
      </c>
      <c r="E16" s="16"/>
      <c r="F16" s="27"/>
      <c r="G16" s="114">
        <f t="shared" si="0"/>
        <v>107.9</v>
      </c>
      <c r="H16" s="18"/>
      <c r="I16" s="7"/>
    </row>
    <row r="17" spans="1:9" ht="18" customHeight="1" x14ac:dyDescent="0.25">
      <c r="A17" s="14">
        <f t="shared" si="1"/>
        <v>9</v>
      </c>
      <c r="B17" s="8"/>
      <c r="C17" s="254"/>
      <c r="D17" s="133"/>
      <c r="E17" s="16"/>
      <c r="F17" s="27"/>
      <c r="G17" s="114">
        <f t="shared" si="0"/>
        <v>107.9</v>
      </c>
      <c r="H17" s="18"/>
      <c r="I17" s="7"/>
    </row>
    <row r="18" spans="1:9" ht="18" customHeight="1" x14ac:dyDescent="0.25">
      <c r="A18" s="14">
        <f t="shared" si="1"/>
        <v>10</v>
      </c>
      <c r="B18" s="8"/>
      <c r="C18" s="254"/>
      <c r="D18" s="133"/>
      <c r="E18" s="16"/>
      <c r="F18" s="27"/>
      <c r="G18" s="114">
        <f t="shared" si="0"/>
        <v>107.9</v>
      </c>
      <c r="H18" s="18"/>
      <c r="I18" s="7"/>
    </row>
    <row r="19" spans="1:9" ht="18" customHeight="1" x14ac:dyDescent="0.25">
      <c r="A19" s="14">
        <f t="shared" si="1"/>
        <v>11</v>
      </c>
      <c r="B19" s="8"/>
      <c r="C19" s="254"/>
      <c r="D19" s="133"/>
      <c r="E19" s="16"/>
      <c r="F19" s="27"/>
      <c r="G19" s="114">
        <f t="shared" si="0"/>
        <v>107.9</v>
      </c>
      <c r="H19" s="18"/>
      <c r="I19" s="7"/>
    </row>
    <row r="20" spans="1:9" ht="18" customHeight="1" x14ac:dyDescent="0.25">
      <c r="A20" s="14">
        <f t="shared" si="1"/>
        <v>12</v>
      </c>
      <c r="B20" s="8"/>
      <c r="C20" s="254"/>
      <c r="D20" s="133"/>
      <c r="E20" s="16"/>
      <c r="F20" s="27"/>
      <c r="G20" s="114">
        <f t="shared" si="0"/>
        <v>107.9</v>
      </c>
      <c r="H20" s="18"/>
      <c r="I20" s="7"/>
    </row>
    <row r="21" spans="1:9" ht="18" customHeight="1" x14ac:dyDescent="0.25">
      <c r="A21" s="14">
        <f t="shared" si="1"/>
        <v>13</v>
      </c>
      <c r="B21" s="8"/>
      <c r="C21" s="254"/>
      <c r="D21" s="133"/>
      <c r="E21" s="32"/>
      <c r="F21" s="27"/>
      <c r="G21" s="114">
        <f t="shared" si="0"/>
        <v>107.9</v>
      </c>
      <c r="H21" s="18"/>
      <c r="I21" s="7"/>
    </row>
    <row r="22" spans="1:9" ht="18" customHeight="1" x14ac:dyDescent="0.25">
      <c r="A22" s="14">
        <f t="shared" si="1"/>
        <v>14</v>
      </c>
      <c r="B22" s="8"/>
      <c r="C22" s="254"/>
      <c r="D22" s="133"/>
      <c r="E22" s="32"/>
      <c r="F22" s="27"/>
      <c r="G22" s="114">
        <f t="shared" si="0"/>
        <v>107.9</v>
      </c>
      <c r="H22" s="18"/>
      <c r="I22" s="7"/>
    </row>
    <row r="23" spans="1:9" ht="18" customHeight="1" x14ac:dyDescent="0.25">
      <c r="A23" s="14">
        <f t="shared" si="1"/>
        <v>15</v>
      </c>
      <c r="B23" s="8"/>
      <c r="C23" s="254"/>
      <c r="D23" s="133"/>
      <c r="E23" s="32"/>
      <c r="F23" s="27"/>
      <c r="G23" s="114">
        <f t="shared" si="0"/>
        <v>107.9</v>
      </c>
      <c r="H23" s="18"/>
      <c r="I23" s="7"/>
    </row>
    <row r="24" spans="1:9" ht="18" customHeight="1" x14ac:dyDescent="0.25">
      <c r="A24" s="14">
        <f t="shared" si="1"/>
        <v>16</v>
      </c>
      <c r="B24" s="8"/>
      <c r="C24" s="254"/>
      <c r="D24" s="133"/>
      <c r="E24" s="32"/>
      <c r="F24" s="167"/>
      <c r="G24" s="114">
        <f t="shared" si="0"/>
        <v>107.9</v>
      </c>
      <c r="H24" s="18"/>
      <c r="I24" s="7"/>
    </row>
    <row r="25" spans="1:9" ht="18" customHeight="1" x14ac:dyDescent="0.25">
      <c r="A25" s="14">
        <f t="shared" si="1"/>
        <v>17</v>
      </c>
      <c r="B25" s="8"/>
      <c r="C25" s="254"/>
      <c r="D25" s="133"/>
      <c r="E25" s="32"/>
      <c r="F25" s="27"/>
      <c r="G25" s="114">
        <f t="shared" si="0"/>
        <v>107.9</v>
      </c>
      <c r="H25" s="18"/>
      <c r="I25" s="7"/>
    </row>
    <row r="26" spans="1:9" ht="18" customHeight="1" x14ac:dyDescent="0.25">
      <c r="A26" s="14">
        <f t="shared" si="1"/>
        <v>18</v>
      </c>
      <c r="B26" s="8"/>
      <c r="C26" s="254"/>
      <c r="D26" s="133"/>
      <c r="E26" s="32"/>
      <c r="F26" s="27"/>
      <c r="G26" s="114">
        <f t="shared" si="0"/>
        <v>107.9</v>
      </c>
      <c r="H26" s="18"/>
      <c r="I26" s="7"/>
    </row>
    <row r="27" spans="1:9" ht="18" customHeight="1" x14ac:dyDescent="0.25">
      <c r="A27" s="14">
        <f t="shared" si="1"/>
        <v>19</v>
      </c>
      <c r="B27" s="8"/>
      <c r="C27" s="254"/>
      <c r="D27" s="133"/>
      <c r="E27" s="32"/>
      <c r="F27" s="27"/>
      <c r="G27" s="114">
        <f t="shared" si="0"/>
        <v>107.9</v>
      </c>
      <c r="H27" s="18"/>
      <c r="I27" s="7"/>
    </row>
    <row r="28" spans="1:9" ht="18" customHeight="1" x14ac:dyDescent="0.25">
      <c r="A28" s="14">
        <f t="shared" si="1"/>
        <v>20</v>
      </c>
      <c r="B28" s="8"/>
      <c r="C28" s="254"/>
      <c r="D28" s="133"/>
      <c r="E28" s="32"/>
      <c r="F28" s="27"/>
      <c r="G28" s="114">
        <f t="shared" si="0"/>
        <v>107.9</v>
      </c>
      <c r="H28" s="18"/>
      <c r="I28" s="7"/>
    </row>
    <row r="29" spans="1:9" ht="18" customHeight="1" x14ac:dyDescent="0.25">
      <c r="A29" s="14">
        <f t="shared" si="1"/>
        <v>21</v>
      </c>
      <c r="B29" s="37"/>
      <c r="C29" s="254"/>
      <c r="D29" s="133"/>
      <c r="E29" s="32"/>
      <c r="F29" s="40"/>
      <c r="G29" s="114">
        <f t="shared" si="0"/>
        <v>107.9</v>
      </c>
      <c r="H29" s="18"/>
      <c r="I29" s="7"/>
    </row>
    <row r="30" spans="1:9" ht="18" customHeight="1" x14ac:dyDescent="0.25">
      <c r="A30" s="14">
        <f t="shared" si="1"/>
        <v>22</v>
      </c>
      <c r="B30" s="37"/>
      <c r="C30" s="254"/>
      <c r="D30" s="133"/>
      <c r="E30" s="32"/>
      <c r="F30" s="40"/>
      <c r="G30" s="114">
        <f t="shared" si="0"/>
        <v>107.9</v>
      </c>
      <c r="H30" s="18"/>
      <c r="I30" s="7"/>
    </row>
    <row r="31" spans="1:9" ht="18" customHeight="1" x14ac:dyDescent="0.25">
      <c r="A31" s="14">
        <f t="shared" si="1"/>
        <v>23</v>
      </c>
      <c r="B31" s="37"/>
      <c r="C31" s="254"/>
      <c r="D31" s="133"/>
      <c r="E31" s="32"/>
      <c r="F31" s="27"/>
      <c r="G31" s="114">
        <f t="shared" si="0"/>
        <v>107.9</v>
      </c>
      <c r="H31" s="18"/>
      <c r="I31" s="7"/>
    </row>
    <row r="32" spans="1:9" ht="18" customHeight="1" x14ac:dyDescent="0.25">
      <c r="A32" s="14">
        <f t="shared" si="1"/>
        <v>24</v>
      </c>
      <c r="B32" s="37"/>
      <c r="C32" s="254"/>
      <c r="D32" s="133"/>
      <c r="E32" s="32"/>
      <c r="F32" s="27"/>
      <c r="G32" s="114">
        <f t="shared" si="0"/>
        <v>107.9</v>
      </c>
      <c r="H32" s="18"/>
      <c r="I32" s="7"/>
    </row>
    <row r="33" spans="1:9" ht="18" customHeight="1" x14ac:dyDescent="0.25">
      <c r="A33" s="14">
        <f t="shared" si="1"/>
        <v>25</v>
      </c>
      <c r="B33" s="37"/>
      <c r="C33" s="254"/>
      <c r="D33" s="133"/>
      <c r="E33" s="32"/>
      <c r="F33" s="27"/>
      <c r="G33" s="114">
        <f t="shared" si="0"/>
        <v>107.9</v>
      </c>
      <c r="H33" s="18"/>
      <c r="I33" s="7"/>
    </row>
    <row r="34" spans="1:9" ht="18" customHeight="1" x14ac:dyDescent="0.25">
      <c r="A34" s="14">
        <f t="shared" si="1"/>
        <v>26</v>
      </c>
      <c r="B34" s="37"/>
      <c r="C34" s="46"/>
      <c r="D34" s="10"/>
      <c r="E34" s="32"/>
      <c r="F34" s="27"/>
      <c r="G34" s="114">
        <f t="shared" si="0"/>
        <v>107.9</v>
      </c>
      <c r="H34" s="18"/>
      <c r="I34" s="7"/>
    </row>
    <row r="35" spans="1:9" ht="18" customHeight="1" x14ac:dyDescent="0.25">
      <c r="A35" s="7"/>
      <c r="B35" s="7"/>
      <c r="C35" s="34" t="s">
        <v>13</v>
      </c>
      <c r="D35" s="7"/>
      <c r="E35" s="35">
        <f>SUM(E8:E34)</f>
        <v>0</v>
      </c>
      <c r="F35" s="164">
        <f>SUM(F8:F34)</f>
        <v>10.3</v>
      </c>
      <c r="G35" s="35">
        <f>+E35-F35+G8</f>
        <v>107.9</v>
      </c>
      <c r="H35" s="35"/>
      <c r="I35" s="36"/>
    </row>
    <row r="36" spans="1:9" ht="18" customHeight="1" x14ac:dyDescent="0.25">
      <c r="G36" s="258"/>
    </row>
    <row r="39" spans="1:9" x14ac:dyDescent="0.25">
      <c r="E39" s="201"/>
      <c r="F39" s="201"/>
      <c r="G39" s="201"/>
      <c r="H39" s="201"/>
    </row>
    <row r="40" spans="1:9" x14ac:dyDescent="0.25">
      <c r="F40" s="26"/>
    </row>
    <row r="41" spans="1:9" x14ac:dyDescent="0.25">
      <c r="C41" t="s">
        <v>47</v>
      </c>
      <c r="E41" s="26"/>
      <c r="F41" s="26"/>
      <c r="G41" s="26"/>
      <c r="H41" s="26"/>
      <c r="I41" s="26"/>
    </row>
    <row r="42" spans="1:9" x14ac:dyDescent="0.25">
      <c r="I42" s="202"/>
    </row>
    <row r="43" spans="1:9" x14ac:dyDescent="0.25">
      <c r="E43" s="199"/>
    </row>
    <row r="44" spans="1:9" x14ac:dyDescent="0.25">
      <c r="E44" s="26"/>
      <c r="F44" s="26"/>
    </row>
    <row r="45" spans="1:9" x14ac:dyDescent="0.25">
      <c r="E45" s="203"/>
      <c r="F45" s="204"/>
      <c r="G45" s="203"/>
      <c r="H45" s="203"/>
    </row>
    <row r="46" spans="1:9" x14ac:dyDescent="0.25">
      <c r="F46" s="26"/>
    </row>
  </sheetData>
  <mergeCells count="1">
    <mergeCell ref="A4:I5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807-FBEC-40AA-B601-8DD6CA31DEBD}">
  <sheetPr codeName="Sheet119"/>
  <dimension ref="A1:J46"/>
  <sheetViews>
    <sheetView workbookViewId="0">
      <selection activeCell="E10" sqref="E10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2.5703125" customWidth="1"/>
    <col min="8" max="8" width="20.57031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+'[2]Phôi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>
        <v>50</v>
      </c>
      <c r="H8" s="7"/>
      <c r="I8" s="7"/>
    </row>
    <row r="9" spans="1:10" ht="18" customHeight="1" x14ac:dyDescent="0.25">
      <c r="A9" s="14">
        <v>1</v>
      </c>
      <c r="B9" s="8">
        <v>45720</v>
      </c>
      <c r="C9" s="254" t="s">
        <v>364</v>
      </c>
      <c r="D9" s="133" t="s">
        <v>23</v>
      </c>
      <c r="E9" s="51"/>
      <c r="F9" s="27">
        <v>25</v>
      </c>
      <c r="G9" s="114">
        <f t="shared" ref="G9:G34" si="0">+G8+E9-F9</f>
        <v>25</v>
      </c>
      <c r="H9" s="28" t="s">
        <v>91</v>
      </c>
      <c r="I9" s="7" t="s">
        <v>90</v>
      </c>
    </row>
    <row r="10" spans="1:10" ht="18" customHeight="1" x14ac:dyDescent="0.25">
      <c r="A10" s="14">
        <f t="shared" ref="A10:A34" si="1">+A9+1</f>
        <v>2</v>
      </c>
      <c r="B10" s="8">
        <v>45720</v>
      </c>
      <c r="C10" s="254"/>
      <c r="D10" s="133" t="s">
        <v>23</v>
      </c>
      <c r="E10" s="16">
        <f>5*25</f>
        <v>125</v>
      </c>
      <c r="F10" s="27"/>
      <c r="G10" s="114">
        <f t="shared" si="0"/>
        <v>150</v>
      </c>
      <c r="H10" s="28" t="s">
        <v>91</v>
      </c>
      <c r="I10" s="7" t="s">
        <v>90</v>
      </c>
    </row>
    <row r="11" spans="1:10" ht="18" customHeight="1" x14ac:dyDescent="0.25">
      <c r="A11" s="14">
        <f t="shared" si="1"/>
        <v>3</v>
      </c>
      <c r="B11" s="8">
        <v>45721</v>
      </c>
      <c r="C11" s="254"/>
      <c r="D11" s="133" t="s">
        <v>23</v>
      </c>
      <c r="E11" s="16"/>
      <c r="F11" s="125">
        <f>2*25</f>
        <v>50</v>
      </c>
      <c r="G11" s="114">
        <f t="shared" si="0"/>
        <v>100</v>
      </c>
      <c r="H11" s="28"/>
      <c r="I11" s="7"/>
    </row>
    <row r="12" spans="1:10" ht="18" customHeight="1" x14ac:dyDescent="0.25">
      <c r="A12" s="14">
        <f t="shared" si="1"/>
        <v>4</v>
      </c>
      <c r="B12" s="8">
        <v>45790</v>
      </c>
      <c r="C12" s="254"/>
      <c r="D12" s="133" t="s">
        <v>23</v>
      </c>
      <c r="E12" s="16"/>
      <c r="F12" s="125">
        <v>25</v>
      </c>
      <c r="G12" s="114">
        <f t="shared" si="0"/>
        <v>75</v>
      </c>
      <c r="H12" s="28"/>
      <c r="I12" s="7"/>
    </row>
    <row r="13" spans="1:10" ht="18" customHeight="1" x14ac:dyDescent="0.25">
      <c r="A13" s="14">
        <f t="shared" si="1"/>
        <v>5</v>
      </c>
      <c r="B13" s="205">
        <v>45807</v>
      </c>
      <c r="C13" s="254"/>
      <c r="D13" s="133" t="s">
        <v>23</v>
      </c>
      <c r="E13" s="16"/>
      <c r="F13" s="125">
        <v>25</v>
      </c>
      <c r="G13" s="114">
        <f t="shared" si="0"/>
        <v>50</v>
      </c>
      <c r="H13" s="28"/>
      <c r="I13" s="7"/>
    </row>
    <row r="14" spans="1:10" ht="18" customHeight="1" x14ac:dyDescent="0.25">
      <c r="A14" s="14">
        <f t="shared" si="1"/>
        <v>6</v>
      </c>
      <c r="B14" s="205">
        <v>45822</v>
      </c>
      <c r="C14" s="254"/>
      <c r="D14" s="133" t="s">
        <v>23</v>
      </c>
      <c r="E14" s="16"/>
      <c r="F14" s="125">
        <v>25</v>
      </c>
      <c r="G14" s="114">
        <f t="shared" si="0"/>
        <v>25</v>
      </c>
      <c r="H14" s="28"/>
      <c r="I14" s="7"/>
      <c r="J14" s="26"/>
    </row>
    <row r="15" spans="1:10" ht="18" customHeight="1" x14ac:dyDescent="0.25">
      <c r="A15" s="14">
        <f t="shared" si="1"/>
        <v>7</v>
      </c>
      <c r="B15" s="8">
        <v>45873</v>
      </c>
      <c r="C15" s="254"/>
      <c r="D15" s="133" t="s">
        <v>23</v>
      </c>
      <c r="E15" s="16"/>
      <c r="F15" s="27">
        <v>25</v>
      </c>
      <c r="G15" s="114">
        <f t="shared" si="0"/>
        <v>0</v>
      </c>
      <c r="H15" s="18"/>
      <c r="I15" s="7"/>
    </row>
    <row r="16" spans="1:10" ht="18" customHeight="1" x14ac:dyDescent="0.25">
      <c r="A16" s="14">
        <f t="shared" si="1"/>
        <v>8</v>
      </c>
      <c r="B16" s="8"/>
      <c r="C16" s="254"/>
      <c r="D16" s="133" t="s">
        <v>23</v>
      </c>
      <c r="E16" s="16"/>
      <c r="F16" s="27"/>
      <c r="G16" s="114">
        <f t="shared" si="0"/>
        <v>0</v>
      </c>
      <c r="H16" s="18"/>
      <c r="I16" s="7"/>
    </row>
    <row r="17" spans="1:9" ht="18" customHeight="1" x14ac:dyDescent="0.25">
      <c r="A17" s="14">
        <f t="shared" si="1"/>
        <v>9</v>
      </c>
      <c r="B17" s="8"/>
      <c r="C17" s="254"/>
      <c r="D17" s="133"/>
      <c r="E17" s="16"/>
      <c r="F17" s="27"/>
      <c r="G17" s="114">
        <f t="shared" si="0"/>
        <v>0</v>
      </c>
      <c r="H17" s="18"/>
      <c r="I17" s="7"/>
    </row>
    <row r="18" spans="1:9" ht="18" customHeight="1" x14ac:dyDescent="0.25">
      <c r="A18" s="14">
        <f t="shared" si="1"/>
        <v>10</v>
      </c>
      <c r="B18" s="8"/>
      <c r="C18" s="254"/>
      <c r="D18" s="133"/>
      <c r="E18" s="16"/>
      <c r="F18" s="27"/>
      <c r="G18" s="114">
        <f t="shared" si="0"/>
        <v>0</v>
      </c>
      <c r="H18" s="18"/>
      <c r="I18" s="7"/>
    </row>
    <row r="19" spans="1:9" ht="18" customHeight="1" x14ac:dyDescent="0.25">
      <c r="A19" s="14">
        <f t="shared" si="1"/>
        <v>11</v>
      </c>
      <c r="B19" s="8"/>
      <c r="C19" s="254"/>
      <c r="D19" s="133"/>
      <c r="E19" s="16"/>
      <c r="F19" s="27"/>
      <c r="G19" s="114">
        <f t="shared" si="0"/>
        <v>0</v>
      </c>
      <c r="H19" s="18"/>
      <c r="I19" s="7"/>
    </row>
    <row r="20" spans="1:9" ht="18" customHeight="1" x14ac:dyDescent="0.25">
      <c r="A20" s="14">
        <f t="shared" si="1"/>
        <v>12</v>
      </c>
      <c r="B20" s="8"/>
      <c r="C20" s="254"/>
      <c r="D20" s="133"/>
      <c r="E20" s="16"/>
      <c r="F20" s="27"/>
      <c r="G20" s="114">
        <f t="shared" si="0"/>
        <v>0</v>
      </c>
      <c r="H20" s="18"/>
      <c r="I20" s="7"/>
    </row>
    <row r="21" spans="1:9" ht="18" customHeight="1" x14ac:dyDescent="0.25">
      <c r="A21" s="14">
        <f t="shared" si="1"/>
        <v>13</v>
      </c>
      <c r="B21" s="8"/>
      <c r="C21" s="254"/>
      <c r="D21" s="133"/>
      <c r="E21" s="32"/>
      <c r="F21" s="27"/>
      <c r="G21" s="114">
        <f t="shared" si="0"/>
        <v>0</v>
      </c>
      <c r="H21" s="18"/>
      <c r="I21" s="7"/>
    </row>
    <row r="22" spans="1:9" ht="18" customHeight="1" x14ac:dyDescent="0.25">
      <c r="A22" s="14">
        <f t="shared" si="1"/>
        <v>14</v>
      </c>
      <c r="B22" s="8"/>
      <c r="C22" s="254"/>
      <c r="D22" s="133"/>
      <c r="E22" s="32"/>
      <c r="F22" s="27"/>
      <c r="G22" s="114">
        <f t="shared" si="0"/>
        <v>0</v>
      </c>
      <c r="H22" s="18"/>
      <c r="I22" s="7"/>
    </row>
    <row r="23" spans="1:9" ht="18" customHeight="1" x14ac:dyDescent="0.25">
      <c r="A23" s="14">
        <f t="shared" si="1"/>
        <v>15</v>
      </c>
      <c r="B23" s="8"/>
      <c r="C23" s="254"/>
      <c r="D23" s="133"/>
      <c r="E23" s="32"/>
      <c r="F23" s="27"/>
      <c r="G23" s="114">
        <f t="shared" si="0"/>
        <v>0</v>
      </c>
      <c r="H23" s="18"/>
      <c r="I23" s="7"/>
    </row>
    <row r="24" spans="1:9" ht="18" customHeight="1" x14ac:dyDescent="0.25">
      <c r="A24" s="14">
        <f t="shared" si="1"/>
        <v>16</v>
      </c>
      <c r="B24" s="8"/>
      <c r="C24" s="254"/>
      <c r="D24" s="133"/>
      <c r="E24" s="32"/>
      <c r="F24" s="167"/>
      <c r="G24" s="114">
        <f t="shared" si="0"/>
        <v>0</v>
      </c>
      <c r="H24" s="18"/>
      <c r="I24" s="7"/>
    </row>
    <row r="25" spans="1:9" ht="18" customHeight="1" x14ac:dyDescent="0.25">
      <c r="A25" s="14">
        <f t="shared" si="1"/>
        <v>17</v>
      </c>
      <c r="B25" s="8"/>
      <c r="C25" s="254"/>
      <c r="D25" s="133"/>
      <c r="E25" s="32"/>
      <c r="F25" s="27"/>
      <c r="G25" s="114">
        <f t="shared" si="0"/>
        <v>0</v>
      </c>
      <c r="H25" s="18"/>
      <c r="I25" s="7"/>
    </row>
    <row r="26" spans="1:9" ht="18" customHeight="1" x14ac:dyDescent="0.25">
      <c r="A26" s="14">
        <f t="shared" si="1"/>
        <v>18</v>
      </c>
      <c r="B26" s="8"/>
      <c r="C26" s="254"/>
      <c r="D26" s="133"/>
      <c r="E26" s="32"/>
      <c r="F26" s="27"/>
      <c r="G26" s="114">
        <f t="shared" si="0"/>
        <v>0</v>
      </c>
      <c r="H26" s="18"/>
      <c r="I26" s="7"/>
    </row>
    <row r="27" spans="1:9" ht="18" customHeight="1" x14ac:dyDescent="0.25">
      <c r="A27" s="14">
        <f t="shared" si="1"/>
        <v>19</v>
      </c>
      <c r="B27" s="8"/>
      <c r="C27" s="254"/>
      <c r="D27" s="133"/>
      <c r="E27" s="32"/>
      <c r="F27" s="27"/>
      <c r="G27" s="114">
        <f t="shared" si="0"/>
        <v>0</v>
      </c>
      <c r="H27" s="18"/>
      <c r="I27" s="7"/>
    </row>
    <row r="28" spans="1:9" ht="18" customHeight="1" x14ac:dyDescent="0.25">
      <c r="A28" s="14">
        <f t="shared" si="1"/>
        <v>20</v>
      </c>
      <c r="B28" s="8"/>
      <c r="C28" s="254"/>
      <c r="D28" s="133"/>
      <c r="E28" s="32"/>
      <c r="F28" s="27"/>
      <c r="G28" s="114">
        <f t="shared" si="0"/>
        <v>0</v>
      </c>
      <c r="H28" s="18"/>
      <c r="I28" s="7"/>
    </row>
    <row r="29" spans="1:9" ht="18" customHeight="1" x14ac:dyDescent="0.25">
      <c r="A29" s="14">
        <f t="shared" si="1"/>
        <v>21</v>
      </c>
      <c r="B29" s="37"/>
      <c r="C29" s="254"/>
      <c r="D29" s="133"/>
      <c r="E29" s="32"/>
      <c r="F29" s="40"/>
      <c r="G29" s="114">
        <f t="shared" si="0"/>
        <v>0</v>
      </c>
      <c r="H29" s="18"/>
      <c r="I29" s="7"/>
    </row>
    <row r="30" spans="1:9" ht="18" customHeight="1" x14ac:dyDescent="0.25">
      <c r="A30" s="14">
        <f t="shared" si="1"/>
        <v>22</v>
      </c>
      <c r="B30" s="37"/>
      <c r="C30" s="254"/>
      <c r="D30" s="133"/>
      <c r="E30" s="32"/>
      <c r="F30" s="40"/>
      <c r="G30" s="114">
        <f t="shared" si="0"/>
        <v>0</v>
      </c>
      <c r="H30" s="18"/>
      <c r="I30" s="7"/>
    </row>
    <row r="31" spans="1:9" ht="18" customHeight="1" x14ac:dyDescent="0.25">
      <c r="A31" s="14">
        <f t="shared" si="1"/>
        <v>23</v>
      </c>
      <c r="B31" s="37"/>
      <c r="C31" s="254"/>
      <c r="D31" s="133"/>
      <c r="E31" s="32"/>
      <c r="F31" s="27"/>
      <c r="G31" s="114">
        <f t="shared" si="0"/>
        <v>0</v>
      </c>
      <c r="H31" s="18"/>
      <c r="I31" s="7"/>
    </row>
    <row r="32" spans="1:9" ht="18" customHeight="1" x14ac:dyDescent="0.25">
      <c r="A32" s="14">
        <f t="shared" si="1"/>
        <v>24</v>
      </c>
      <c r="B32" s="37"/>
      <c r="C32" s="254"/>
      <c r="D32" s="133"/>
      <c r="E32" s="32"/>
      <c r="F32" s="27"/>
      <c r="G32" s="114">
        <f t="shared" si="0"/>
        <v>0</v>
      </c>
      <c r="H32" s="18"/>
      <c r="I32" s="7"/>
    </row>
    <row r="33" spans="1:9" ht="18" customHeight="1" x14ac:dyDescent="0.25">
      <c r="A33" s="14">
        <f t="shared" si="1"/>
        <v>25</v>
      </c>
      <c r="B33" s="37"/>
      <c r="C33" s="254"/>
      <c r="D33" s="133"/>
      <c r="E33" s="32"/>
      <c r="F33" s="27"/>
      <c r="G33" s="114">
        <f t="shared" si="0"/>
        <v>0</v>
      </c>
      <c r="H33" s="18"/>
      <c r="I33" s="7"/>
    </row>
    <row r="34" spans="1:9" ht="18" customHeight="1" x14ac:dyDescent="0.25">
      <c r="A34" s="14">
        <f t="shared" si="1"/>
        <v>26</v>
      </c>
      <c r="B34" s="37"/>
      <c r="C34" s="46"/>
      <c r="D34" s="10"/>
      <c r="E34" s="32"/>
      <c r="F34" s="27"/>
      <c r="G34" s="114">
        <f t="shared" si="0"/>
        <v>0</v>
      </c>
      <c r="H34" s="18"/>
      <c r="I34" s="7"/>
    </row>
    <row r="35" spans="1:9" ht="18" customHeight="1" x14ac:dyDescent="0.25">
      <c r="A35" s="7"/>
      <c r="B35" s="7"/>
      <c r="C35" s="34" t="s">
        <v>13</v>
      </c>
      <c r="D35" s="7"/>
      <c r="E35" s="35">
        <f>SUM(E8:E34)</f>
        <v>125</v>
      </c>
      <c r="F35" s="164">
        <f>SUM(F8:F34)</f>
        <v>175</v>
      </c>
      <c r="G35" s="35">
        <f>+E35-F35+G8</f>
        <v>0</v>
      </c>
      <c r="H35" s="35"/>
      <c r="I35" s="36"/>
    </row>
    <row r="36" spans="1:9" ht="18" customHeight="1" x14ac:dyDescent="0.25">
      <c r="G36" s="258"/>
    </row>
    <row r="39" spans="1:9" x14ac:dyDescent="0.25">
      <c r="E39" s="201"/>
      <c r="F39" s="201"/>
      <c r="G39" s="201"/>
      <c r="H39" s="201"/>
    </row>
    <row r="40" spans="1:9" x14ac:dyDescent="0.25">
      <c r="F40" s="26"/>
    </row>
    <row r="41" spans="1:9" x14ac:dyDescent="0.25">
      <c r="C41" t="s">
        <v>47</v>
      </c>
      <c r="E41" s="26"/>
      <c r="F41" s="26"/>
      <c r="G41" s="26"/>
      <c r="H41" s="26"/>
      <c r="I41" s="26"/>
    </row>
    <row r="42" spans="1:9" x14ac:dyDescent="0.25">
      <c r="I42" s="202"/>
    </row>
    <row r="43" spans="1:9" x14ac:dyDescent="0.25">
      <c r="E43" s="199"/>
    </row>
    <row r="44" spans="1:9" x14ac:dyDescent="0.25">
      <c r="E44" s="26"/>
      <c r="F44" s="26"/>
    </row>
    <row r="45" spans="1:9" x14ac:dyDescent="0.25">
      <c r="E45" s="203"/>
      <c r="F45" s="204"/>
      <c r="G45" s="203"/>
      <c r="H45" s="203"/>
    </row>
    <row r="46" spans="1:9" x14ac:dyDescent="0.25">
      <c r="F46" s="26"/>
    </row>
  </sheetData>
  <mergeCells count="1">
    <mergeCell ref="A4:I5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78EA-5F15-417D-AAC7-44ACD6404832}">
  <sheetPr codeName="Sheet120"/>
  <dimension ref="A1:K46"/>
  <sheetViews>
    <sheetView workbookViewId="0">
      <selection activeCell="F15" sqref="F15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2.5703125" customWidth="1"/>
    <col min="8" max="8" width="20.57031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+'[2]Phôi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>
        <v>50</v>
      </c>
      <c r="H8" s="7"/>
      <c r="I8" s="7"/>
    </row>
    <row r="9" spans="1:10" ht="18" customHeight="1" x14ac:dyDescent="0.25">
      <c r="A9" s="14">
        <v>1</v>
      </c>
      <c r="B9" s="8">
        <v>45735</v>
      </c>
      <c r="C9" s="254" t="s">
        <v>375</v>
      </c>
      <c r="D9" s="133" t="s">
        <v>23</v>
      </c>
      <c r="E9" s="51">
        <v>100</v>
      </c>
      <c r="F9" s="27"/>
      <c r="G9" s="114">
        <f t="shared" ref="G9:G34" si="0">+G8+E9-F9</f>
        <v>150</v>
      </c>
      <c r="H9" s="28" t="s">
        <v>91</v>
      </c>
      <c r="I9" s="7" t="s">
        <v>90</v>
      </c>
    </row>
    <row r="10" spans="1:10" ht="18" customHeight="1" x14ac:dyDescent="0.25">
      <c r="A10" s="14">
        <f t="shared" ref="A10:A34" si="1">+A9+1</f>
        <v>2</v>
      </c>
      <c r="B10" s="8">
        <v>45876</v>
      </c>
      <c r="C10" s="254"/>
      <c r="D10" s="133" t="s">
        <v>23</v>
      </c>
      <c r="E10" s="16"/>
      <c r="F10" s="27">
        <v>25</v>
      </c>
      <c r="G10" s="114">
        <f t="shared" si="0"/>
        <v>125</v>
      </c>
      <c r="H10" s="28" t="s">
        <v>91</v>
      </c>
      <c r="I10" s="7" t="s">
        <v>90</v>
      </c>
    </row>
    <row r="11" spans="1:10" ht="18" customHeight="1" x14ac:dyDescent="0.25">
      <c r="A11" s="14">
        <f t="shared" si="1"/>
        <v>3</v>
      </c>
      <c r="B11" s="8">
        <v>45877</v>
      </c>
      <c r="C11" s="254"/>
      <c r="D11" s="133" t="s">
        <v>23</v>
      </c>
      <c r="E11" s="16"/>
      <c r="F11" s="125">
        <v>50</v>
      </c>
      <c r="G11" s="114">
        <f t="shared" si="0"/>
        <v>75</v>
      </c>
      <c r="H11" s="28"/>
      <c r="I11" s="7"/>
    </row>
    <row r="12" spans="1:10" ht="18" customHeight="1" x14ac:dyDescent="0.25">
      <c r="A12" s="14">
        <f t="shared" si="1"/>
        <v>4</v>
      </c>
      <c r="B12" s="8">
        <v>45883</v>
      </c>
      <c r="C12" s="254"/>
      <c r="D12" s="133" t="s">
        <v>23</v>
      </c>
      <c r="E12" s="16"/>
      <c r="F12" s="125">
        <v>25</v>
      </c>
      <c r="G12" s="114">
        <f t="shared" si="0"/>
        <v>50</v>
      </c>
      <c r="H12" s="28"/>
      <c r="I12" s="7"/>
    </row>
    <row r="13" spans="1:10" ht="18" customHeight="1" x14ac:dyDescent="0.25">
      <c r="A13" s="14">
        <f t="shared" si="1"/>
        <v>5</v>
      </c>
      <c r="B13" s="205">
        <v>45919</v>
      </c>
      <c r="C13" s="254"/>
      <c r="D13" s="133" t="s">
        <v>23</v>
      </c>
      <c r="E13" s="16"/>
      <c r="F13" s="125">
        <v>25</v>
      </c>
      <c r="G13" s="114">
        <f t="shared" si="0"/>
        <v>25</v>
      </c>
      <c r="H13" s="28"/>
      <c r="I13" s="7"/>
    </row>
    <row r="14" spans="1:10" ht="18" customHeight="1" x14ac:dyDescent="0.25">
      <c r="A14" s="14">
        <f t="shared" si="1"/>
        <v>6</v>
      </c>
      <c r="B14" s="205"/>
      <c r="C14" s="254"/>
      <c r="D14" s="133" t="s">
        <v>23</v>
      </c>
      <c r="E14" s="16"/>
      <c r="F14" s="125">
        <v>25</v>
      </c>
      <c r="G14" s="114">
        <f t="shared" si="0"/>
        <v>0</v>
      </c>
      <c r="H14" s="28"/>
      <c r="I14" s="7"/>
      <c r="J14" s="26"/>
    </row>
    <row r="15" spans="1:10" ht="18" customHeight="1" x14ac:dyDescent="0.25">
      <c r="A15" s="14">
        <f t="shared" si="1"/>
        <v>7</v>
      </c>
      <c r="B15" s="8"/>
      <c r="C15" s="254"/>
      <c r="D15" s="133" t="s">
        <v>23</v>
      </c>
      <c r="E15" s="16"/>
      <c r="F15" s="27"/>
      <c r="G15" s="114">
        <f t="shared" si="0"/>
        <v>0</v>
      </c>
      <c r="H15" s="18"/>
      <c r="I15" s="7"/>
    </row>
    <row r="16" spans="1:10" ht="18" customHeight="1" x14ac:dyDescent="0.25">
      <c r="A16" s="14">
        <f t="shared" si="1"/>
        <v>8</v>
      </c>
      <c r="B16" s="8"/>
      <c r="C16" s="254"/>
      <c r="D16" s="133" t="s">
        <v>23</v>
      </c>
      <c r="E16" s="16"/>
      <c r="F16" s="27"/>
      <c r="G16" s="114">
        <f t="shared" si="0"/>
        <v>0</v>
      </c>
      <c r="H16" s="18"/>
      <c r="I16" s="7"/>
    </row>
    <row r="17" spans="1:11" ht="18" customHeight="1" x14ac:dyDescent="0.25">
      <c r="A17" s="14">
        <f t="shared" si="1"/>
        <v>9</v>
      </c>
      <c r="B17" s="8"/>
      <c r="C17" s="254"/>
      <c r="D17" s="133"/>
      <c r="E17" s="16"/>
      <c r="F17" s="27"/>
      <c r="G17" s="114">
        <f t="shared" si="0"/>
        <v>0</v>
      </c>
      <c r="H17" s="18"/>
      <c r="I17" s="7"/>
      <c r="K17">
        <f>125/25</f>
        <v>5</v>
      </c>
    </row>
    <row r="18" spans="1:11" ht="18" customHeight="1" x14ac:dyDescent="0.25">
      <c r="A18" s="14">
        <f t="shared" si="1"/>
        <v>10</v>
      </c>
      <c r="B18" s="8"/>
      <c r="C18" s="254"/>
      <c r="D18" s="133"/>
      <c r="E18" s="16"/>
      <c r="F18" s="27"/>
      <c r="G18" s="114">
        <f t="shared" si="0"/>
        <v>0</v>
      </c>
      <c r="H18" s="18"/>
      <c r="I18" s="7"/>
    </row>
    <row r="19" spans="1:11" ht="18" customHeight="1" x14ac:dyDescent="0.25">
      <c r="A19" s="14">
        <f t="shared" si="1"/>
        <v>11</v>
      </c>
      <c r="B19" s="8"/>
      <c r="C19" s="254"/>
      <c r="D19" s="133"/>
      <c r="E19" s="16"/>
      <c r="F19" s="27"/>
      <c r="G19" s="114">
        <f t="shared" si="0"/>
        <v>0</v>
      </c>
      <c r="H19" s="18"/>
      <c r="I19" s="7"/>
    </row>
    <row r="20" spans="1:11" ht="18" customHeight="1" x14ac:dyDescent="0.25">
      <c r="A20" s="14">
        <f t="shared" si="1"/>
        <v>12</v>
      </c>
      <c r="B20" s="8"/>
      <c r="C20" s="254"/>
      <c r="D20" s="133"/>
      <c r="E20" s="16"/>
      <c r="F20" s="27"/>
      <c r="G20" s="114">
        <f t="shared" si="0"/>
        <v>0</v>
      </c>
      <c r="H20" s="18"/>
      <c r="I20" s="7"/>
    </row>
    <row r="21" spans="1:11" ht="18" customHeight="1" x14ac:dyDescent="0.25">
      <c r="A21" s="14">
        <f t="shared" si="1"/>
        <v>13</v>
      </c>
      <c r="B21" s="8"/>
      <c r="C21" s="254"/>
      <c r="D21" s="133"/>
      <c r="E21" s="32"/>
      <c r="F21" s="27"/>
      <c r="G21" s="114">
        <f t="shared" si="0"/>
        <v>0</v>
      </c>
      <c r="H21" s="18"/>
      <c r="I21" s="7"/>
    </row>
    <row r="22" spans="1:11" ht="18" customHeight="1" x14ac:dyDescent="0.25">
      <c r="A22" s="14">
        <f t="shared" si="1"/>
        <v>14</v>
      </c>
      <c r="B22" s="8"/>
      <c r="C22" s="254"/>
      <c r="D22" s="133"/>
      <c r="E22" s="32"/>
      <c r="F22" s="27"/>
      <c r="G22" s="114">
        <f t="shared" si="0"/>
        <v>0</v>
      </c>
      <c r="H22" s="18"/>
      <c r="I22" s="7"/>
    </row>
    <row r="23" spans="1:11" ht="18" customHeight="1" x14ac:dyDescent="0.25">
      <c r="A23" s="14">
        <f t="shared" si="1"/>
        <v>15</v>
      </c>
      <c r="B23" s="8"/>
      <c r="C23" s="254"/>
      <c r="D23" s="133"/>
      <c r="E23" s="32"/>
      <c r="F23" s="27"/>
      <c r="G23" s="114">
        <f t="shared" si="0"/>
        <v>0</v>
      </c>
      <c r="H23" s="18"/>
      <c r="I23" s="7"/>
    </row>
    <row r="24" spans="1:11" ht="18" customHeight="1" x14ac:dyDescent="0.25">
      <c r="A24" s="14">
        <f t="shared" si="1"/>
        <v>16</v>
      </c>
      <c r="B24" s="8"/>
      <c r="C24" s="254"/>
      <c r="D24" s="133"/>
      <c r="E24" s="32"/>
      <c r="F24" s="167"/>
      <c r="G24" s="114">
        <f t="shared" si="0"/>
        <v>0</v>
      </c>
      <c r="H24" s="18"/>
      <c r="I24" s="7"/>
    </row>
    <row r="25" spans="1:11" ht="18" customHeight="1" x14ac:dyDescent="0.25">
      <c r="A25" s="14">
        <f t="shared" si="1"/>
        <v>17</v>
      </c>
      <c r="B25" s="8"/>
      <c r="C25" s="254"/>
      <c r="D25" s="133"/>
      <c r="E25" s="32"/>
      <c r="F25" s="27"/>
      <c r="G25" s="114">
        <f t="shared" si="0"/>
        <v>0</v>
      </c>
      <c r="H25" s="18"/>
      <c r="I25" s="7"/>
    </row>
    <row r="26" spans="1:11" ht="18" customHeight="1" x14ac:dyDescent="0.25">
      <c r="A26" s="14">
        <f t="shared" si="1"/>
        <v>18</v>
      </c>
      <c r="B26" s="8"/>
      <c r="C26" s="254"/>
      <c r="D26" s="133"/>
      <c r="E26" s="32"/>
      <c r="F26" s="27"/>
      <c r="G26" s="114">
        <f t="shared" si="0"/>
        <v>0</v>
      </c>
      <c r="H26" s="18"/>
      <c r="I26" s="7"/>
    </row>
    <row r="27" spans="1:11" ht="18" customHeight="1" x14ac:dyDescent="0.25">
      <c r="A27" s="14">
        <f t="shared" si="1"/>
        <v>19</v>
      </c>
      <c r="B27" s="8"/>
      <c r="C27" s="254"/>
      <c r="D27" s="133"/>
      <c r="E27" s="32"/>
      <c r="F27" s="27"/>
      <c r="G27" s="114">
        <f t="shared" si="0"/>
        <v>0</v>
      </c>
      <c r="H27" s="18"/>
      <c r="I27" s="7"/>
    </row>
    <row r="28" spans="1:11" ht="18" customHeight="1" x14ac:dyDescent="0.25">
      <c r="A28" s="14">
        <f t="shared" si="1"/>
        <v>20</v>
      </c>
      <c r="B28" s="8"/>
      <c r="C28" s="254"/>
      <c r="D28" s="133"/>
      <c r="E28" s="32"/>
      <c r="F28" s="27"/>
      <c r="G28" s="114">
        <f t="shared" si="0"/>
        <v>0</v>
      </c>
      <c r="H28" s="18"/>
      <c r="I28" s="7"/>
    </row>
    <row r="29" spans="1:11" ht="18" customHeight="1" x14ac:dyDescent="0.25">
      <c r="A29" s="14">
        <f t="shared" si="1"/>
        <v>21</v>
      </c>
      <c r="B29" s="37"/>
      <c r="C29" s="254"/>
      <c r="D29" s="133"/>
      <c r="E29" s="32"/>
      <c r="F29" s="40"/>
      <c r="G29" s="114">
        <f t="shared" si="0"/>
        <v>0</v>
      </c>
      <c r="H29" s="18"/>
      <c r="I29" s="7"/>
    </row>
    <row r="30" spans="1:11" ht="18" customHeight="1" x14ac:dyDescent="0.25">
      <c r="A30" s="14">
        <f t="shared" si="1"/>
        <v>22</v>
      </c>
      <c r="B30" s="37"/>
      <c r="C30" s="254"/>
      <c r="D30" s="133"/>
      <c r="E30" s="32"/>
      <c r="F30" s="40"/>
      <c r="G30" s="114">
        <f t="shared" si="0"/>
        <v>0</v>
      </c>
      <c r="H30" s="18"/>
      <c r="I30" s="7"/>
    </row>
    <row r="31" spans="1:11" ht="18" customHeight="1" x14ac:dyDescent="0.25">
      <c r="A31" s="14">
        <f t="shared" si="1"/>
        <v>23</v>
      </c>
      <c r="B31" s="37"/>
      <c r="C31" s="254"/>
      <c r="D31" s="133"/>
      <c r="E31" s="32"/>
      <c r="F31" s="27"/>
      <c r="G31" s="114">
        <f t="shared" si="0"/>
        <v>0</v>
      </c>
      <c r="H31" s="18"/>
      <c r="I31" s="7"/>
    </row>
    <row r="32" spans="1:11" ht="18" customHeight="1" x14ac:dyDescent="0.25">
      <c r="A32" s="14">
        <f t="shared" si="1"/>
        <v>24</v>
      </c>
      <c r="B32" s="37"/>
      <c r="C32" s="254"/>
      <c r="D32" s="133"/>
      <c r="E32" s="32"/>
      <c r="F32" s="27"/>
      <c r="G32" s="114">
        <f t="shared" si="0"/>
        <v>0</v>
      </c>
      <c r="H32" s="18"/>
      <c r="I32" s="7"/>
    </row>
    <row r="33" spans="1:9" ht="18" customHeight="1" x14ac:dyDescent="0.25">
      <c r="A33" s="14">
        <f t="shared" si="1"/>
        <v>25</v>
      </c>
      <c r="B33" s="37"/>
      <c r="C33" s="254"/>
      <c r="D33" s="133"/>
      <c r="E33" s="32"/>
      <c r="F33" s="27"/>
      <c r="G33" s="114">
        <f t="shared" si="0"/>
        <v>0</v>
      </c>
      <c r="H33" s="18"/>
      <c r="I33" s="7"/>
    </row>
    <row r="34" spans="1:9" ht="18" customHeight="1" x14ac:dyDescent="0.25">
      <c r="A34" s="14">
        <f t="shared" si="1"/>
        <v>26</v>
      </c>
      <c r="B34" s="37"/>
      <c r="C34" s="46"/>
      <c r="D34" s="10"/>
      <c r="E34" s="32"/>
      <c r="F34" s="27"/>
      <c r="G34" s="114">
        <f t="shared" si="0"/>
        <v>0</v>
      </c>
      <c r="H34" s="18"/>
      <c r="I34" s="7"/>
    </row>
    <row r="35" spans="1:9" ht="18" customHeight="1" x14ac:dyDescent="0.25">
      <c r="A35" s="7"/>
      <c r="B35" s="7"/>
      <c r="C35" s="34" t="s">
        <v>13</v>
      </c>
      <c r="D35" s="7"/>
      <c r="E35" s="35">
        <f>SUM(E8:E34)</f>
        <v>100</v>
      </c>
      <c r="F35" s="164">
        <f>SUM(F8:F34)</f>
        <v>150</v>
      </c>
      <c r="G35" s="35">
        <f>+E35-F35+G8</f>
        <v>0</v>
      </c>
      <c r="H35" s="35"/>
      <c r="I35" s="36"/>
    </row>
    <row r="36" spans="1:9" ht="18" customHeight="1" x14ac:dyDescent="0.25">
      <c r="G36" s="258"/>
    </row>
    <row r="39" spans="1:9" x14ac:dyDescent="0.25">
      <c r="E39" s="201"/>
      <c r="F39" s="201"/>
      <c r="G39" s="201"/>
      <c r="H39" s="201"/>
    </row>
    <row r="40" spans="1:9" x14ac:dyDescent="0.25">
      <c r="F40" s="26"/>
    </row>
    <row r="41" spans="1:9" x14ac:dyDescent="0.25">
      <c r="C41" t="s">
        <v>47</v>
      </c>
      <c r="E41" s="26"/>
      <c r="F41" s="26"/>
      <c r="G41" s="26"/>
      <c r="H41" s="26"/>
      <c r="I41" s="26"/>
    </row>
    <row r="42" spans="1:9" x14ac:dyDescent="0.25">
      <c r="I42" s="202"/>
    </row>
    <row r="43" spans="1:9" x14ac:dyDescent="0.25">
      <c r="E43" s="199"/>
    </row>
    <row r="44" spans="1:9" x14ac:dyDescent="0.25">
      <c r="E44" s="26"/>
      <c r="F44" s="26"/>
    </row>
    <row r="45" spans="1:9" x14ac:dyDescent="0.25">
      <c r="E45" s="203"/>
      <c r="F45" s="204"/>
      <c r="G45" s="203"/>
      <c r="H45" s="203"/>
    </row>
    <row r="46" spans="1:9" x14ac:dyDescent="0.25">
      <c r="F46" s="26"/>
    </row>
  </sheetData>
  <mergeCells count="1">
    <mergeCell ref="A4:I5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C034-09A4-4E62-8ABE-19CD620FCF62}">
  <sheetPr codeName="Sheet121"/>
  <dimension ref="A1:J46"/>
  <sheetViews>
    <sheetView workbookViewId="0">
      <selection activeCell="E9" sqref="E9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2.5703125" customWidth="1"/>
    <col min="8" max="8" width="20.5703125" customWidth="1"/>
    <col min="9" max="9" width="12.4257812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+'[2]Phôi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>
        <v>45658</v>
      </c>
      <c r="C8" s="9" t="s">
        <v>15</v>
      </c>
      <c r="D8" s="10"/>
      <c r="E8" s="11"/>
      <c r="F8" s="12"/>
      <c r="G8" s="7"/>
      <c r="H8" s="7"/>
      <c r="I8" s="7"/>
    </row>
    <row r="9" spans="1:10" ht="18" customHeight="1" x14ac:dyDescent="0.25">
      <c r="A9" s="14">
        <v>1</v>
      </c>
      <c r="B9" s="8">
        <v>45720</v>
      </c>
      <c r="C9" s="254" t="s">
        <v>365</v>
      </c>
      <c r="D9" s="133" t="s">
        <v>23</v>
      </c>
      <c r="E9" s="51">
        <f>3*25</f>
        <v>75</v>
      </c>
      <c r="F9" s="27"/>
      <c r="G9" s="114">
        <f t="shared" ref="G9:G34" si="0">+G8+E9-F9</f>
        <v>75</v>
      </c>
      <c r="H9" s="28" t="s">
        <v>91</v>
      </c>
      <c r="I9" s="7" t="s">
        <v>90</v>
      </c>
    </row>
    <row r="10" spans="1:10" ht="18" customHeight="1" x14ac:dyDescent="0.25">
      <c r="A10" s="14">
        <f t="shared" ref="A10:A34" si="1">+A9+1</f>
        <v>2</v>
      </c>
      <c r="B10" s="8">
        <v>45720</v>
      </c>
      <c r="C10" s="254"/>
      <c r="D10" s="133" t="s">
        <v>23</v>
      </c>
      <c r="E10" s="16"/>
      <c r="F10" s="27"/>
      <c r="G10" s="114">
        <f t="shared" si="0"/>
        <v>75</v>
      </c>
      <c r="H10" s="28" t="s">
        <v>91</v>
      </c>
      <c r="I10" s="7" t="s">
        <v>90</v>
      </c>
    </row>
    <row r="11" spans="1:10" ht="18" customHeight="1" x14ac:dyDescent="0.25">
      <c r="A11" s="14">
        <f t="shared" si="1"/>
        <v>3</v>
      </c>
      <c r="B11" s="8" t="s">
        <v>367</v>
      </c>
      <c r="C11" s="254"/>
      <c r="D11" s="133" t="s">
        <v>23</v>
      </c>
      <c r="E11" s="16"/>
      <c r="F11" s="125">
        <f>1*25</f>
        <v>25</v>
      </c>
      <c r="G11" s="114">
        <f t="shared" si="0"/>
        <v>50</v>
      </c>
      <c r="H11" s="28"/>
      <c r="I11" s="7"/>
    </row>
    <row r="12" spans="1:10" ht="18" customHeight="1" x14ac:dyDescent="0.25">
      <c r="A12" s="14">
        <f t="shared" si="1"/>
        <v>4</v>
      </c>
      <c r="B12" s="8"/>
      <c r="C12" s="254"/>
      <c r="D12" s="133" t="s">
        <v>23</v>
      </c>
      <c r="E12" s="16"/>
      <c r="F12" s="125">
        <v>50</v>
      </c>
      <c r="G12" s="114">
        <f t="shared" si="0"/>
        <v>0</v>
      </c>
      <c r="H12" s="28"/>
      <c r="I12" s="7"/>
    </row>
    <row r="13" spans="1:10" ht="18" customHeight="1" x14ac:dyDescent="0.25">
      <c r="A13" s="14">
        <f t="shared" si="1"/>
        <v>5</v>
      </c>
      <c r="B13" s="205"/>
      <c r="C13" s="254"/>
      <c r="D13" s="133" t="s">
        <v>23</v>
      </c>
      <c r="E13" s="16"/>
      <c r="F13" s="125"/>
      <c r="G13" s="114">
        <f t="shared" si="0"/>
        <v>0</v>
      </c>
      <c r="H13" s="28"/>
      <c r="I13" s="7"/>
    </row>
    <row r="14" spans="1:10" ht="18" customHeight="1" x14ac:dyDescent="0.25">
      <c r="A14" s="14">
        <f t="shared" si="1"/>
        <v>6</v>
      </c>
      <c r="B14" s="205"/>
      <c r="C14" s="254"/>
      <c r="D14" s="133" t="s">
        <v>23</v>
      </c>
      <c r="E14" s="16"/>
      <c r="F14" s="125"/>
      <c r="G14" s="114">
        <f t="shared" si="0"/>
        <v>0</v>
      </c>
      <c r="H14" s="28"/>
      <c r="I14" s="7"/>
      <c r="J14" s="26"/>
    </row>
    <row r="15" spans="1:10" ht="18" customHeight="1" x14ac:dyDescent="0.25">
      <c r="A15" s="14">
        <f t="shared" si="1"/>
        <v>7</v>
      </c>
      <c r="B15" s="8"/>
      <c r="C15" s="254"/>
      <c r="D15" s="133" t="s">
        <v>23</v>
      </c>
      <c r="E15" s="16"/>
      <c r="F15" s="27"/>
      <c r="G15" s="114">
        <f t="shared" si="0"/>
        <v>0</v>
      </c>
      <c r="H15" s="18"/>
      <c r="I15" s="7"/>
    </row>
    <row r="16" spans="1:10" ht="18" customHeight="1" x14ac:dyDescent="0.25">
      <c r="A16" s="14">
        <f t="shared" si="1"/>
        <v>8</v>
      </c>
      <c r="B16" s="8"/>
      <c r="C16" s="254"/>
      <c r="D16" s="133" t="s">
        <v>23</v>
      </c>
      <c r="E16" s="16"/>
      <c r="F16" s="27"/>
      <c r="G16" s="114">
        <f t="shared" si="0"/>
        <v>0</v>
      </c>
      <c r="H16" s="18"/>
      <c r="I16" s="7"/>
    </row>
    <row r="17" spans="1:9" ht="18" customHeight="1" x14ac:dyDescent="0.25">
      <c r="A17" s="14">
        <f t="shared" si="1"/>
        <v>9</v>
      </c>
      <c r="B17" s="8"/>
      <c r="C17" s="254"/>
      <c r="D17" s="133"/>
      <c r="E17" s="16"/>
      <c r="F17" s="27"/>
      <c r="G17" s="114">
        <f t="shared" si="0"/>
        <v>0</v>
      </c>
      <c r="H17" s="18"/>
      <c r="I17" s="7"/>
    </row>
    <row r="18" spans="1:9" ht="18" customHeight="1" x14ac:dyDescent="0.25">
      <c r="A18" s="14">
        <f t="shared" si="1"/>
        <v>10</v>
      </c>
      <c r="B18" s="8"/>
      <c r="C18" s="254"/>
      <c r="D18" s="133"/>
      <c r="E18" s="16"/>
      <c r="F18" s="27"/>
      <c r="G18" s="114">
        <f t="shared" si="0"/>
        <v>0</v>
      </c>
      <c r="H18" s="18"/>
      <c r="I18" s="7"/>
    </row>
    <row r="19" spans="1:9" ht="18" customHeight="1" x14ac:dyDescent="0.25">
      <c r="A19" s="14">
        <f t="shared" si="1"/>
        <v>11</v>
      </c>
      <c r="B19" s="8"/>
      <c r="C19" s="254"/>
      <c r="D19" s="133"/>
      <c r="E19" s="16"/>
      <c r="F19" s="27"/>
      <c r="G19" s="114">
        <f t="shared" si="0"/>
        <v>0</v>
      </c>
      <c r="H19" s="18"/>
      <c r="I19" s="7"/>
    </row>
    <row r="20" spans="1:9" ht="18" customHeight="1" x14ac:dyDescent="0.25">
      <c r="A20" s="14">
        <f t="shared" si="1"/>
        <v>12</v>
      </c>
      <c r="B20" s="8"/>
      <c r="C20" s="254"/>
      <c r="D20" s="133"/>
      <c r="E20" s="16"/>
      <c r="F20" s="27"/>
      <c r="G20" s="114">
        <f t="shared" si="0"/>
        <v>0</v>
      </c>
      <c r="H20" s="18"/>
      <c r="I20" s="7"/>
    </row>
    <row r="21" spans="1:9" ht="18" customHeight="1" x14ac:dyDescent="0.25">
      <c r="A21" s="14">
        <f t="shared" si="1"/>
        <v>13</v>
      </c>
      <c r="B21" s="8"/>
      <c r="C21" s="254"/>
      <c r="D21" s="133"/>
      <c r="E21" s="32"/>
      <c r="F21" s="27"/>
      <c r="G21" s="114">
        <f t="shared" si="0"/>
        <v>0</v>
      </c>
      <c r="H21" s="18"/>
      <c r="I21" s="7"/>
    </row>
    <row r="22" spans="1:9" ht="18" customHeight="1" x14ac:dyDescent="0.25">
      <c r="A22" s="14">
        <f t="shared" si="1"/>
        <v>14</v>
      </c>
      <c r="B22" s="8"/>
      <c r="C22" s="254"/>
      <c r="D22" s="133"/>
      <c r="E22" s="32"/>
      <c r="F22" s="27"/>
      <c r="G22" s="114">
        <f t="shared" si="0"/>
        <v>0</v>
      </c>
      <c r="H22" s="18"/>
      <c r="I22" s="7"/>
    </row>
    <row r="23" spans="1:9" ht="18" customHeight="1" x14ac:dyDescent="0.25">
      <c r="A23" s="14">
        <f t="shared" si="1"/>
        <v>15</v>
      </c>
      <c r="B23" s="8"/>
      <c r="C23" s="254"/>
      <c r="D23" s="133"/>
      <c r="E23" s="32"/>
      <c r="F23" s="27"/>
      <c r="G23" s="114">
        <f t="shared" si="0"/>
        <v>0</v>
      </c>
      <c r="H23" s="18"/>
      <c r="I23" s="7"/>
    </row>
    <row r="24" spans="1:9" ht="18" customHeight="1" x14ac:dyDescent="0.25">
      <c r="A24" s="14">
        <f t="shared" si="1"/>
        <v>16</v>
      </c>
      <c r="B24" s="8"/>
      <c r="C24" s="254"/>
      <c r="D24" s="133"/>
      <c r="E24" s="32"/>
      <c r="F24" s="167"/>
      <c r="G24" s="114">
        <f t="shared" si="0"/>
        <v>0</v>
      </c>
      <c r="H24" s="18"/>
      <c r="I24" s="7"/>
    </row>
    <row r="25" spans="1:9" ht="18" customHeight="1" x14ac:dyDescent="0.25">
      <c r="A25" s="14">
        <f t="shared" si="1"/>
        <v>17</v>
      </c>
      <c r="B25" s="8"/>
      <c r="C25" s="254"/>
      <c r="D25" s="133"/>
      <c r="E25" s="32"/>
      <c r="F25" s="27"/>
      <c r="G25" s="114">
        <f t="shared" si="0"/>
        <v>0</v>
      </c>
      <c r="H25" s="18"/>
      <c r="I25" s="7"/>
    </row>
    <row r="26" spans="1:9" ht="18" customHeight="1" x14ac:dyDescent="0.25">
      <c r="A26" s="14">
        <f t="shared" si="1"/>
        <v>18</v>
      </c>
      <c r="B26" s="8"/>
      <c r="C26" s="254"/>
      <c r="D26" s="133"/>
      <c r="E26" s="32"/>
      <c r="F26" s="27"/>
      <c r="G26" s="114">
        <f t="shared" si="0"/>
        <v>0</v>
      </c>
      <c r="H26" s="18"/>
      <c r="I26" s="7"/>
    </row>
    <row r="27" spans="1:9" ht="18" customHeight="1" x14ac:dyDescent="0.25">
      <c r="A27" s="14">
        <f t="shared" si="1"/>
        <v>19</v>
      </c>
      <c r="B27" s="8"/>
      <c r="C27" s="254"/>
      <c r="D27" s="133"/>
      <c r="E27" s="32"/>
      <c r="F27" s="27"/>
      <c r="G27" s="114">
        <f t="shared" si="0"/>
        <v>0</v>
      </c>
      <c r="H27" s="18"/>
      <c r="I27" s="7"/>
    </row>
    <row r="28" spans="1:9" ht="18" customHeight="1" x14ac:dyDescent="0.25">
      <c r="A28" s="14">
        <f t="shared" si="1"/>
        <v>20</v>
      </c>
      <c r="B28" s="8"/>
      <c r="C28" s="254"/>
      <c r="D28" s="133"/>
      <c r="E28" s="32"/>
      <c r="F28" s="27"/>
      <c r="G28" s="114">
        <f t="shared" si="0"/>
        <v>0</v>
      </c>
      <c r="H28" s="18"/>
      <c r="I28" s="7"/>
    </row>
    <row r="29" spans="1:9" ht="18" customHeight="1" x14ac:dyDescent="0.25">
      <c r="A29" s="14">
        <f t="shared" si="1"/>
        <v>21</v>
      </c>
      <c r="B29" s="37"/>
      <c r="C29" s="254"/>
      <c r="D29" s="133"/>
      <c r="E29" s="32"/>
      <c r="F29" s="40"/>
      <c r="G29" s="114">
        <f t="shared" si="0"/>
        <v>0</v>
      </c>
      <c r="H29" s="18"/>
      <c r="I29" s="7"/>
    </row>
    <row r="30" spans="1:9" ht="18" customHeight="1" x14ac:dyDescent="0.25">
      <c r="A30" s="14">
        <f t="shared" si="1"/>
        <v>22</v>
      </c>
      <c r="B30" s="37"/>
      <c r="C30" s="254"/>
      <c r="D30" s="133"/>
      <c r="E30" s="32"/>
      <c r="F30" s="40"/>
      <c r="G30" s="114">
        <f t="shared" si="0"/>
        <v>0</v>
      </c>
      <c r="H30" s="18"/>
      <c r="I30" s="7"/>
    </row>
    <row r="31" spans="1:9" ht="18" customHeight="1" x14ac:dyDescent="0.25">
      <c r="A31" s="14">
        <f t="shared" si="1"/>
        <v>23</v>
      </c>
      <c r="B31" s="37"/>
      <c r="C31" s="254"/>
      <c r="D31" s="133"/>
      <c r="E31" s="32"/>
      <c r="F31" s="27"/>
      <c r="G31" s="114">
        <f t="shared" si="0"/>
        <v>0</v>
      </c>
      <c r="H31" s="18"/>
      <c r="I31" s="7"/>
    </row>
    <row r="32" spans="1:9" ht="18" customHeight="1" x14ac:dyDescent="0.25">
      <c r="A32" s="14">
        <f t="shared" si="1"/>
        <v>24</v>
      </c>
      <c r="B32" s="37"/>
      <c r="C32" s="254"/>
      <c r="D32" s="133"/>
      <c r="E32" s="32"/>
      <c r="F32" s="27"/>
      <c r="G32" s="114">
        <f t="shared" si="0"/>
        <v>0</v>
      </c>
      <c r="H32" s="18"/>
      <c r="I32" s="7"/>
    </row>
    <row r="33" spans="1:9" ht="18" customHeight="1" x14ac:dyDescent="0.25">
      <c r="A33" s="14">
        <f t="shared" si="1"/>
        <v>25</v>
      </c>
      <c r="B33" s="37"/>
      <c r="C33" s="254"/>
      <c r="D33" s="133"/>
      <c r="E33" s="32"/>
      <c r="F33" s="27"/>
      <c r="G33" s="114">
        <f t="shared" si="0"/>
        <v>0</v>
      </c>
      <c r="H33" s="18"/>
      <c r="I33" s="7"/>
    </row>
    <row r="34" spans="1:9" ht="18" customHeight="1" x14ac:dyDescent="0.25">
      <c r="A34" s="14">
        <f t="shared" si="1"/>
        <v>26</v>
      </c>
      <c r="B34" s="37"/>
      <c r="C34" s="46"/>
      <c r="D34" s="10"/>
      <c r="E34" s="32"/>
      <c r="F34" s="27"/>
      <c r="G34" s="114">
        <f t="shared" si="0"/>
        <v>0</v>
      </c>
      <c r="H34" s="18"/>
      <c r="I34" s="7"/>
    </row>
    <row r="35" spans="1:9" ht="18" customHeight="1" x14ac:dyDescent="0.25">
      <c r="A35" s="7"/>
      <c r="B35" s="7"/>
      <c r="C35" s="34" t="s">
        <v>13</v>
      </c>
      <c r="D35" s="7"/>
      <c r="E35" s="35">
        <f>SUM(E8:E34)</f>
        <v>75</v>
      </c>
      <c r="F35" s="164">
        <f>SUM(F8:F34)</f>
        <v>75</v>
      </c>
      <c r="G35" s="35">
        <f>+E35-F35+G8</f>
        <v>0</v>
      </c>
      <c r="H35" s="35"/>
      <c r="I35" s="36"/>
    </row>
    <row r="36" spans="1:9" ht="18" customHeight="1" x14ac:dyDescent="0.25">
      <c r="G36" s="258"/>
    </row>
    <row r="39" spans="1:9" x14ac:dyDescent="0.25">
      <c r="E39" s="201"/>
      <c r="F39" s="201"/>
      <c r="G39" s="201"/>
      <c r="H39" s="201"/>
    </row>
    <row r="40" spans="1:9" x14ac:dyDescent="0.25">
      <c r="F40" s="26"/>
    </row>
    <row r="41" spans="1:9" x14ac:dyDescent="0.25">
      <c r="C41" t="s">
        <v>47</v>
      </c>
      <c r="E41" s="26"/>
      <c r="F41" s="26"/>
      <c r="G41" s="26"/>
      <c r="H41" s="26"/>
      <c r="I41" s="26"/>
    </row>
    <row r="42" spans="1:9" x14ac:dyDescent="0.25">
      <c r="I42" s="202"/>
    </row>
    <row r="43" spans="1:9" x14ac:dyDescent="0.25">
      <c r="E43" s="199"/>
    </row>
    <row r="44" spans="1:9" x14ac:dyDescent="0.25">
      <c r="E44" s="26"/>
      <c r="F44" s="26"/>
    </row>
    <row r="45" spans="1:9" x14ac:dyDescent="0.25">
      <c r="E45" s="203"/>
      <c r="F45" s="204"/>
      <c r="G45" s="203"/>
      <c r="H45" s="203"/>
    </row>
    <row r="46" spans="1:9" x14ac:dyDescent="0.25">
      <c r="F46" s="26"/>
    </row>
  </sheetData>
  <mergeCells count="1">
    <mergeCell ref="A4:I5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BDC9-1CEB-4D40-B918-206D06E6C1FF}">
  <sheetPr codeName="Sheet122"/>
  <dimension ref="A1:J46"/>
  <sheetViews>
    <sheetView topLeftCell="A7" workbookViewId="0">
      <selection activeCell="H21" sqref="H21"/>
    </sheetView>
  </sheetViews>
  <sheetFormatPr defaultRowHeight="15" x14ac:dyDescent="0.25"/>
  <cols>
    <col min="1" max="1" width="6" customWidth="1"/>
    <col min="2" max="2" width="11.5703125" customWidth="1"/>
    <col min="3" max="3" width="45.42578125" customWidth="1"/>
    <col min="4" max="4" width="8" customWidth="1"/>
    <col min="5" max="5" width="12.28515625" customWidth="1"/>
    <col min="6" max="6" width="12" customWidth="1"/>
    <col min="7" max="7" width="12.5703125" customWidth="1"/>
    <col min="8" max="8" width="20.5703125" customWidth="1"/>
    <col min="9" max="9" width="16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5.42578125" customWidth="1"/>
    <col min="260" max="260" width="8" customWidth="1"/>
    <col min="261" max="261" width="12.28515625" customWidth="1"/>
    <col min="262" max="262" width="12" customWidth="1"/>
    <col min="263" max="264" width="14.28515625" customWidth="1"/>
    <col min="265" max="265" width="12.4257812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5.42578125" customWidth="1"/>
    <col min="516" max="516" width="8" customWidth="1"/>
    <col min="517" max="517" width="12.28515625" customWidth="1"/>
    <col min="518" max="518" width="12" customWidth="1"/>
    <col min="519" max="520" width="14.28515625" customWidth="1"/>
    <col min="521" max="521" width="12.4257812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5.42578125" customWidth="1"/>
    <col min="772" max="772" width="8" customWidth="1"/>
    <col min="773" max="773" width="12.28515625" customWidth="1"/>
    <col min="774" max="774" width="12" customWidth="1"/>
    <col min="775" max="776" width="14.28515625" customWidth="1"/>
    <col min="777" max="777" width="12.4257812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5.42578125" customWidth="1"/>
    <col min="1028" max="1028" width="8" customWidth="1"/>
    <col min="1029" max="1029" width="12.28515625" customWidth="1"/>
    <col min="1030" max="1030" width="12" customWidth="1"/>
    <col min="1031" max="1032" width="14.28515625" customWidth="1"/>
    <col min="1033" max="1033" width="12.4257812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5.42578125" customWidth="1"/>
    <col min="1284" max="1284" width="8" customWidth="1"/>
    <col min="1285" max="1285" width="12.28515625" customWidth="1"/>
    <col min="1286" max="1286" width="12" customWidth="1"/>
    <col min="1287" max="1288" width="14.28515625" customWidth="1"/>
    <col min="1289" max="1289" width="12.4257812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5.42578125" customWidth="1"/>
    <col min="1540" max="1540" width="8" customWidth="1"/>
    <col min="1541" max="1541" width="12.28515625" customWidth="1"/>
    <col min="1542" max="1542" width="12" customWidth="1"/>
    <col min="1543" max="1544" width="14.28515625" customWidth="1"/>
    <col min="1545" max="1545" width="12.4257812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5.42578125" customWidth="1"/>
    <col min="1796" max="1796" width="8" customWidth="1"/>
    <col min="1797" max="1797" width="12.28515625" customWidth="1"/>
    <col min="1798" max="1798" width="12" customWidth="1"/>
    <col min="1799" max="1800" width="14.28515625" customWidth="1"/>
    <col min="1801" max="1801" width="12.4257812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5.42578125" customWidth="1"/>
    <col min="2052" max="2052" width="8" customWidth="1"/>
    <col min="2053" max="2053" width="12.28515625" customWidth="1"/>
    <col min="2054" max="2054" width="12" customWidth="1"/>
    <col min="2055" max="2056" width="14.28515625" customWidth="1"/>
    <col min="2057" max="2057" width="12.4257812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5.42578125" customWidth="1"/>
    <col min="2308" max="2308" width="8" customWidth="1"/>
    <col min="2309" max="2309" width="12.28515625" customWidth="1"/>
    <col min="2310" max="2310" width="12" customWidth="1"/>
    <col min="2311" max="2312" width="14.28515625" customWidth="1"/>
    <col min="2313" max="2313" width="12.4257812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5.42578125" customWidth="1"/>
    <col min="2564" max="2564" width="8" customWidth="1"/>
    <col min="2565" max="2565" width="12.28515625" customWidth="1"/>
    <col min="2566" max="2566" width="12" customWidth="1"/>
    <col min="2567" max="2568" width="14.28515625" customWidth="1"/>
    <col min="2569" max="2569" width="12.4257812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5.42578125" customWidth="1"/>
    <col min="2820" max="2820" width="8" customWidth="1"/>
    <col min="2821" max="2821" width="12.28515625" customWidth="1"/>
    <col min="2822" max="2822" width="12" customWidth="1"/>
    <col min="2823" max="2824" width="14.28515625" customWidth="1"/>
    <col min="2825" max="2825" width="12.4257812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5.42578125" customWidth="1"/>
    <col min="3076" max="3076" width="8" customWidth="1"/>
    <col min="3077" max="3077" width="12.28515625" customWidth="1"/>
    <col min="3078" max="3078" width="12" customWidth="1"/>
    <col min="3079" max="3080" width="14.28515625" customWidth="1"/>
    <col min="3081" max="3081" width="12.4257812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5.42578125" customWidth="1"/>
    <col min="3332" max="3332" width="8" customWidth="1"/>
    <col min="3333" max="3333" width="12.28515625" customWidth="1"/>
    <col min="3334" max="3334" width="12" customWidth="1"/>
    <col min="3335" max="3336" width="14.28515625" customWidth="1"/>
    <col min="3337" max="3337" width="12.4257812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5.42578125" customWidth="1"/>
    <col min="3588" max="3588" width="8" customWidth="1"/>
    <col min="3589" max="3589" width="12.28515625" customWidth="1"/>
    <col min="3590" max="3590" width="12" customWidth="1"/>
    <col min="3591" max="3592" width="14.28515625" customWidth="1"/>
    <col min="3593" max="3593" width="12.4257812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5.42578125" customWidth="1"/>
    <col min="3844" max="3844" width="8" customWidth="1"/>
    <col min="3845" max="3845" width="12.28515625" customWidth="1"/>
    <col min="3846" max="3846" width="12" customWidth="1"/>
    <col min="3847" max="3848" width="14.28515625" customWidth="1"/>
    <col min="3849" max="3849" width="12.4257812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5.42578125" customWidth="1"/>
    <col min="4100" max="4100" width="8" customWidth="1"/>
    <col min="4101" max="4101" width="12.28515625" customWidth="1"/>
    <col min="4102" max="4102" width="12" customWidth="1"/>
    <col min="4103" max="4104" width="14.28515625" customWidth="1"/>
    <col min="4105" max="4105" width="12.4257812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5.42578125" customWidth="1"/>
    <col min="4356" max="4356" width="8" customWidth="1"/>
    <col min="4357" max="4357" width="12.28515625" customWidth="1"/>
    <col min="4358" max="4358" width="12" customWidth="1"/>
    <col min="4359" max="4360" width="14.28515625" customWidth="1"/>
    <col min="4361" max="4361" width="12.4257812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5.42578125" customWidth="1"/>
    <col min="4612" max="4612" width="8" customWidth="1"/>
    <col min="4613" max="4613" width="12.28515625" customWidth="1"/>
    <col min="4614" max="4614" width="12" customWidth="1"/>
    <col min="4615" max="4616" width="14.28515625" customWidth="1"/>
    <col min="4617" max="4617" width="12.4257812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5.42578125" customWidth="1"/>
    <col min="4868" max="4868" width="8" customWidth="1"/>
    <col min="4869" max="4869" width="12.28515625" customWidth="1"/>
    <col min="4870" max="4870" width="12" customWidth="1"/>
    <col min="4871" max="4872" width="14.28515625" customWidth="1"/>
    <col min="4873" max="4873" width="12.4257812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5.42578125" customWidth="1"/>
    <col min="5124" max="5124" width="8" customWidth="1"/>
    <col min="5125" max="5125" width="12.28515625" customWidth="1"/>
    <col min="5126" max="5126" width="12" customWidth="1"/>
    <col min="5127" max="5128" width="14.28515625" customWidth="1"/>
    <col min="5129" max="5129" width="12.4257812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5.42578125" customWidth="1"/>
    <col min="5380" max="5380" width="8" customWidth="1"/>
    <col min="5381" max="5381" width="12.28515625" customWidth="1"/>
    <col min="5382" max="5382" width="12" customWidth="1"/>
    <col min="5383" max="5384" width="14.28515625" customWidth="1"/>
    <col min="5385" max="5385" width="12.4257812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5.42578125" customWidth="1"/>
    <col min="5636" max="5636" width="8" customWidth="1"/>
    <col min="5637" max="5637" width="12.28515625" customWidth="1"/>
    <col min="5638" max="5638" width="12" customWidth="1"/>
    <col min="5639" max="5640" width="14.28515625" customWidth="1"/>
    <col min="5641" max="5641" width="12.4257812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5.42578125" customWidth="1"/>
    <col min="5892" max="5892" width="8" customWidth="1"/>
    <col min="5893" max="5893" width="12.28515625" customWidth="1"/>
    <col min="5894" max="5894" width="12" customWidth="1"/>
    <col min="5895" max="5896" width="14.28515625" customWidth="1"/>
    <col min="5897" max="5897" width="12.4257812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5.42578125" customWidth="1"/>
    <col min="6148" max="6148" width="8" customWidth="1"/>
    <col min="6149" max="6149" width="12.28515625" customWidth="1"/>
    <col min="6150" max="6150" width="12" customWidth="1"/>
    <col min="6151" max="6152" width="14.28515625" customWidth="1"/>
    <col min="6153" max="6153" width="12.4257812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5.42578125" customWidth="1"/>
    <col min="6404" max="6404" width="8" customWidth="1"/>
    <col min="6405" max="6405" width="12.28515625" customWidth="1"/>
    <col min="6406" max="6406" width="12" customWidth="1"/>
    <col min="6407" max="6408" width="14.28515625" customWidth="1"/>
    <col min="6409" max="6409" width="12.4257812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5.42578125" customWidth="1"/>
    <col min="6660" max="6660" width="8" customWidth="1"/>
    <col min="6661" max="6661" width="12.28515625" customWidth="1"/>
    <col min="6662" max="6662" width="12" customWidth="1"/>
    <col min="6663" max="6664" width="14.28515625" customWidth="1"/>
    <col min="6665" max="6665" width="12.4257812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5.42578125" customWidth="1"/>
    <col min="6916" max="6916" width="8" customWidth="1"/>
    <col min="6917" max="6917" width="12.28515625" customWidth="1"/>
    <col min="6918" max="6918" width="12" customWidth="1"/>
    <col min="6919" max="6920" width="14.28515625" customWidth="1"/>
    <col min="6921" max="6921" width="12.4257812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5.42578125" customWidth="1"/>
    <col min="7172" max="7172" width="8" customWidth="1"/>
    <col min="7173" max="7173" width="12.28515625" customWidth="1"/>
    <col min="7174" max="7174" width="12" customWidth="1"/>
    <col min="7175" max="7176" width="14.28515625" customWidth="1"/>
    <col min="7177" max="7177" width="12.4257812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5.42578125" customWidth="1"/>
    <col min="7428" max="7428" width="8" customWidth="1"/>
    <col min="7429" max="7429" width="12.28515625" customWidth="1"/>
    <col min="7430" max="7430" width="12" customWidth="1"/>
    <col min="7431" max="7432" width="14.28515625" customWidth="1"/>
    <col min="7433" max="7433" width="12.4257812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5.42578125" customWidth="1"/>
    <col min="7684" max="7684" width="8" customWidth="1"/>
    <col min="7685" max="7685" width="12.28515625" customWidth="1"/>
    <col min="7686" max="7686" width="12" customWidth="1"/>
    <col min="7687" max="7688" width="14.28515625" customWidth="1"/>
    <col min="7689" max="7689" width="12.4257812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5.42578125" customWidth="1"/>
    <col min="7940" max="7940" width="8" customWidth="1"/>
    <col min="7941" max="7941" width="12.28515625" customWidth="1"/>
    <col min="7942" max="7942" width="12" customWidth="1"/>
    <col min="7943" max="7944" width="14.28515625" customWidth="1"/>
    <col min="7945" max="7945" width="12.4257812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5.42578125" customWidth="1"/>
    <col min="8196" max="8196" width="8" customWidth="1"/>
    <col min="8197" max="8197" width="12.28515625" customWidth="1"/>
    <col min="8198" max="8198" width="12" customWidth="1"/>
    <col min="8199" max="8200" width="14.28515625" customWidth="1"/>
    <col min="8201" max="8201" width="12.4257812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5.42578125" customWidth="1"/>
    <col min="8452" max="8452" width="8" customWidth="1"/>
    <col min="8453" max="8453" width="12.28515625" customWidth="1"/>
    <col min="8454" max="8454" width="12" customWidth="1"/>
    <col min="8455" max="8456" width="14.28515625" customWidth="1"/>
    <col min="8457" max="8457" width="12.4257812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5.42578125" customWidth="1"/>
    <col min="8708" max="8708" width="8" customWidth="1"/>
    <col min="8709" max="8709" width="12.28515625" customWidth="1"/>
    <col min="8710" max="8710" width="12" customWidth="1"/>
    <col min="8711" max="8712" width="14.28515625" customWidth="1"/>
    <col min="8713" max="8713" width="12.4257812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5.42578125" customWidth="1"/>
    <col min="8964" max="8964" width="8" customWidth="1"/>
    <col min="8965" max="8965" width="12.28515625" customWidth="1"/>
    <col min="8966" max="8966" width="12" customWidth="1"/>
    <col min="8967" max="8968" width="14.28515625" customWidth="1"/>
    <col min="8969" max="8969" width="12.4257812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5.42578125" customWidth="1"/>
    <col min="9220" max="9220" width="8" customWidth="1"/>
    <col min="9221" max="9221" width="12.28515625" customWidth="1"/>
    <col min="9222" max="9222" width="12" customWidth="1"/>
    <col min="9223" max="9224" width="14.28515625" customWidth="1"/>
    <col min="9225" max="9225" width="12.4257812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5.42578125" customWidth="1"/>
    <col min="9476" max="9476" width="8" customWidth="1"/>
    <col min="9477" max="9477" width="12.28515625" customWidth="1"/>
    <col min="9478" max="9478" width="12" customWidth="1"/>
    <col min="9479" max="9480" width="14.28515625" customWidth="1"/>
    <col min="9481" max="9481" width="12.4257812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5.42578125" customWidth="1"/>
    <col min="9732" max="9732" width="8" customWidth="1"/>
    <col min="9733" max="9733" width="12.28515625" customWidth="1"/>
    <col min="9734" max="9734" width="12" customWidth="1"/>
    <col min="9735" max="9736" width="14.28515625" customWidth="1"/>
    <col min="9737" max="9737" width="12.4257812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5.42578125" customWidth="1"/>
    <col min="9988" max="9988" width="8" customWidth="1"/>
    <col min="9989" max="9989" width="12.28515625" customWidth="1"/>
    <col min="9990" max="9990" width="12" customWidth="1"/>
    <col min="9991" max="9992" width="14.28515625" customWidth="1"/>
    <col min="9993" max="9993" width="12.4257812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5.42578125" customWidth="1"/>
    <col min="10244" max="10244" width="8" customWidth="1"/>
    <col min="10245" max="10245" width="12.28515625" customWidth="1"/>
    <col min="10246" max="10246" width="12" customWidth="1"/>
    <col min="10247" max="10248" width="14.28515625" customWidth="1"/>
    <col min="10249" max="10249" width="12.4257812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5.42578125" customWidth="1"/>
    <col min="10500" max="10500" width="8" customWidth="1"/>
    <col min="10501" max="10501" width="12.28515625" customWidth="1"/>
    <col min="10502" max="10502" width="12" customWidth="1"/>
    <col min="10503" max="10504" width="14.28515625" customWidth="1"/>
    <col min="10505" max="10505" width="12.4257812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5.42578125" customWidth="1"/>
    <col min="10756" max="10756" width="8" customWidth="1"/>
    <col min="10757" max="10757" width="12.28515625" customWidth="1"/>
    <col min="10758" max="10758" width="12" customWidth="1"/>
    <col min="10759" max="10760" width="14.28515625" customWidth="1"/>
    <col min="10761" max="10761" width="12.4257812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5.42578125" customWidth="1"/>
    <col min="11012" max="11012" width="8" customWidth="1"/>
    <col min="11013" max="11013" width="12.28515625" customWidth="1"/>
    <col min="11014" max="11014" width="12" customWidth="1"/>
    <col min="11015" max="11016" width="14.28515625" customWidth="1"/>
    <col min="11017" max="11017" width="12.4257812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5.42578125" customWidth="1"/>
    <col min="11268" max="11268" width="8" customWidth="1"/>
    <col min="11269" max="11269" width="12.28515625" customWidth="1"/>
    <col min="11270" max="11270" width="12" customWidth="1"/>
    <col min="11271" max="11272" width="14.28515625" customWidth="1"/>
    <col min="11273" max="11273" width="12.4257812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5.42578125" customWidth="1"/>
    <col min="11524" max="11524" width="8" customWidth="1"/>
    <col min="11525" max="11525" width="12.28515625" customWidth="1"/>
    <col min="11526" max="11526" width="12" customWidth="1"/>
    <col min="11527" max="11528" width="14.28515625" customWidth="1"/>
    <col min="11529" max="11529" width="12.4257812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5.42578125" customWidth="1"/>
    <col min="11780" max="11780" width="8" customWidth="1"/>
    <col min="11781" max="11781" width="12.28515625" customWidth="1"/>
    <col min="11782" max="11782" width="12" customWidth="1"/>
    <col min="11783" max="11784" width="14.28515625" customWidth="1"/>
    <col min="11785" max="11785" width="12.4257812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5.42578125" customWidth="1"/>
    <col min="12036" max="12036" width="8" customWidth="1"/>
    <col min="12037" max="12037" width="12.28515625" customWidth="1"/>
    <col min="12038" max="12038" width="12" customWidth="1"/>
    <col min="12039" max="12040" width="14.28515625" customWidth="1"/>
    <col min="12041" max="12041" width="12.4257812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5.42578125" customWidth="1"/>
    <col min="12292" max="12292" width="8" customWidth="1"/>
    <col min="12293" max="12293" width="12.28515625" customWidth="1"/>
    <col min="12294" max="12294" width="12" customWidth="1"/>
    <col min="12295" max="12296" width="14.28515625" customWidth="1"/>
    <col min="12297" max="12297" width="12.4257812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5.42578125" customWidth="1"/>
    <col min="12548" max="12548" width="8" customWidth="1"/>
    <col min="12549" max="12549" width="12.28515625" customWidth="1"/>
    <col min="12550" max="12550" width="12" customWidth="1"/>
    <col min="12551" max="12552" width="14.28515625" customWidth="1"/>
    <col min="12553" max="12553" width="12.4257812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5.42578125" customWidth="1"/>
    <col min="12804" max="12804" width="8" customWidth="1"/>
    <col min="12805" max="12805" width="12.28515625" customWidth="1"/>
    <col min="12806" max="12806" width="12" customWidth="1"/>
    <col min="12807" max="12808" width="14.28515625" customWidth="1"/>
    <col min="12809" max="12809" width="12.4257812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5.42578125" customWidth="1"/>
    <col min="13060" max="13060" width="8" customWidth="1"/>
    <col min="13061" max="13061" width="12.28515625" customWidth="1"/>
    <col min="13062" max="13062" width="12" customWidth="1"/>
    <col min="13063" max="13064" width="14.28515625" customWidth="1"/>
    <col min="13065" max="13065" width="12.4257812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5.42578125" customWidth="1"/>
    <col min="13316" max="13316" width="8" customWidth="1"/>
    <col min="13317" max="13317" width="12.28515625" customWidth="1"/>
    <col min="13318" max="13318" width="12" customWidth="1"/>
    <col min="13319" max="13320" width="14.28515625" customWidth="1"/>
    <col min="13321" max="13321" width="12.4257812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5.42578125" customWidth="1"/>
    <col min="13572" max="13572" width="8" customWidth="1"/>
    <col min="13573" max="13573" width="12.28515625" customWidth="1"/>
    <col min="13574" max="13574" width="12" customWidth="1"/>
    <col min="13575" max="13576" width="14.28515625" customWidth="1"/>
    <col min="13577" max="13577" width="12.4257812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5.42578125" customWidth="1"/>
    <col min="13828" max="13828" width="8" customWidth="1"/>
    <col min="13829" max="13829" width="12.28515625" customWidth="1"/>
    <col min="13830" max="13830" width="12" customWidth="1"/>
    <col min="13831" max="13832" width="14.28515625" customWidth="1"/>
    <col min="13833" max="13833" width="12.4257812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5.42578125" customWidth="1"/>
    <col min="14084" max="14084" width="8" customWidth="1"/>
    <col min="14085" max="14085" width="12.28515625" customWidth="1"/>
    <col min="14086" max="14086" width="12" customWidth="1"/>
    <col min="14087" max="14088" width="14.28515625" customWidth="1"/>
    <col min="14089" max="14089" width="12.4257812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5.42578125" customWidth="1"/>
    <col min="14340" max="14340" width="8" customWidth="1"/>
    <col min="14341" max="14341" width="12.28515625" customWidth="1"/>
    <col min="14342" max="14342" width="12" customWidth="1"/>
    <col min="14343" max="14344" width="14.28515625" customWidth="1"/>
    <col min="14345" max="14345" width="12.4257812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5.42578125" customWidth="1"/>
    <col min="14596" max="14596" width="8" customWidth="1"/>
    <col min="14597" max="14597" width="12.28515625" customWidth="1"/>
    <col min="14598" max="14598" width="12" customWidth="1"/>
    <col min="14599" max="14600" width="14.28515625" customWidth="1"/>
    <col min="14601" max="14601" width="12.4257812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5.42578125" customWidth="1"/>
    <col min="14852" max="14852" width="8" customWidth="1"/>
    <col min="14853" max="14853" width="12.28515625" customWidth="1"/>
    <col min="14854" max="14854" width="12" customWidth="1"/>
    <col min="14855" max="14856" width="14.28515625" customWidth="1"/>
    <col min="14857" max="14857" width="12.4257812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5.42578125" customWidth="1"/>
    <col min="15108" max="15108" width="8" customWidth="1"/>
    <col min="15109" max="15109" width="12.28515625" customWidth="1"/>
    <col min="15110" max="15110" width="12" customWidth="1"/>
    <col min="15111" max="15112" width="14.28515625" customWidth="1"/>
    <col min="15113" max="15113" width="12.4257812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5.42578125" customWidth="1"/>
    <col min="15364" max="15364" width="8" customWidth="1"/>
    <col min="15365" max="15365" width="12.28515625" customWidth="1"/>
    <col min="15366" max="15366" width="12" customWidth="1"/>
    <col min="15367" max="15368" width="14.28515625" customWidth="1"/>
    <col min="15369" max="15369" width="12.4257812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5.42578125" customWidth="1"/>
    <col min="15620" max="15620" width="8" customWidth="1"/>
    <col min="15621" max="15621" width="12.28515625" customWidth="1"/>
    <col min="15622" max="15622" width="12" customWidth="1"/>
    <col min="15623" max="15624" width="14.28515625" customWidth="1"/>
    <col min="15625" max="15625" width="12.4257812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5.42578125" customWidth="1"/>
    <col min="15876" max="15876" width="8" customWidth="1"/>
    <col min="15877" max="15877" width="12.28515625" customWidth="1"/>
    <col min="15878" max="15878" width="12" customWidth="1"/>
    <col min="15879" max="15880" width="14.28515625" customWidth="1"/>
    <col min="15881" max="15881" width="12.4257812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5.42578125" customWidth="1"/>
    <col min="16132" max="16132" width="8" customWidth="1"/>
    <col min="16133" max="16133" width="12.28515625" customWidth="1"/>
    <col min="16134" max="16134" width="12" customWidth="1"/>
    <col min="16135" max="16136" width="14.28515625" customWidth="1"/>
    <col min="16137" max="16137" width="12.4257812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+'[2]Phôi giấy NK 325'!A4:I5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7.75" customHeight="1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22</v>
      </c>
    </row>
    <row r="8" spans="1:10" ht="18" customHeight="1" x14ac:dyDescent="0.25">
      <c r="A8" s="7"/>
      <c r="B8" s="8"/>
      <c r="C8" s="9" t="s">
        <v>15</v>
      </c>
      <c r="D8" s="10"/>
      <c r="E8" s="11"/>
      <c r="F8" s="12"/>
      <c r="G8" s="7">
        <v>4</v>
      </c>
      <c r="H8" s="7"/>
      <c r="I8" s="7"/>
    </row>
    <row r="9" spans="1:10" ht="18" customHeight="1" x14ac:dyDescent="0.25">
      <c r="A9" s="14">
        <v>1</v>
      </c>
      <c r="B9" s="8">
        <v>45702</v>
      </c>
      <c r="C9" s="254" t="s">
        <v>226</v>
      </c>
      <c r="D9" s="133" t="s">
        <v>227</v>
      </c>
      <c r="E9" s="51"/>
      <c r="F9" s="27">
        <v>1</v>
      </c>
      <c r="G9" s="114">
        <f t="shared" ref="G9:G34" si="0">+G8+E9-F9</f>
        <v>3</v>
      </c>
      <c r="H9" s="28"/>
      <c r="I9" s="7"/>
    </row>
    <row r="10" spans="1:10" ht="18" customHeight="1" x14ac:dyDescent="0.25">
      <c r="A10" s="14">
        <f t="shared" ref="A10:A34" si="1">+A9+1</f>
        <v>2</v>
      </c>
      <c r="B10" s="8">
        <v>45915</v>
      </c>
      <c r="C10" s="254" t="s">
        <v>226</v>
      </c>
      <c r="D10" s="133"/>
      <c r="E10" s="16"/>
      <c r="F10" s="27">
        <v>1</v>
      </c>
      <c r="G10" s="114">
        <f t="shared" si="0"/>
        <v>2</v>
      </c>
      <c r="H10" s="28" t="s">
        <v>258</v>
      </c>
      <c r="I10" s="7" t="s">
        <v>259</v>
      </c>
    </row>
    <row r="11" spans="1:10" ht="18" customHeight="1" x14ac:dyDescent="0.25">
      <c r="A11" s="14">
        <f t="shared" si="1"/>
        <v>3</v>
      </c>
      <c r="B11" s="8"/>
      <c r="C11" s="254" t="s">
        <v>226</v>
      </c>
      <c r="D11" s="133"/>
      <c r="E11" s="16"/>
      <c r="F11" s="125"/>
      <c r="G11" s="114">
        <f t="shared" si="0"/>
        <v>2</v>
      </c>
      <c r="H11" s="28" t="s">
        <v>258</v>
      </c>
      <c r="I11" s="7" t="s">
        <v>90</v>
      </c>
    </row>
    <row r="12" spans="1:10" ht="18" customHeight="1" x14ac:dyDescent="0.25">
      <c r="A12" s="14">
        <f t="shared" si="1"/>
        <v>4</v>
      </c>
      <c r="B12" s="8"/>
      <c r="C12" s="254" t="s">
        <v>226</v>
      </c>
      <c r="D12" s="133"/>
      <c r="E12" s="16"/>
      <c r="F12" s="125"/>
      <c r="G12" s="114">
        <f t="shared" si="0"/>
        <v>2</v>
      </c>
      <c r="H12" s="28" t="s">
        <v>258</v>
      </c>
      <c r="I12" s="7" t="s">
        <v>90</v>
      </c>
    </row>
    <row r="13" spans="1:10" ht="18" customHeight="1" x14ac:dyDescent="0.25">
      <c r="A13" s="14">
        <f t="shared" si="1"/>
        <v>5</v>
      </c>
      <c r="B13" s="205"/>
      <c r="C13" s="254" t="s">
        <v>226</v>
      </c>
      <c r="D13" s="133"/>
      <c r="E13" s="16"/>
      <c r="F13" s="125"/>
      <c r="G13" s="114">
        <f t="shared" si="0"/>
        <v>2</v>
      </c>
      <c r="H13" s="28" t="s">
        <v>258</v>
      </c>
      <c r="I13" s="7" t="s">
        <v>90</v>
      </c>
    </row>
    <row r="14" spans="1:10" ht="18" customHeight="1" x14ac:dyDescent="0.25">
      <c r="A14" s="14">
        <f t="shared" si="1"/>
        <v>6</v>
      </c>
      <c r="B14" s="205"/>
      <c r="C14" s="254" t="s">
        <v>226</v>
      </c>
      <c r="D14" s="133"/>
      <c r="E14" s="16"/>
      <c r="F14" s="125"/>
      <c r="G14" s="114">
        <f t="shared" si="0"/>
        <v>2</v>
      </c>
      <c r="H14" s="28"/>
      <c r="I14" s="7"/>
      <c r="J14" s="26"/>
    </row>
    <row r="15" spans="1:10" ht="18" customHeight="1" x14ac:dyDescent="0.25">
      <c r="A15" s="14">
        <f t="shared" si="1"/>
        <v>7</v>
      </c>
      <c r="B15" s="44"/>
      <c r="C15" s="254"/>
      <c r="D15" s="133"/>
      <c r="E15" s="16"/>
      <c r="F15" s="27"/>
      <c r="G15" s="114">
        <f t="shared" si="0"/>
        <v>2</v>
      </c>
      <c r="H15" s="18"/>
      <c r="I15" s="7"/>
    </row>
    <row r="16" spans="1:10" ht="18" customHeight="1" x14ac:dyDescent="0.25">
      <c r="A16" s="14">
        <f t="shared" si="1"/>
        <v>8</v>
      </c>
      <c r="B16" s="8"/>
      <c r="C16" s="254"/>
      <c r="D16" s="133"/>
      <c r="E16" s="16"/>
      <c r="F16" s="27"/>
      <c r="G16" s="114">
        <f t="shared" si="0"/>
        <v>2</v>
      </c>
      <c r="H16" s="18"/>
      <c r="I16" s="7"/>
    </row>
    <row r="17" spans="1:9" ht="18" customHeight="1" x14ac:dyDescent="0.25">
      <c r="A17" s="14">
        <f t="shared" si="1"/>
        <v>9</v>
      </c>
      <c r="B17" s="8"/>
      <c r="C17" s="254"/>
      <c r="D17" s="133"/>
      <c r="E17" s="16"/>
      <c r="F17" s="27"/>
      <c r="G17" s="114">
        <f t="shared" si="0"/>
        <v>2</v>
      </c>
      <c r="H17" s="18"/>
      <c r="I17" s="7"/>
    </row>
    <row r="18" spans="1:9" ht="18" customHeight="1" x14ac:dyDescent="0.25">
      <c r="A18" s="14">
        <f t="shared" si="1"/>
        <v>10</v>
      </c>
      <c r="B18" s="8"/>
      <c r="C18" s="254"/>
      <c r="D18" s="133"/>
      <c r="E18" s="16"/>
      <c r="F18" s="27"/>
      <c r="G18" s="114">
        <f t="shared" si="0"/>
        <v>2</v>
      </c>
      <c r="H18" s="18"/>
      <c r="I18" s="7"/>
    </row>
    <row r="19" spans="1:9" ht="18" customHeight="1" x14ac:dyDescent="0.25">
      <c r="A19" s="14">
        <f t="shared" si="1"/>
        <v>11</v>
      </c>
      <c r="B19" s="8"/>
      <c r="C19" s="254"/>
      <c r="D19" s="133"/>
      <c r="E19" s="16"/>
      <c r="F19" s="27"/>
      <c r="G19" s="114">
        <f t="shared" si="0"/>
        <v>2</v>
      </c>
      <c r="H19" s="18"/>
      <c r="I19" s="7"/>
    </row>
    <row r="20" spans="1:9" ht="18" customHeight="1" x14ac:dyDescent="0.25">
      <c r="A20" s="14">
        <f t="shared" si="1"/>
        <v>12</v>
      </c>
      <c r="B20" s="8"/>
      <c r="C20" s="254"/>
      <c r="D20" s="133"/>
      <c r="E20" s="16"/>
      <c r="F20" s="27"/>
      <c r="G20" s="114">
        <f t="shared" si="0"/>
        <v>2</v>
      </c>
      <c r="H20" s="18"/>
      <c r="I20" s="7"/>
    </row>
    <row r="21" spans="1:9" ht="18" customHeight="1" x14ac:dyDescent="0.25">
      <c r="A21" s="14">
        <f t="shared" si="1"/>
        <v>13</v>
      </c>
      <c r="B21" s="8"/>
      <c r="C21" s="254"/>
      <c r="D21" s="133"/>
      <c r="E21" s="32"/>
      <c r="F21" s="27"/>
      <c r="G21" s="114">
        <f t="shared" si="0"/>
        <v>2</v>
      </c>
      <c r="H21" s="18"/>
      <c r="I21" s="7"/>
    </row>
    <row r="22" spans="1:9" ht="18" customHeight="1" x14ac:dyDescent="0.25">
      <c r="A22" s="14">
        <f t="shared" si="1"/>
        <v>14</v>
      </c>
      <c r="B22" s="8"/>
      <c r="C22" s="254"/>
      <c r="D22" s="133"/>
      <c r="E22" s="32"/>
      <c r="F22" s="27"/>
      <c r="G22" s="114">
        <f t="shared" si="0"/>
        <v>2</v>
      </c>
      <c r="H22" s="18"/>
      <c r="I22" s="7"/>
    </row>
    <row r="23" spans="1:9" ht="18" customHeight="1" x14ac:dyDescent="0.25">
      <c r="A23" s="14">
        <f t="shared" si="1"/>
        <v>15</v>
      </c>
      <c r="B23" s="8"/>
      <c r="C23" s="254"/>
      <c r="D23" s="133"/>
      <c r="E23" s="32"/>
      <c r="F23" s="27"/>
      <c r="G23" s="114">
        <f t="shared" si="0"/>
        <v>2</v>
      </c>
      <c r="H23" s="18"/>
      <c r="I23" s="7"/>
    </row>
    <row r="24" spans="1:9" ht="18" customHeight="1" x14ac:dyDescent="0.25">
      <c r="A24" s="14">
        <f t="shared" si="1"/>
        <v>16</v>
      </c>
      <c r="B24" s="8"/>
      <c r="C24" s="254"/>
      <c r="D24" s="133"/>
      <c r="E24" s="32"/>
      <c r="F24" s="167"/>
      <c r="G24" s="114">
        <f t="shared" si="0"/>
        <v>2</v>
      </c>
      <c r="H24" s="18"/>
      <c r="I24" s="7"/>
    </row>
    <row r="25" spans="1:9" ht="18" customHeight="1" x14ac:dyDescent="0.25">
      <c r="A25" s="14">
        <f t="shared" si="1"/>
        <v>17</v>
      </c>
      <c r="B25" s="8"/>
      <c r="C25" s="254"/>
      <c r="D25" s="133"/>
      <c r="E25" s="32"/>
      <c r="F25" s="27"/>
      <c r="G25" s="114">
        <f t="shared" si="0"/>
        <v>2</v>
      </c>
      <c r="H25" s="18"/>
      <c r="I25" s="7"/>
    </row>
    <row r="26" spans="1:9" ht="18" customHeight="1" x14ac:dyDescent="0.25">
      <c r="A26" s="14">
        <f t="shared" si="1"/>
        <v>18</v>
      </c>
      <c r="B26" s="8"/>
      <c r="C26" s="254"/>
      <c r="D26" s="133"/>
      <c r="E26" s="32"/>
      <c r="F26" s="27"/>
      <c r="G26" s="114">
        <f t="shared" si="0"/>
        <v>2</v>
      </c>
      <c r="H26" s="18"/>
      <c r="I26" s="7"/>
    </row>
    <row r="27" spans="1:9" ht="18" customHeight="1" x14ac:dyDescent="0.25">
      <c r="A27" s="14">
        <f t="shared" si="1"/>
        <v>19</v>
      </c>
      <c r="B27" s="8"/>
      <c r="C27" s="254"/>
      <c r="D27" s="133"/>
      <c r="E27" s="32"/>
      <c r="F27" s="27"/>
      <c r="G27" s="114">
        <f t="shared" si="0"/>
        <v>2</v>
      </c>
      <c r="H27" s="18"/>
      <c r="I27" s="7"/>
    </row>
    <row r="28" spans="1:9" ht="18" customHeight="1" x14ac:dyDescent="0.25">
      <c r="A28" s="14">
        <f t="shared" si="1"/>
        <v>20</v>
      </c>
      <c r="B28" s="8"/>
      <c r="C28" s="254"/>
      <c r="D28" s="133"/>
      <c r="E28" s="32"/>
      <c r="F28" s="27"/>
      <c r="G28" s="114">
        <f t="shared" si="0"/>
        <v>2</v>
      </c>
      <c r="H28" s="18"/>
      <c r="I28" s="7"/>
    </row>
    <row r="29" spans="1:9" ht="18" customHeight="1" x14ac:dyDescent="0.25">
      <c r="A29" s="14">
        <f t="shared" si="1"/>
        <v>21</v>
      </c>
      <c r="B29" s="37"/>
      <c r="C29" s="254"/>
      <c r="D29" s="133"/>
      <c r="E29" s="32"/>
      <c r="F29" s="40"/>
      <c r="G29" s="114">
        <f t="shared" si="0"/>
        <v>2</v>
      </c>
      <c r="H29" s="18"/>
      <c r="I29" s="7"/>
    </row>
    <row r="30" spans="1:9" ht="18" customHeight="1" x14ac:dyDescent="0.25">
      <c r="A30" s="14">
        <f t="shared" si="1"/>
        <v>22</v>
      </c>
      <c r="B30" s="37"/>
      <c r="C30" s="254"/>
      <c r="D30" s="133"/>
      <c r="E30" s="32"/>
      <c r="F30" s="40"/>
      <c r="G30" s="114">
        <f t="shared" si="0"/>
        <v>2</v>
      </c>
      <c r="H30" s="18"/>
      <c r="I30" s="7"/>
    </row>
    <row r="31" spans="1:9" ht="18" customHeight="1" x14ac:dyDescent="0.25">
      <c r="A31" s="14">
        <f t="shared" si="1"/>
        <v>23</v>
      </c>
      <c r="B31" s="37"/>
      <c r="C31" s="254"/>
      <c r="D31" s="133"/>
      <c r="E31" s="32"/>
      <c r="F31" s="27"/>
      <c r="G31" s="114">
        <f t="shared" si="0"/>
        <v>2</v>
      </c>
      <c r="H31" s="18"/>
      <c r="I31" s="7"/>
    </row>
    <row r="32" spans="1:9" ht="18" customHeight="1" x14ac:dyDescent="0.25">
      <c r="A32" s="14">
        <f t="shared" si="1"/>
        <v>24</v>
      </c>
      <c r="B32" s="37"/>
      <c r="C32" s="254"/>
      <c r="D32" s="133"/>
      <c r="E32" s="32"/>
      <c r="F32" s="27"/>
      <c r="G32" s="114">
        <f t="shared" si="0"/>
        <v>2</v>
      </c>
      <c r="H32" s="18"/>
      <c r="I32" s="7"/>
    </row>
    <row r="33" spans="1:9" ht="18" customHeight="1" x14ac:dyDescent="0.25">
      <c r="A33" s="14">
        <f t="shared" si="1"/>
        <v>25</v>
      </c>
      <c r="B33" s="37"/>
      <c r="C33" s="254"/>
      <c r="D33" s="133"/>
      <c r="E33" s="32"/>
      <c r="F33" s="27"/>
      <c r="G33" s="114">
        <f t="shared" si="0"/>
        <v>2</v>
      </c>
      <c r="H33" s="18"/>
      <c r="I33" s="7"/>
    </row>
    <row r="34" spans="1:9" ht="18" customHeight="1" x14ac:dyDescent="0.25">
      <c r="A34" s="14">
        <f t="shared" si="1"/>
        <v>26</v>
      </c>
      <c r="B34" s="37"/>
      <c r="C34" s="46"/>
      <c r="D34" s="10"/>
      <c r="E34" s="32"/>
      <c r="F34" s="27"/>
      <c r="G34" s="114">
        <f t="shared" si="0"/>
        <v>2</v>
      </c>
      <c r="H34" s="18"/>
      <c r="I34" s="7"/>
    </row>
    <row r="35" spans="1:9" ht="18" customHeight="1" x14ac:dyDescent="0.25">
      <c r="A35" s="7"/>
      <c r="B35" s="7"/>
      <c r="C35" s="34" t="s">
        <v>13</v>
      </c>
      <c r="D35" s="7"/>
      <c r="E35" s="35">
        <f>SUM(E8:E34)</f>
        <v>0</v>
      </c>
      <c r="F35" s="164">
        <f>SUM(F8:F34)</f>
        <v>2</v>
      </c>
      <c r="G35" s="35">
        <f>+E35-F35+G8</f>
        <v>2</v>
      </c>
      <c r="H35" s="35"/>
      <c r="I35" s="36"/>
    </row>
    <row r="36" spans="1:9" ht="18" customHeight="1" x14ac:dyDescent="0.25">
      <c r="G36" s="258"/>
    </row>
    <row r="39" spans="1:9" x14ac:dyDescent="0.25">
      <c r="E39" s="201"/>
      <c r="F39" s="201"/>
      <c r="G39" s="201"/>
      <c r="H39" s="201"/>
    </row>
    <row r="40" spans="1:9" x14ac:dyDescent="0.25">
      <c r="F40" s="26"/>
    </row>
    <row r="41" spans="1:9" x14ac:dyDescent="0.25">
      <c r="C41" t="s">
        <v>47</v>
      </c>
      <c r="E41" s="26"/>
      <c r="F41" s="26"/>
      <c r="G41" s="26"/>
      <c r="H41" s="26"/>
      <c r="I41" s="26"/>
    </row>
    <row r="42" spans="1:9" x14ac:dyDescent="0.25">
      <c r="I42" s="202"/>
    </row>
    <row r="43" spans="1:9" x14ac:dyDescent="0.25">
      <c r="E43" s="199"/>
    </row>
    <row r="44" spans="1:9" x14ac:dyDescent="0.25">
      <c r="E44" s="26"/>
      <c r="F44" s="26"/>
    </row>
    <row r="45" spans="1:9" x14ac:dyDescent="0.25">
      <c r="E45" s="203"/>
      <c r="F45" s="204"/>
      <c r="G45" s="203"/>
      <c r="H45" s="203"/>
    </row>
    <row r="46" spans="1:9" x14ac:dyDescent="0.25">
      <c r="F46" s="26"/>
    </row>
  </sheetData>
  <mergeCells count="1">
    <mergeCell ref="A4:I5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23"/>
  <dimension ref="A1:Q110"/>
  <sheetViews>
    <sheetView topLeftCell="A46" workbookViewId="0">
      <selection activeCell="F67" sqref="F6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>
        <v>45658</v>
      </c>
      <c r="C8" s="9" t="s">
        <v>15</v>
      </c>
      <c r="D8" s="10"/>
      <c r="E8" s="11"/>
      <c r="F8" s="12"/>
      <c r="G8" s="13">
        <v>30377</v>
      </c>
      <c r="H8" s="7"/>
      <c r="I8" s="7"/>
    </row>
    <row r="9" spans="1:10" ht="17.25" customHeight="1" x14ac:dyDescent="0.25">
      <c r="A9" s="14">
        <v>1</v>
      </c>
      <c r="B9" s="8">
        <v>45659</v>
      </c>
      <c r="C9" s="46" t="s">
        <v>80</v>
      </c>
      <c r="D9" s="214" t="s">
        <v>33</v>
      </c>
      <c r="E9" s="11"/>
      <c r="F9" s="27">
        <v>60</v>
      </c>
      <c r="G9" s="18">
        <f t="shared" ref="G9:G74" si="0">+G8+E9-F9</f>
        <v>30317</v>
      </c>
      <c r="H9" s="28" t="s">
        <v>101</v>
      </c>
      <c r="I9" s="7" t="s">
        <v>90</v>
      </c>
    </row>
    <row r="10" spans="1:10" ht="17.25" customHeight="1" x14ac:dyDescent="0.25">
      <c r="A10" s="14">
        <f t="shared" ref="A10:A75" si="1">+A9+1</f>
        <v>2</v>
      </c>
      <c r="B10" s="8">
        <v>45660</v>
      </c>
      <c r="C10" s="46" t="s">
        <v>80</v>
      </c>
      <c r="D10" s="214" t="s">
        <v>33</v>
      </c>
      <c r="E10" s="30"/>
      <c r="F10" s="27">
        <v>140</v>
      </c>
      <c r="G10" s="18">
        <f t="shared" si="0"/>
        <v>30177</v>
      </c>
      <c r="H10" s="28" t="s">
        <v>101</v>
      </c>
      <c r="I10" s="7" t="s">
        <v>90</v>
      </c>
    </row>
    <row r="11" spans="1:10" ht="17.25" customHeight="1" x14ac:dyDescent="0.25">
      <c r="A11" s="14">
        <f t="shared" si="1"/>
        <v>3</v>
      </c>
      <c r="B11" s="8">
        <v>45661</v>
      </c>
      <c r="C11" s="46" t="s">
        <v>80</v>
      </c>
      <c r="D11" s="214" t="s">
        <v>33</v>
      </c>
      <c r="E11" s="16"/>
      <c r="F11" s="27">
        <v>100</v>
      </c>
      <c r="G11" s="18">
        <f t="shared" si="0"/>
        <v>30077</v>
      </c>
      <c r="H11" s="28" t="s">
        <v>101</v>
      </c>
      <c r="I11" s="7" t="s">
        <v>90</v>
      </c>
      <c r="J11" s="26"/>
    </row>
    <row r="12" spans="1:10" ht="17.25" customHeight="1" x14ac:dyDescent="0.25">
      <c r="A12" s="14">
        <f t="shared" si="1"/>
        <v>4</v>
      </c>
      <c r="B12" s="8">
        <v>45297</v>
      </c>
      <c r="C12" s="46" t="s">
        <v>80</v>
      </c>
      <c r="D12" s="214" t="s">
        <v>33</v>
      </c>
      <c r="E12" s="16"/>
      <c r="F12" s="125">
        <v>74</v>
      </c>
      <c r="G12" s="18">
        <f t="shared" si="0"/>
        <v>30003</v>
      </c>
      <c r="H12" s="28" t="s">
        <v>101</v>
      </c>
      <c r="I12" s="7" t="s">
        <v>90</v>
      </c>
    </row>
    <row r="13" spans="1:10" ht="17.25" customHeight="1" x14ac:dyDescent="0.25">
      <c r="A13" s="14">
        <f t="shared" si="1"/>
        <v>5</v>
      </c>
      <c r="B13" s="205">
        <v>45664</v>
      </c>
      <c r="C13" s="46" t="s">
        <v>80</v>
      </c>
      <c r="D13" s="214" t="s">
        <v>33</v>
      </c>
      <c r="E13" s="16"/>
      <c r="F13" s="125">
        <v>65</v>
      </c>
      <c r="G13" s="18">
        <f t="shared" si="0"/>
        <v>29938</v>
      </c>
      <c r="H13" s="28" t="s">
        <v>101</v>
      </c>
      <c r="I13" s="7" t="s">
        <v>90</v>
      </c>
      <c r="J13" s="26"/>
    </row>
    <row r="14" spans="1:10" ht="17.25" customHeight="1" x14ac:dyDescent="0.25">
      <c r="A14" s="14">
        <f t="shared" si="1"/>
        <v>6</v>
      </c>
      <c r="B14" s="8">
        <v>45666</v>
      </c>
      <c r="C14" s="46" t="s">
        <v>80</v>
      </c>
      <c r="D14" s="214" t="s">
        <v>33</v>
      </c>
      <c r="E14" s="16"/>
      <c r="F14" s="118">
        <v>40</v>
      </c>
      <c r="G14" s="18">
        <f t="shared" si="0"/>
        <v>29898</v>
      </c>
      <c r="H14" s="28" t="s">
        <v>101</v>
      </c>
      <c r="I14" s="7" t="s">
        <v>90</v>
      </c>
    </row>
    <row r="15" spans="1:10" ht="17.25" customHeight="1" x14ac:dyDescent="0.25">
      <c r="A15" s="14">
        <f t="shared" si="1"/>
        <v>7</v>
      </c>
      <c r="B15" s="8">
        <v>45667</v>
      </c>
      <c r="C15" s="46" t="s">
        <v>80</v>
      </c>
      <c r="D15" s="214" t="s">
        <v>33</v>
      </c>
      <c r="E15" s="16"/>
      <c r="F15" s="118">
        <v>80</v>
      </c>
      <c r="G15" s="18">
        <f t="shared" si="0"/>
        <v>29818</v>
      </c>
      <c r="H15" s="28" t="s">
        <v>101</v>
      </c>
      <c r="I15" s="7" t="s">
        <v>90</v>
      </c>
      <c r="J15" s="26"/>
    </row>
    <row r="16" spans="1:10" ht="17.25" customHeight="1" x14ac:dyDescent="0.25">
      <c r="A16" s="14">
        <f t="shared" si="1"/>
        <v>8</v>
      </c>
      <c r="B16" s="8">
        <v>45670</v>
      </c>
      <c r="C16" s="46" t="s">
        <v>80</v>
      </c>
      <c r="D16" s="214" t="s">
        <v>33</v>
      </c>
      <c r="E16" s="16"/>
      <c r="F16" s="27">
        <v>45</v>
      </c>
      <c r="G16" s="18">
        <f t="shared" si="0"/>
        <v>29773</v>
      </c>
      <c r="H16" s="28" t="s">
        <v>140</v>
      </c>
      <c r="I16" s="7" t="s">
        <v>90</v>
      </c>
    </row>
    <row r="17" spans="1:9" ht="17.25" customHeight="1" x14ac:dyDescent="0.25">
      <c r="A17" s="14">
        <f t="shared" si="1"/>
        <v>9</v>
      </c>
      <c r="B17" s="8">
        <v>45678</v>
      </c>
      <c r="C17" s="46" t="s">
        <v>80</v>
      </c>
      <c r="D17" s="214" t="s">
        <v>33</v>
      </c>
      <c r="E17" s="30"/>
      <c r="F17" s="27">
        <v>34</v>
      </c>
      <c r="G17" s="18">
        <f t="shared" si="0"/>
        <v>29739</v>
      </c>
      <c r="H17" s="28" t="s">
        <v>101</v>
      </c>
      <c r="I17" s="7" t="s">
        <v>90</v>
      </c>
    </row>
    <row r="18" spans="1:9" s="221" customFormat="1" ht="17.25" customHeight="1" x14ac:dyDescent="0.25">
      <c r="A18" s="215">
        <f>+A17+1</f>
        <v>10</v>
      </c>
      <c r="B18" s="216">
        <v>45679</v>
      </c>
      <c r="C18" s="46" t="s">
        <v>80</v>
      </c>
      <c r="D18" s="214" t="s">
        <v>33</v>
      </c>
      <c r="E18" s="218"/>
      <c r="F18" s="219">
        <v>47</v>
      </c>
      <c r="G18" s="220">
        <f t="shared" si="0"/>
        <v>29692</v>
      </c>
      <c r="H18" s="28" t="s">
        <v>101</v>
      </c>
      <c r="I18" s="7" t="s">
        <v>90</v>
      </c>
    </row>
    <row r="19" spans="1:9" s="221" customFormat="1" ht="17.25" customHeight="1" x14ac:dyDescent="0.25">
      <c r="A19" s="215">
        <f t="shared" si="1"/>
        <v>11</v>
      </c>
      <c r="B19" s="216">
        <v>45680</v>
      </c>
      <c r="C19" s="46" t="s">
        <v>80</v>
      </c>
      <c r="D19" s="214" t="s">
        <v>33</v>
      </c>
      <c r="E19" s="222"/>
      <c r="F19" s="219">
        <v>78</v>
      </c>
      <c r="G19" s="220">
        <f t="shared" si="0"/>
        <v>29614</v>
      </c>
      <c r="H19" s="28" t="s">
        <v>101</v>
      </c>
      <c r="I19" s="7" t="s">
        <v>90</v>
      </c>
    </row>
    <row r="20" spans="1:9" ht="17.25" customHeight="1" x14ac:dyDescent="0.25">
      <c r="A20" s="14">
        <f t="shared" si="1"/>
        <v>12</v>
      </c>
      <c r="B20" s="8">
        <v>45681</v>
      </c>
      <c r="C20" s="46" t="s">
        <v>80</v>
      </c>
      <c r="D20" s="214" t="s">
        <v>33</v>
      </c>
      <c r="E20" s="32"/>
      <c r="F20" s="17">
        <v>82</v>
      </c>
      <c r="G20" s="18">
        <f t="shared" si="0"/>
        <v>29532</v>
      </c>
      <c r="H20" s="28" t="s">
        <v>101</v>
      </c>
      <c r="I20" s="7" t="s">
        <v>90</v>
      </c>
    </row>
    <row r="21" spans="1:9" ht="17.25" customHeight="1" x14ac:dyDescent="0.25">
      <c r="A21" s="14">
        <f t="shared" si="1"/>
        <v>13</v>
      </c>
      <c r="B21" s="8">
        <v>45695</v>
      </c>
      <c r="C21" s="46" t="s">
        <v>80</v>
      </c>
      <c r="D21" s="214" t="s">
        <v>33</v>
      </c>
      <c r="E21" s="32"/>
      <c r="F21" s="27">
        <v>60</v>
      </c>
      <c r="G21" s="18">
        <f t="shared" si="0"/>
        <v>29472</v>
      </c>
      <c r="H21" s="28" t="s">
        <v>101</v>
      </c>
      <c r="I21" s="7" t="s">
        <v>90</v>
      </c>
    </row>
    <row r="22" spans="1:9" ht="17.25" customHeight="1" x14ac:dyDescent="0.25">
      <c r="A22" s="14">
        <f t="shared" si="1"/>
        <v>14</v>
      </c>
      <c r="B22" s="8">
        <v>45696</v>
      </c>
      <c r="C22" s="46" t="s">
        <v>80</v>
      </c>
      <c r="D22" s="214" t="s">
        <v>33</v>
      </c>
      <c r="E22" s="32"/>
      <c r="F22" s="17">
        <v>80</v>
      </c>
      <c r="G22" s="18">
        <f t="shared" si="0"/>
        <v>29392</v>
      </c>
      <c r="H22" s="28" t="s">
        <v>101</v>
      </c>
      <c r="I22" s="7" t="s">
        <v>90</v>
      </c>
    </row>
    <row r="23" spans="1:9" ht="17.25" customHeight="1" x14ac:dyDescent="0.25">
      <c r="A23" s="14">
        <f t="shared" si="1"/>
        <v>15</v>
      </c>
      <c r="B23" s="8">
        <v>45698</v>
      </c>
      <c r="C23" s="46" t="s">
        <v>80</v>
      </c>
      <c r="D23" s="214" t="s">
        <v>33</v>
      </c>
      <c r="E23" s="32"/>
      <c r="F23" s="17">
        <v>100</v>
      </c>
      <c r="G23" s="18">
        <f t="shared" si="0"/>
        <v>29292</v>
      </c>
      <c r="H23" s="28" t="s">
        <v>101</v>
      </c>
      <c r="I23" s="7" t="s">
        <v>90</v>
      </c>
    </row>
    <row r="24" spans="1:9" ht="17.25" customHeight="1" x14ac:dyDescent="0.25">
      <c r="A24" s="14">
        <f t="shared" si="1"/>
        <v>16</v>
      </c>
      <c r="B24" s="8">
        <v>45699</v>
      </c>
      <c r="C24" s="46" t="s">
        <v>80</v>
      </c>
      <c r="D24" s="214" t="s">
        <v>33</v>
      </c>
      <c r="E24" s="32"/>
      <c r="F24" s="17">
        <v>81</v>
      </c>
      <c r="G24" s="18">
        <f t="shared" si="0"/>
        <v>29211</v>
      </c>
      <c r="H24" s="28" t="s">
        <v>101</v>
      </c>
      <c r="I24" s="7" t="s">
        <v>90</v>
      </c>
    </row>
    <row r="25" spans="1:9" ht="17.25" customHeight="1" x14ac:dyDescent="0.25">
      <c r="A25" s="14">
        <f t="shared" si="1"/>
        <v>17</v>
      </c>
      <c r="B25" s="8">
        <v>45701</v>
      </c>
      <c r="C25" s="46" t="s">
        <v>80</v>
      </c>
      <c r="D25" s="214" t="s">
        <v>33</v>
      </c>
      <c r="E25" s="32"/>
      <c r="F25" s="17">
        <v>87</v>
      </c>
      <c r="G25" s="18">
        <f t="shared" si="0"/>
        <v>29124</v>
      </c>
      <c r="H25" s="28" t="s">
        <v>101</v>
      </c>
      <c r="I25" s="7" t="s">
        <v>90</v>
      </c>
    </row>
    <row r="26" spans="1:9" ht="17.25" customHeight="1" x14ac:dyDescent="0.25">
      <c r="A26" s="14">
        <f t="shared" si="1"/>
        <v>18</v>
      </c>
      <c r="B26" s="8">
        <v>45702</v>
      </c>
      <c r="C26" s="46" t="s">
        <v>102</v>
      </c>
      <c r="D26" s="214" t="s">
        <v>33</v>
      </c>
      <c r="E26" s="32"/>
      <c r="F26" s="17">
        <v>100</v>
      </c>
      <c r="G26" s="18">
        <f t="shared" si="0"/>
        <v>29024</v>
      </c>
      <c r="H26" s="28" t="s">
        <v>101</v>
      </c>
      <c r="I26" s="7" t="s">
        <v>90</v>
      </c>
    </row>
    <row r="27" spans="1:9" ht="17.25" customHeight="1" x14ac:dyDescent="0.25">
      <c r="A27" s="14">
        <f t="shared" si="1"/>
        <v>19</v>
      </c>
      <c r="B27" s="8">
        <v>45703</v>
      </c>
      <c r="C27" s="46" t="s">
        <v>80</v>
      </c>
      <c r="D27" s="214" t="s">
        <v>33</v>
      </c>
      <c r="E27" s="32"/>
      <c r="F27" s="17">
        <v>53</v>
      </c>
      <c r="G27" s="18">
        <f t="shared" si="0"/>
        <v>28971</v>
      </c>
      <c r="H27" s="28" t="s">
        <v>101</v>
      </c>
      <c r="I27" s="7" t="s">
        <v>90</v>
      </c>
    </row>
    <row r="28" spans="1:9" ht="17.25" customHeight="1" x14ac:dyDescent="0.25">
      <c r="A28" s="14">
        <f t="shared" si="1"/>
        <v>20</v>
      </c>
      <c r="B28" s="8">
        <v>45705</v>
      </c>
      <c r="C28" s="46" t="s">
        <v>80</v>
      </c>
      <c r="D28" s="214" t="s">
        <v>33</v>
      </c>
      <c r="E28" s="32"/>
      <c r="F28" s="17">
        <v>25</v>
      </c>
      <c r="G28" s="18">
        <f t="shared" si="0"/>
        <v>28946</v>
      </c>
      <c r="H28" s="28" t="s">
        <v>101</v>
      </c>
      <c r="I28" s="7" t="s">
        <v>90</v>
      </c>
    </row>
    <row r="29" spans="1:9" ht="17.25" customHeight="1" x14ac:dyDescent="0.25">
      <c r="A29" s="14">
        <f t="shared" si="1"/>
        <v>21</v>
      </c>
      <c r="B29" s="8">
        <v>45708</v>
      </c>
      <c r="C29" s="46" t="s">
        <v>80</v>
      </c>
      <c r="D29" s="214" t="s">
        <v>33</v>
      </c>
      <c r="E29" s="129"/>
      <c r="F29" s="17">
        <v>60</v>
      </c>
      <c r="G29" s="18">
        <f t="shared" si="0"/>
        <v>28886</v>
      </c>
      <c r="H29" s="28" t="s">
        <v>101</v>
      </c>
      <c r="I29" s="7" t="s">
        <v>90</v>
      </c>
    </row>
    <row r="30" spans="1:9" ht="17.25" customHeight="1" x14ac:dyDescent="0.25">
      <c r="A30" s="14">
        <f t="shared" si="1"/>
        <v>22</v>
      </c>
      <c r="B30" s="8">
        <v>45709</v>
      </c>
      <c r="C30" s="46" t="s">
        <v>80</v>
      </c>
      <c r="D30" s="214" t="s">
        <v>33</v>
      </c>
      <c r="E30" s="32"/>
      <c r="F30" s="17">
        <v>80</v>
      </c>
      <c r="G30" s="18">
        <f t="shared" si="0"/>
        <v>28806</v>
      </c>
      <c r="H30" s="28" t="s">
        <v>101</v>
      </c>
      <c r="I30" s="7" t="s">
        <v>90</v>
      </c>
    </row>
    <row r="31" spans="1:9" ht="17.25" customHeight="1" x14ac:dyDescent="0.25">
      <c r="A31" s="14">
        <f t="shared" si="1"/>
        <v>23</v>
      </c>
      <c r="B31" s="8">
        <v>45710</v>
      </c>
      <c r="C31" s="46" t="s">
        <v>80</v>
      </c>
      <c r="D31" s="214" t="s">
        <v>33</v>
      </c>
      <c r="E31" s="32"/>
      <c r="F31" s="17">
        <v>120</v>
      </c>
      <c r="G31" s="18">
        <f t="shared" si="0"/>
        <v>28686</v>
      </c>
      <c r="H31" s="28" t="s">
        <v>101</v>
      </c>
      <c r="I31" s="7" t="s">
        <v>90</v>
      </c>
    </row>
    <row r="32" spans="1:9" ht="17.25" customHeight="1" x14ac:dyDescent="0.25">
      <c r="A32" s="14">
        <f t="shared" si="1"/>
        <v>24</v>
      </c>
      <c r="B32" s="8">
        <v>45712</v>
      </c>
      <c r="C32" s="46" t="s">
        <v>80</v>
      </c>
      <c r="D32" s="214" t="s">
        <v>33</v>
      </c>
      <c r="E32" s="32"/>
      <c r="F32" s="17">
        <v>100</v>
      </c>
      <c r="G32" s="18">
        <f t="shared" si="0"/>
        <v>28586</v>
      </c>
      <c r="H32" s="28" t="s">
        <v>101</v>
      </c>
      <c r="I32" s="7" t="s">
        <v>90</v>
      </c>
    </row>
    <row r="33" spans="1:9" ht="17.25" customHeight="1" x14ac:dyDescent="0.25">
      <c r="A33" s="14">
        <f t="shared" si="1"/>
        <v>25</v>
      </c>
      <c r="B33" s="8">
        <v>45713</v>
      </c>
      <c r="C33" s="46" t="s">
        <v>80</v>
      </c>
      <c r="D33" s="214" t="s">
        <v>19</v>
      </c>
      <c r="E33" s="13"/>
      <c r="F33" s="17">
        <v>100</v>
      </c>
      <c r="G33" s="18">
        <f t="shared" si="0"/>
        <v>28486</v>
      </c>
      <c r="H33" s="28" t="s">
        <v>101</v>
      </c>
      <c r="I33" s="7" t="s">
        <v>90</v>
      </c>
    </row>
    <row r="34" spans="1:9" ht="17.25" customHeight="1" x14ac:dyDescent="0.25">
      <c r="A34" s="14">
        <f t="shared" si="1"/>
        <v>26</v>
      </c>
      <c r="B34" s="44">
        <v>45714</v>
      </c>
      <c r="C34" s="46" t="s">
        <v>80</v>
      </c>
      <c r="D34" s="214" t="s">
        <v>19</v>
      </c>
      <c r="E34" s="13"/>
      <c r="F34" s="17">
        <v>45</v>
      </c>
      <c r="G34" s="18">
        <f t="shared" si="0"/>
        <v>28441</v>
      </c>
      <c r="H34" s="28" t="s">
        <v>101</v>
      </c>
      <c r="I34" s="7" t="s">
        <v>90</v>
      </c>
    </row>
    <row r="35" spans="1:9" ht="17.25" customHeight="1" x14ac:dyDescent="0.25">
      <c r="A35" s="14">
        <f t="shared" si="1"/>
        <v>27</v>
      </c>
      <c r="B35" s="8">
        <v>45716</v>
      </c>
      <c r="C35" s="46" t="s">
        <v>80</v>
      </c>
      <c r="D35" s="214" t="s">
        <v>19</v>
      </c>
      <c r="E35" s="32"/>
      <c r="F35" s="40">
        <v>80</v>
      </c>
      <c r="G35" s="18">
        <f t="shared" si="0"/>
        <v>28361</v>
      </c>
      <c r="H35" s="28" t="s">
        <v>101</v>
      </c>
      <c r="I35" s="7" t="s">
        <v>90</v>
      </c>
    </row>
    <row r="36" spans="1:9" ht="17.25" customHeight="1" x14ac:dyDescent="0.25">
      <c r="A36" s="14">
        <f t="shared" si="1"/>
        <v>28</v>
      </c>
      <c r="B36" s="45">
        <v>45717</v>
      </c>
      <c r="C36" s="46" t="s">
        <v>80</v>
      </c>
      <c r="D36" s="214" t="s">
        <v>19</v>
      </c>
      <c r="E36" s="32"/>
      <c r="F36" s="40">
        <v>80</v>
      </c>
      <c r="G36" s="18">
        <f t="shared" si="0"/>
        <v>28281</v>
      </c>
      <c r="H36" s="28" t="s">
        <v>101</v>
      </c>
      <c r="I36" s="7" t="s">
        <v>90</v>
      </c>
    </row>
    <row r="37" spans="1:9" ht="17.25" customHeight="1" x14ac:dyDescent="0.25">
      <c r="A37" s="14">
        <f t="shared" si="1"/>
        <v>29</v>
      </c>
      <c r="B37" s="8">
        <v>45719</v>
      </c>
      <c r="C37" s="46" t="s">
        <v>80</v>
      </c>
      <c r="D37" s="214" t="s">
        <v>19</v>
      </c>
      <c r="E37" s="32"/>
      <c r="F37" s="40">
        <v>11</v>
      </c>
      <c r="G37" s="18">
        <f t="shared" si="0"/>
        <v>28270</v>
      </c>
      <c r="H37" s="28" t="s">
        <v>101</v>
      </c>
      <c r="I37" s="7" t="s">
        <v>90</v>
      </c>
    </row>
    <row r="38" spans="1:9" ht="17.25" customHeight="1" x14ac:dyDescent="0.25">
      <c r="A38" s="14">
        <f t="shared" si="1"/>
        <v>30</v>
      </c>
      <c r="B38" s="8">
        <v>45720</v>
      </c>
      <c r="C38" s="46" t="s">
        <v>80</v>
      </c>
      <c r="D38" s="214" t="s">
        <v>19</v>
      </c>
      <c r="E38" s="32"/>
      <c r="F38" s="17">
        <v>4</v>
      </c>
      <c r="G38" s="18">
        <f t="shared" si="0"/>
        <v>28266</v>
      </c>
      <c r="H38" s="28" t="s">
        <v>101</v>
      </c>
      <c r="I38" s="7" t="s">
        <v>90</v>
      </c>
    </row>
    <row r="39" spans="1:9" ht="17.25" customHeight="1" x14ac:dyDescent="0.25">
      <c r="A39" s="14">
        <f t="shared" si="1"/>
        <v>31</v>
      </c>
      <c r="B39" s="8">
        <v>45727</v>
      </c>
      <c r="C39" s="46" t="s">
        <v>80</v>
      </c>
      <c r="D39" s="214" t="s">
        <v>19</v>
      </c>
      <c r="E39" s="32"/>
      <c r="F39" s="17">
        <v>80</v>
      </c>
      <c r="G39" s="18">
        <f t="shared" si="0"/>
        <v>28186</v>
      </c>
      <c r="H39" s="28" t="s">
        <v>101</v>
      </c>
      <c r="I39" s="7" t="s">
        <v>90</v>
      </c>
    </row>
    <row r="40" spans="1:9" ht="17.25" customHeight="1" x14ac:dyDescent="0.25">
      <c r="A40" s="14">
        <f t="shared" si="1"/>
        <v>32</v>
      </c>
      <c r="B40" s="8">
        <v>45728</v>
      </c>
      <c r="C40" s="46" t="s">
        <v>80</v>
      </c>
      <c r="D40" s="214" t="s">
        <v>19</v>
      </c>
      <c r="E40" s="32"/>
      <c r="F40" s="17">
        <v>8</v>
      </c>
      <c r="G40" s="18">
        <f t="shared" si="0"/>
        <v>28178</v>
      </c>
      <c r="H40" s="28" t="s">
        <v>101</v>
      </c>
      <c r="I40" s="7" t="s">
        <v>90</v>
      </c>
    </row>
    <row r="41" spans="1:9" ht="17.25" customHeight="1" x14ac:dyDescent="0.25">
      <c r="A41" s="14">
        <f t="shared" si="1"/>
        <v>33</v>
      </c>
      <c r="B41" s="8">
        <v>45741</v>
      </c>
      <c r="C41" s="46" t="s">
        <v>80</v>
      </c>
      <c r="D41" s="214" t="s">
        <v>19</v>
      </c>
      <c r="E41" s="32"/>
      <c r="F41" s="17">
        <v>140</v>
      </c>
      <c r="G41" s="18">
        <f t="shared" si="0"/>
        <v>28038</v>
      </c>
      <c r="H41" s="28" t="s">
        <v>101</v>
      </c>
      <c r="I41" s="7" t="s">
        <v>90</v>
      </c>
    </row>
    <row r="42" spans="1:9" ht="17.25" customHeight="1" x14ac:dyDescent="0.25">
      <c r="A42" s="14">
        <f t="shared" si="1"/>
        <v>34</v>
      </c>
      <c r="B42" s="8">
        <v>45742</v>
      </c>
      <c r="C42" s="46" t="s">
        <v>80</v>
      </c>
      <c r="D42" s="214" t="s">
        <v>19</v>
      </c>
      <c r="E42" s="32"/>
      <c r="F42" s="17">
        <v>141</v>
      </c>
      <c r="G42" s="18">
        <f t="shared" si="0"/>
        <v>27897</v>
      </c>
      <c r="H42" s="28" t="s">
        <v>101</v>
      </c>
      <c r="I42" s="7" t="s">
        <v>90</v>
      </c>
    </row>
    <row r="43" spans="1:9" ht="17.25" customHeight="1" x14ac:dyDescent="0.25">
      <c r="A43" s="14">
        <f t="shared" si="1"/>
        <v>35</v>
      </c>
      <c r="B43" s="8">
        <v>45743</v>
      </c>
      <c r="C43" s="46" t="s">
        <v>80</v>
      </c>
      <c r="D43" s="214" t="s">
        <v>19</v>
      </c>
      <c r="E43" s="32"/>
      <c r="F43" s="17">
        <v>136</v>
      </c>
      <c r="G43" s="18">
        <f t="shared" si="0"/>
        <v>27761</v>
      </c>
      <c r="H43" s="28" t="s">
        <v>101</v>
      </c>
      <c r="I43" s="7" t="s">
        <v>90</v>
      </c>
    </row>
    <row r="44" spans="1:9" ht="17.25" customHeight="1" x14ac:dyDescent="0.25">
      <c r="A44" s="14">
        <f t="shared" si="1"/>
        <v>36</v>
      </c>
      <c r="B44" s="8">
        <v>45744</v>
      </c>
      <c r="C44" s="46" t="s">
        <v>80</v>
      </c>
      <c r="D44" s="214" t="s">
        <v>19</v>
      </c>
      <c r="E44" s="32"/>
      <c r="F44" s="17">
        <v>144</v>
      </c>
      <c r="G44" s="18">
        <f t="shared" si="0"/>
        <v>27617</v>
      </c>
      <c r="H44" s="28" t="s">
        <v>101</v>
      </c>
      <c r="I44" s="7" t="s">
        <v>90</v>
      </c>
    </row>
    <row r="45" spans="1:9" ht="17.25" customHeight="1" x14ac:dyDescent="0.25">
      <c r="A45" s="14">
        <f t="shared" si="1"/>
        <v>37</v>
      </c>
      <c r="B45" s="8">
        <v>45747</v>
      </c>
      <c r="C45" s="46" t="s">
        <v>80</v>
      </c>
      <c r="D45" s="214"/>
      <c r="E45" s="32"/>
      <c r="F45" s="17">
        <v>139</v>
      </c>
      <c r="G45" s="18">
        <f t="shared" si="0"/>
        <v>27478</v>
      </c>
      <c r="H45" s="28" t="s">
        <v>101</v>
      </c>
      <c r="I45" s="7" t="s">
        <v>90</v>
      </c>
    </row>
    <row r="46" spans="1:9" ht="17.25" customHeight="1" x14ac:dyDescent="0.25">
      <c r="A46" s="14">
        <f t="shared" si="1"/>
        <v>38</v>
      </c>
      <c r="B46" s="8">
        <v>45748</v>
      </c>
      <c r="C46" s="46" t="s">
        <v>80</v>
      </c>
      <c r="D46" s="214" t="s">
        <v>19</v>
      </c>
      <c r="E46" s="32"/>
      <c r="F46" s="17">
        <v>130</v>
      </c>
      <c r="G46" s="18">
        <f t="shared" si="0"/>
        <v>27348</v>
      </c>
      <c r="H46" s="28" t="s">
        <v>101</v>
      </c>
      <c r="I46" s="7" t="s">
        <v>90</v>
      </c>
    </row>
    <row r="47" spans="1:9" ht="17.25" customHeight="1" x14ac:dyDescent="0.25">
      <c r="A47" s="14">
        <f t="shared" si="1"/>
        <v>39</v>
      </c>
      <c r="B47" s="8">
        <v>45749</v>
      </c>
      <c r="C47" s="46" t="s">
        <v>80</v>
      </c>
      <c r="D47" s="214" t="s">
        <v>19</v>
      </c>
      <c r="E47" s="32"/>
      <c r="F47" s="17">
        <v>120</v>
      </c>
      <c r="G47" s="18">
        <f t="shared" si="0"/>
        <v>27228</v>
      </c>
      <c r="H47" s="28" t="s">
        <v>101</v>
      </c>
      <c r="I47" s="7" t="s">
        <v>90</v>
      </c>
    </row>
    <row r="48" spans="1:9" ht="17.25" customHeight="1" x14ac:dyDescent="0.25">
      <c r="A48" s="14">
        <f t="shared" si="1"/>
        <v>40</v>
      </c>
      <c r="B48" s="8">
        <v>45750</v>
      </c>
      <c r="C48" s="46" t="s">
        <v>80</v>
      </c>
      <c r="D48" s="214" t="s">
        <v>19</v>
      </c>
      <c r="E48" s="32"/>
      <c r="F48" s="17">
        <v>100</v>
      </c>
      <c r="G48" s="18">
        <f t="shared" si="0"/>
        <v>27128</v>
      </c>
      <c r="H48" s="28" t="s">
        <v>101</v>
      </c>
      <c r="I48" s="7" t="s">
        <v>90</v>
      </c>
    </row>
    <row r="49" spans="1:9" ht="17.25" customHeight="1" x14ac:dyDescent="0.25">
      <c r="A49" s="14">
        <f t="shared" si="1"/>
        <v>41</v>
      </c>
      <c r="B49" s="8">
        <v>45751</v>
      </c>
      <c r="C49" s="46" t="s">
        <v>80</v>
      </c>
      <c r="D49" s="214" t="s">
        <v>19</v>
      </c>
      <c r="E49" s="32"/>
      <c r="F49" s="17">
        <v>51</v>
      </c>
      <c r="G49" s="18">
        <f t="shared" si="0"/>
        <v>27077</v>
      </c>
      <c r="H49" s="28" t="s">
        <v>101</v>
      </c>
      <c r="I49" s="7" t="s">
        <v>90</v>
      </c>
    </row>
    <row r="50" spans="1:9" ht="17.25" customHeight="1" x14ac:dyDescent="0.25">
      <c r="A50" s="14">
        <f t="shared" si="1"/>
        <v>42</v>
      </c>
      <c r="B50" s="8">
        <v>45752</v>
      </c>
      <c r="C50" s="46" t="s">
        <v>80</v>
      </c>
      <c r="D50" s="214" t="s">
        <v>19</v>
      </c>
      <c r="E50" s="32"/>
      <c r="F50" s="17">
        <v>120</v>
      </c>
      <c r="G50" s="18">
        <f t="shared" si="0"/>
        <v>26957</v>
      </c>
      <c r="H50" s="28" t="s">
        <v>101</v>
      </c>
      <c r="I50" s="7" t="s">
        <v>90</v>
      </c>
    </row>
    <row r="51" spans="1:9" ht="17.25" customHeight="1" x14ac:dyDescent="0.25">
      <c r="A51" s="14">
        <f t="shared" si="1"/>
        <v>43</v>
      </c>
      <c r="B51" s="8">
        <v>45755</v>
      </c>
      <c r="C51" s="46" t="s">
        <v>80</v>
      </c>
      <c r="D51" s="214" t="s">
        <v>19</v>
      </c>
      <c r="E51" s="32"/>
      <c r="F51" s="17">
        <v>30</v>
      </c>
      <c r="G51" s="18">
        <f t="shared" si="0"/>
        <v>26927</v>
      </c>
      <c r="H51" s="28" t="s">
        <v>101</v>
      </c>
      <c r="I51" s="7" t="s">
        <v>90</v>
      </c>
    </row>
    <row r="52" spans="1:9" ht="17.25" customHeight="1" x14ac:dyDescent="0.25">
      <c r="A52" s="14">
        <f t="shared" si="1"/>
        <v>44</v>
      </c>
      <c r="B52" s="8">
        <v>45761</v>
      </c>
      <c r="C52" s="46" t="s">
        <v>80</v>
      </c>
      <c r="D52" s="214" t="s">
        <v>19</v>
      </c>
      <c r="E52" s="32"/>
      <c r="F52" s="17">
        <v>75</v>
      </c>
      <c r="G52" s="18">
        <f t="shared" si="0"/>
        <v>26852</v>
      </c>
      <c r="H52" s="28" t="s">
        <v>101</v>
      </c>
      <c r="I52" s="7" t="s">
        <v>90</v>
      </c>
    </row>
    <row r="53" spans="1:9" ht="17.25" customHeight="1" x14ac:dyDescent="0.25">
      <c r="A53" s="14">
        <f t="shared" si="1"/>
        <v>45</v>
      </c>
      <c r="B53" s="8">
        <v>45768</v>
      </c>
      <c r="C53" s="46" t="s">
        <v>80</v>
      </c>
      <c r="D53" s="214" t="s">
        <v>19</v>
      </c>
      <c r="E53" s="32"/>
      <c r="F53" s="17">
        <v>140</v>
      </c>
      <c r="G53" s="18">
        <f t="shared" si="0"/>
        <v>26712</v>
      </c>
      <c r="H53" s="28" t="s">
        <v>101</v>
      </c>
      <c r="I53" s="7" t="s">
        <v>90</v>
      </c>
    </row>
    <row r="54" spans="1:9" ht="17.25" customHeight="1" x14ac:dyDescent="0.25">
      <c r="A54" s="14">
        <f t="shared" si="1"/>
        <v>46</v>
      </c>
      <c r="B54" s="8">
        <v>45769</v>
      </c>
      <c r="C54" s="46" t="s">
        <v>80</v>
      </c>
      <c r="D54" s="214" t="s">
        <v>19</v>
      </c>
      <c r="E54" s="32"/>
      <c r="F54" s="17">
        <v>140</v>
      </c>
      <c r="G54" s="18">
        <f t="shared" si="0"/>
        <v>26572</v>
      </c>
      <c r="H54" s="28" t="s">
        <v>101</v>
      </c>
      <c r="I54" s="7" t="s">
        <v>90</v>
      </c>
    </row>
    <row r="55" spans="1:9" ht="17.25" customHeight="1" x14ac:dyDescent="0.25">
      <c r="A55" s="14">
        <f t="shared" si="1"/>
        <v>47</v>
      </c>
      <c r="B55" s="8">
        <v>45770</v>
      </c>
      <c r="C55" s="46" t="s">
        <v>80</v>
      </c>
      <c r="D55" s="214" t="s">
        <v>19</v>
      </c>
      <c r="E55" s="32"/>
      <c r="F55" s="17">
        <v>160</v>
      </c>
      <c r="G55" s="18">
        <f t="shared" si="0"/>
        <v>26412</v>
      </c>
      <c r="H55" s="28" t="s">
        <v>101</v>
      </c>
      <c r="I55" s="7" t="s">
        <v>90</v>
      </c>
    </row>
    <row r="56" spans="1:9" ht="17.25" customHeight="1" x14ac:dyDescent="0.25">
      <c r="A56" s="14">
        <f t="shared" si="1"/>
        <v>48</v>
      </c>
      <c r="B56" s="8">
        <v>45771</v>
      </c>
      <c r="C56" s="46" t="s">
        <v>80</v>
      </c>
      <c r="D56" s="214" t="s">
        <v>19</v>
      </c>
      <c r="E56" s="32"/>
      <c r="F56" s="17">
        <v>140</v>
      </c>
      <c r="G56" s="18">
        <f t="shared" si="0"/>
        <v>26272</v>
      </c>
      <c r="H56" s="28" t="s">
        <v>101</v>
      </c>
      <c r="I56" s="7" t="s">
        <v>90</v>
      </c>
    </row>
    <row r="57" spans="1:9" ht="17.25" customHeight="1" x14ac:dyDescent="0.25">
      <c r="A57" s="14">
        <f t="shared" si="1"/>
        <v>49</v>
      </c>
      <c r="B57" s="8">
        <v>45772</v>
      </c>
      <c r="C57" s="46" t="s">
        <v>80</v>
      </c>
      <c r="D57" s="214" t="s">
        <v>19</v>
      </c>
      <c r="E57" s="32"/>
      <c r="F57" s="17">
        <v>60</v>
      </c>
      <c r="G57" s="18">
        <f t="shared" si="0"/>
        <v>26212</v>
      </c>
      <c r="H57" s="28" t="s">
        <v>101</v>
      </c>
      <c r="I57" s="7" t="s">
        <v>90</v>
      </c>
    </row>
    <row r="58" spans="1:9" ht="17.25" customHeight="1" x14ac:dyDescent="0.25">
      <c r="A58" s="14">
        <f t="shared" si="1"/>
        <v>50</v>
      </c>
      <c r="B58" s="8">
        <v>45774</v>
      </c>
      <c r="C58" s="46" t="s">
        <v>80</v>
      </c>
      <c r="D58" s="214" t="s">
        <v>19</v>
      </c>
      <c r="E58" s="32"/>
      <c r="F58" s="17">
        <v>140</v>
      </c>
      <c r="G58" s="18">
        <f t="shared" si="0"/>
        <v>26072</v>
      </c>
      <c r="H58" s="28" t="s">
        <v>101</v>
      </c>
      <c r="I58" s="7" t="s">
        <v>90</v>
      </c>
    </row>
    <row r="59" spans="1:9" ht="17.25" customHeight="1" x14ac:dyDescent="0.25">
      <c r="A59" s="14">
        <f t="shared" si="1"/>
        <v>51</v>
      </c>
      <c r="B59" s="8">
        <v>45775</v>
      </c>
      <c r="C59" s="46" t="s">
        <v>80</v>
      </c>
      <c r="D59" s="214" t="s">
        <v>19</v>
      </c>
      <c r="E59" s="32"/>
      <c r="F59" s="17">
        <v>120</v>
      </c>
      <c r="G59" s="18">
        <f t="shared" si="0"/>
        <v>25952</v>
      </c>
      <c r="H59" s="28" t="s">
        <v>101</v>
      </c>
      <c r="I59" s="7" t="s">
        <v>90</v>
      </c>
    </row>
    <row r="60" spans="1:9" ht="17.25" customHeight="1" x14ac:dyDescent="0.25">
      <c r="A60" s="14">
        <f t="shared" si="1"/>
        <v>52</v>
      </c>
      <c r="B60" s="8">
        <v>45776</v>
      </c>
      <c r="C60" s="46" t="s">
        <v>80</v>
      </c>
      <c r="D60" s="214" t="s">
        <v>19</v>
      </c>
      <c r="E60" s="32"/>
      <c r="F60" s="17">
        <v>126</v>
      </c>
      <c r="G60" s="18">
        <f t="shared" si="0"/>
        <v>25826</v>
      </c>
      <c r="H60" s="28" t="s">
        <v>101</v>
      </c>
      <c r="I60" s="7" t="s">
        <v>90</v>
      </c>
    </row>
    <row r="61" spans="1:9" ht="17.25" customHeight="1" x14ac:dyDescent="0.25">
      <c r="A61" s="14">
        <f t="shared" si="1"/>
        <v>53</v>
      </c>
      <c r="B61" s="8">
        <v>45859</v>
      </c>
      <c r="C61" s="46" t="s">
        <v>80</v>
      </c>
      <c r="D61" s="214" t="s">
        <v>19</v>
      </c>
      <c r="E61" s="32"/>
      <c r="F61" s="17">
        <v>60</v>
      </c>
      <c r="G61" s="18">
        <f t="shared" si="0"/>
        <v>25766</v>
      </c>
      <c r="H61" s="28" t="s">
        <v>101</v>
      </c>
      <c r="I61" s="7" t="s">
        <v>90</v>
      </c>
    </row>
    <row r="62" spans="1:9" ht="17.25" customHeight="1" x14ac:dyDescent="0.25">
      <c r="A62" s="14">
        <f t="shared" si="1"/>
        <v>54</v>
      </c>
      <c r="B62" s="8">
        <v>45863</v>
      </c>
      <c r="C62" s="46" t="s">
        <v>80</v>
      </c>
      <c r="D62" s="214" t="s">
        <v>19</v>
      </c>
      <c r="E62" s="32"/>
      <c r="F62" s="17">
        <v>200</v>
      </c>
      <c r="G62" s="18">
        <f t="shared" si="0"/>
        <v>25566</v>
      </c>
      <c r="H62" s="28" t="s">
        <v>101</v>
      </c>
      <c r="I62" s="7" t="s">
        <v>90</v>
      </c>
    </row>
    <row r="63" spans="1:9" ht="17.25" customHeight="1" x14ac:dyDescent="0.25">
      <c r="A63" s="14">
        <f t="shared" si="1"/>
        <v>55</v>
      </c>
      <c r="B63" s="8">
        <v>45864</v>
      </c>
      <c r="C63" s="46" t="s">
        <v>80</v>
      </c>
      <c r="D63" s="214" t="s">
        <v>19</v>
      </c>
      <c r="E63" s="32"/>
      <c r="F63" s="17">
        <v>40</v>
      </c>
      <c r="G63" s="18">
        <f t="shared" si="0"/>
        <v>25526</v>
      </c>
      <c r="H63" s="28" t="s">
        <v>101</v>
      </c>
      <c r="I63" s="7" t="s">
        <v>90</v>
      </c>
    </row>
    <row r="64" spans="1:9" ht="17.25" customHeight="1" x14ac:dyDescent="0.25">
      <c r="A64" s="14">
        <f t="shared" si="1"/>
        <v>56</v>
      </c>
      <c r="B64" s="8">
        <v>45909</v>
      </c>
      <c r="C64" s="46" t="s">
        <v>80</v>
      </c>
      <c r="D64" s="214" t="s">
        <v>19</v>
      </c>
      <c r="E64" s="32"/>
      <c r="F64" s="17">
        <v>220</v>
      </c>
      <c r="G64" s="18">
        <f t="shared" si="0"/>
        <v>25306</v>
      </c>
      <c r="H64" s="28" t="s">
        <v>101</v>
      </c>
      <c r="I64" s="7" t="s">
        <v>90</v>
      </c>
    </row>
    <row r="65" spans="1:10" ht="17.25" customHeight="1" x14ac:dyDescent="0.25">
      <c r="A65" s="14">
        <f t="shared" si="1"/>
        <v>57</v>
      </c>
      <c r="B65" s="8">
        <v>45910</v>
      </c>
      <c r="C65" s="46" t="s">
        <v>80</v>
      </c>
      <c r="D65" s="214" t="s">
        <v>19</v>
      </c>
      <c r="E65" s="32"/>
      <c r="F65" s="17">
        <v>300</v>
      </c>
      <c r="G65" s="18">
        <f t="shared" si="0"/>
        <v>25006</v>
      </c>
      <c r="H65" s="28" t="s">
        <v>101</v>
      </c>
      <c r="I65" s="7" t="s">
        <v>90</v>
      </c>
    </row>
    <row r="66" spans="1:10" ht="17.25" customHeight="1" x14ac:dyDescent="0.25">
      <c r="A66" s="14">
        <f t="shared" si="1"/>
        <v>58</v>
      </c>
      <c r="B66" s="8">
        <v>45912</v>
      </c>
      <c r="C66" s="46" t="s">
        <v>80</v>
      </c>
      <c r="D66" s="214" t="s">
        <v>19</v>
      </c>
      <c r="E66" s="32"/>
      <c r="F66" s="17">
        <v>300</v>
      </c>
      <c r="G66" s="18">
        <f t="shared" si="0"/>
        <v>24706</v>
      </c>
      <c r="H66" s="28" t="s">
        <v>101</v>
      </c>
      <c r="I66" s="7" t="s">
        <v>90</v>
      </c>
    </row>
    <row r="67" spans="1:10" ht="17.25" customHeight="1" x14ac:dyDescent="0.25">
      <c r="A67" s="14">
        <f t="shared" si="1"/>
        <v>59</v>
      </c>
      <c r="B67" s="8">
        <v>45913</v>
      </c>
      <c r="C67" s="46" t="s">
        <v>80</v>
      </c>
      <c r="D67" s="214" t="s">
        <v>19</v>
      </c>
      <c r="E67" s="32"/>
      <c r="F67" s="17">
        <v>180</v>
      </c>
      <c r="G67" s="18">
        <f t="shared" si="0"/>
        <v>24526</v>
      </c>
      <c r="H67" s="28" t="s">
        <v>101</v>
      </c>
      <c r="I67" s="7" t="s">
        <v>90</v>
      </c>
      <c r="J67" s="26"/>
    </row>
    <row r="68" spans="1:10" ht="17.25" customHeight="1" x14ac:dyDescent="0.25">
      <c r="A68" s="14">
        <f t="shared" si="1"/>
        <v>60</v>
      </c>
      <c r="B68" s="8"/>
      <c r="C68" s="46" t="s">
        <v>80</v>
      </c>
      <c r="D68" s="214" t="s">
        <v>19</v>
      </c>
      <c r="E68" s="32"/>
      <c r="F68" s="17"/>
      <c r="G68" s="18">
        <f t="shared" si="0"/>
        <v>24526</v>
      </c>
      <c r="H68" s="28" t="s">
        <v>101</v>
      </c>
      <c r="I68" s="7" t="s">
        <v>90</v>
      </c>
    </row>
    <row r="69" spans="1:10" ht="17.25" customHeight="1" x14ac:dyDescent="0.25">
      <c r="A69" s="14">
        <f t="shared" si="1"/>
        <v>61</v>
      </c>
      <c r="B69" s="8"/>
      <c r="C69" s="46" t="s">
        <v>80</v>
      </c>
      <c r="D69" s="214" t="s">
        <v>19</v>
      </c>
      <c r="E69" s="32"/>
      <c r="F69" s="17"/>
      <c r="G69" s="18">
        <f t="shared" si="0"/>
        <v>24526</v>
      </c>
      <c r="H69" s="28" t="s">
        <v>101</v>
      </c>
      <c r="I69" s="7" t="s">
        <v>90</v>
      </c>
    </row>
    <row r="70" spans="1:10" ht="17.25" customHeight="1" x14ac:dyDescent="0.25">
      <c r="A70" s="14">
        <f t="shared" si="1"/>
        <v>62</v>
      </c>
      <c r="B70" s="8"/>
      <c r="C70" s="46" t="s">
        <v>80</v>
      </c>
      <c r="D70" s="214" t="s">
        <v>19</v>
      </c>
      <c r="E70" s="32"/>
      <c r="F70" s="17"/>
      <c r="G70" s="18">
        <f t="shared" si="0"/>
        <v>24526</v>
      </c>
      <c r="H70" s="28" t="s">
        <v>101</v>
      </c>
      <c r="I70" s="7" t="s">
        <v>90</v>
      </c>
    </row>
    <row r="71" spans="1:10" ht="17.25" customHeight="1" x14ac:dyDescent="0.25">
      <c r="A71" s="14">
        <f t="shared" si="1"/>
        <v>63</v>
      </c>
      <c r="B71" s="8"/>
      <c r="C71" s="46"/>
      <c r="D71" s="214" t="s">
        <v>19</v>
      </c>
      <c r="E71" s="32"/>
      <c r="F71" s="17"/>
      <c r="G71" s="18">
        <f t="shared" si="0"/>
        <v>24526</v>
      </c>
      <c r="H71" s="28" t="s">
        <v>101</v>
      </c>
      <c r="I71" s="7" t="s">
        <v>90</v>
      </c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24526</v>
      </c>
      <c r="H72" s="28" t="s">
        <v>101</v>
      </c>
      <c r="I72" s="7" t="s">
        <v>90</v>
      </c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si="0"/>
        <v>24526</v>
      </c>
      <c r="H73" s="28" t="s">
        <v>101</v>
      </c>
      <c r="I73" s="7" t="s">
        <v>90</v>
      </c>
    </row>
    <row r="74" spans="1:10" ht="17.25" customHeight="1" x14ac:dyDescent="0.25">
      <c r="A74" s="14">
        <f t="shared" si="1"/>
        <v>66</v>
      </c>
      <c r="B74" s="8"/>
      <c r="C74" s="46"/>
      <c r="D74" s="214"/>
      <c r="E74" s="32"/>
      <c r="F74" s="17"/>
      <c r="G74" s="18">
        <f t="shared" si="0"/>
        <v>24526</v>
      </c>
      <c r="H74" s="28" t="s">
        <v>101</v>
      </c>
      <c r="I74" s="7" t="s">
        <v>90</v>
      </c>
    </row>
    <row r="75" spans="1:10" ht="17.25" customHeight="1" x14ac:dyDescent="0.25">
      <c r="A75" s="14">
        <f t="shared" si="1"/>
        <v>67</v>
      </c>
      <c r="B75" s="8"/>
      <c r="C75" s="46"/>
      <c r="D75" s="214"/>
      <c r="E75" s="32"/>
      <c r="F75" s="17"/>
      <c r="G75" s="18">
        <f t="shared" ref="G75:G98" si="2">+G74+E75-F75</f>
        <v>24526</v>
      </c>
      <c r="H75" s="28" t="s">
        <v>101</v>
      </c>
      <c r="I75" s="7" t="s">
        <v>90</v>
      </c>
    </row>
    <row r="76" spans="1:10" ht="17.25" customHeight="1" x14ac:dyDescent="0.25">
      <c r="A76" s="14">
        <f t="shared" ref="A76:A99" si="3">+A75+1</f>
        <v>68</v>
      </c>
      <c r="B76" s="8"/>
      <c r="C76" s="46"/>
      <c r="D76" s="214"/>
      <c r="E76" s="32"/>
      <c r="F76" s="17"/>
      <c r="G76" s="18">
        <f t="shared" si="2"/>
        <v>24526</v>
      </c>
      <c r="H76" s="28" t="s">
        <v>101</v>
      </c>
      <c r="I76" s="7" t="s">
        <v>90</v>
      </c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24526</v>
      </c>
      <c r="H77" s="28" t="s">
        <v>101</v>
      </c>
      <c r="I77" s="7" t="s">
        <v>90</v>
      </c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24526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24526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24526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24526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24526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17"/>
      <c r="G83" s="18">
        <f t="shared" si="2"/>
        <v>24526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24526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27"/>
      <c r="G85" s="18">
        <f t="shared" si="2"/>
        <v>24526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24526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24526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24526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24526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24526</v>
      </c>
      <c r="H90" s="28"/>
      <c r="I90" s="7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17"/>
      <c r="G91" s="18">
        <f t="shared" si="2"/>
        <v>24526</v>
      </c>
      <c r="H91" s="28"/>
      <c r="I91" s="7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17"/>
      <c r="G92" s="18">
        <f t="shared" si="2"/>
        <v>24526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24526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24526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24526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8"/>
      <c r="C96" s="46"/>
      <c r="D96" s="214"/>
      <c r="E96" s="32"/>
      <c r="F96" s="27"/>
      <c r="G96" s="18">
        <f t="shared" si="2"/>
        <v>24526</v>
      </c>
      <c r="H96" s="28"/>
      <c r="I96" s="7"/>
      <c r="L96" s="199"/>
      <c r="Q96" s="199"/>
    </row>
    <row r="97" spans="1:17" ht="17.25" customHeight="1" x14ac:dyDescent="0.25">
      <c r="A97" s="14">
        <f t="shared" si="3"/>
        <v>89</v>
      </c>
      <c r="B97" s="8"/>
      <c r="C97" s="46"/>
      <c r="D97" s="214"/>
      <c r="E97" s="32"/>
      <c r="F97" s="27"/>
      <c r="G97" s="18">
        <f t="shared" si="2"/>
        <v>24526</v>
      </c>
      <c r="H97" s="28"/>
      <c r="I97" s="7"/>
      <c r="L97" s="199"/>
      <c r="Q97" s="199"/>
    </row>
    <row r="98" spans="1:17" ht="17.25" customHeight="1" x14ac:dyDescent="0.25">
      <c r="A98" s="14">
        <f t="shared" si="3"/>
        <v>90</v>
      </c>
      <c r="B98" s="37"/>
      <c r="C98" s="46"/>
      <c r="D98" s="10"/>
      <c r="E98" s="32"/>
      <c r="F98" s="27"/>
      <c r="G98" s="18">
        <f t="shared" si="2"/>
        <v>24526</v>
      </c>
      <c r="H98" s="28"/>
      <c r="I98" s="7"/>
      <c r="L98" s="199"/>
      <c r="Q98" s="199"/>
    </row>
    <row r="99" spans="1:17" ht="17.25" customHeight="1" x14ac:dyDescent="0.25">
      <c r="A99" s="14">
        <f t="shared" si="3"/>
        <v>91</v>
      </c>
      <c r="B99" s="7"/>
      <c r="C99" s="34" t="s">
        <v>13</v>
      </c>
      <c r="D99" s="14"/>
      <c r="E99" s="35">
        <f>SUM(E8:E98)</f>
        <v>0</v>
      </c>
      <c r="F99" s="35">
        <f>SUM(F8:F98)</f>
        <v>5851</v>
      </c>
      <c r="G99" s="35">
        <f>+E99-F99+G8</f>
        <v>24526</v>
      </c>
      <c r="H99" s="35"/>
      <c r="I99" s="36"/>
    </row>
    <row r="103" spans="1:17" x14ac:dyDescent="0.25">
      <c r="E103" s="201"/>
      <c r="F103" s="201"/>
      <c r="G103" s="201"/>
      <c r="H103" s="201"/>
    </row>
    <row r="104" spans="1:17" x14ac:dyDescent="0.25">
      <c r="F104" s="26"/>
    </row>
    <row r="105" spans="1:17" x14ac:dyDescent="0.25">
      <c r="E105" s="26"/>
      <c r="F105" s="26"/>
      <c r="G105" s="26"/>
      <c r="H105" s="26"/>
      <c r="I105" s="26"/>
    </row>
    <row r="106" spans="1:17" x14ac:dyDescent="0.25">
      <c r="I106" s="202"/>
    </row>
    <row r="107" spans="1:17" x14ac:dyDescent="0.25">
      <c r="E107" s="199"/>
    </row>
    <row r="108" spans="1:17" x14ac:dyDescent="0.25">
      <c r="E108" s="26"/>
      <c r="F108" s="26"/>
    </row>
    <row r="109" spans="1:17" x14ac:dyDescent="0.25">
      <c r="E109" s="203"/>
      <c r="F109" s="204"/>
      <c r="G109" s="203"/>
      <c r="H109" s="203"/>
    </row>
    <row r="110" spans="1:17" x14ac:dyDescent="0.25">
      <c r="F110" s="26"/>
    </row>
  </sheetData>
  <mergeCells count="1">
    <mergeCell ref="A4:I5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4DC8-EF7C-43EE-8E75-B658357E8B8A}">
  <sheetPr codeName="Sheet124"/>
  <dimension ref="A1:Q112"/>
  <sheetViews>
    <sheetView topLeftCell="A48" workbookViewId="0">
      <selection activeCell="F77" sqref="F7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>
        <v>45292</v>
      </c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45551</v>
      </c>
      <c r="C9" s="46" t="s">
        <v>266</v>
      </c>
      <c r="D9" s="214" t="s">
        <v>33</v>
      </c>
      <c r="E9" s="11"/>
      <c r="F9" s="27">
        <v>204</v>
      </c>
      <c r="G9" s="18">
        <f t="shared" ref="G9" si="0">+G8+E9-F9</f>
        <v>-204</v>
      </c>
      <c r="H9" s="28" t="s">
        <v>101</v>
      </c>
      <c r="I9" s="7" t="s">
        <v>90</v>
      </c>
    </row>
    <row r="10" spans="1:10" ht="17.25" customHeight="1" x14ac:dyDescent="0.25">
      <c r="A10" s="14">
        <f t="shared" ref="A10:A75" si="1">+A9+1</f>
        <v>2</v>
      </c>
      <c r="B10" s="8">
        <v>45552</v>
      </c>
      <c r="C10" s="46" t="s">
        <v>80</v>
      </c>
      <c r="D10" s="214" t="s">
        <v>33</v>
      </c>
      <c r="E10" s="30"/>
      <c r="F10" s="27">
        <v>240</v>
      </c>
      <c r="G10" s="18">
        <f t="shared" ref="G10:G74" si="2">+G9+E10-F10</f>
        <v>-444</v>
      </c>
      <c r="H10" s="28" t="s">
        <v>101</v>
      </c>
      <c r="I10" s="7" t="s">
        <v>90</v>
      </c>
    </row>
    <row r="11" spans="1:10" ht="17.25" customHeight="1" x14ac:dyDescent="0.25">
      <c r="A11" s="14">
        <f t="shared" si="1"/>
        <v>3</v>
      </c>
      <c r="B11" s="8">
        <v>45553</v>
      </c>
      <c r="C11" s="46" t="s">
        <v>80</v>
      </c>
      <c r="D11" s="214" t="s">
        <v>33</v>
      </c>
      <c r="E11" s="16"/>
      <c r="F11" s="27">
        <v>221</v>
      </c>
      <c r="G11" s="18">
        <f t="shared" si="2"/>
        <v>-665</v>
      </c>
      <c r="H11" s="28" t="s">
        <v>101</v>
      </c>
      <c r="I11" s="7" t="s">
        <v>90</v>
      </c>
      <c r="J11" s="26"/>
    </row>
    <row r="12" spans="1:10" ht="17.25" customHeight="1" x14ac:dyDescent="0.25">
      <c r="A12" s="14">
        <f t="shared" si="1"/>
        <v>4</v>
      </c>
      <c r="B12" s="8">
        <v>45554</v>
      </c>
      <c r="C12" s="46" t="s">
        <v>80</v>
      </c>
      <c r="D12" s="214" t="s">
        <v>33</v>
      </c>
      <c r="E12" s="16"/>
      <c r="F12" s="125">
        <v>172</v>
      </c>
      <c r="G12" s="18">
        <f t="shared" si="2"/>
        <v>-837</v>
      </c>
      <c r="H12" s="28" t="s">
        <v>101</v>
      </c>
      <c r="I12" s="7" t="s">
        <v>90</v>
      </c>
    </row>
    <row r="13" spans="1:10" ht="17.25" customHeight="1" x14ac:dyDescent="0.25">
      <c r="A13" s="14">
        <f t="shared" si="1"/>
        <v>5</v>
      </c>
      <c r="B13" s="205">
        <v>45590</v>
      </c>
      <c r="C13" s="46" t="s">
        <v>80</v>
      </c>
      <c r="D13" s="214" t="s">
        <v>33</v>
      </c>
      <c r="E13" s="16"/>
      <c r="F13" s="125">
        <v>72</v>
      </c>
      <c r="G13" s="18">
        <f t="shared" si="2"/>
        <v>-909</v>
      </c>
      <c r="H13" s="28" t="s">
        <v>101</v>
      </c>
      <c r="I13" s="7" t="s">
        <v>90</v>
      </c>
      <c r="J13" s="26"/>
    </row>
    <row r="14" spans="1:10" ht="17.25" customHeight="1" x14ac:dyDescent="0.25">
      <c r="A14" s="14">
        <f t="shared" si="1"/>
        <v>6</v>
      </c>
      <c r="B14" s="8">
        <v>45591</v>
      </c>
      <c r="C14" s="46" t="s">
        <v>80</v>
      </c>
      <c r="D14" s="214" t="s">
        <v>33</v>
      </c>
      <c r="E14" s="16"/>
      <c r="F14" s="118">
        <v>88</v>
      </c>
      <c r="G14" s="18">
        <f t="shared" si="2"/>
        <v>-997</v>
      </c>
      <c r="H14" s="28" t="s">
        <v>101</v>
      </c>
      <c r="I14" s="7" t="s">
        <v>90</v>
      </c>
    </row>
    <row r="15" spans="1:10" ht="17.25" customHeight="1" x14ac:dyDescent="0.25">
      <c r="A15" s="14">
        <f t="shared" si="1"/>
        <v>7</v>
      </c>
      <c r="B15" s="44" t="s">
        <v>291</v>
      </c>
      <c r="C15" s="46" t="s">
        <v>80</v>
      </c>
      <c r="D15" s="214" t="s">
        <v>33</v>
      </c>
      <c r="E15" s="16"/>
      <c r="F15" s="118">
        <v>192</v>
      </c>
      <c r="G15" s="18">
        <f t="shared" si="2"/>
        <v>-1189</v>
      </c>
      <c r="H15" s="28" t="s">
        <v>101</v>
      </c>
      <c r="I15" s="7" t="s">
        <v>90</v>
      </c>
      <c r="J15" s="26"/>
    </row>
    <row r="16" spans="1:10" ht="17.25" customHeight="1" x14ac:dyDescent="0.25">
      <c r="A16" s="14">
        <f t="shared" si="1"/>
        <v>8</v>
      </c>
      <c r="B16" s="44" t="s">
        <v>293</v>
      </c>
      <c r="C16" s="46" t="s">
        <v>80</v>
      </c>
      <c r="D16" s="214" t="s">
        <v>33</v>
      </c>
      <c r="E16" s="16"/>
      <c r="F16" s="27">
        <f>460+340</f>
        <v>800</v>
      </c>
      <c r="G16" s="18">
        <f t="shared" si="2"/>
        <v>-1989</v>
      </c>
      <c r="H16" s="28" t="s">
        <v>140</v>
      </c>
      <c r="I16" s="7" t="s">
        <v>294</v>
      </c>
    </row>
    <row r="17" spans="1:9" ht="17.25" customHeight="1" x14ac:dyDescent="0.25">
      <c r="A17" s="14">
        <f t="shared" si="1"/>
        <v>9</v>
      </c>
      <c r="B17" s="44" t="s">
        <v>295</v>
      </c>
      <c r="C17" s="46" t="s">
        <v>80</v>
      </c>
      <c r="D17" s="214" t="s">
        <v>33</v>
      </c>
      <c r="E17" s="30"/>
      <c r="F17" s="27">
        <v>83</v>
      </c>
      <c r="G17" s="18">
        <f t="shared" si="2"/>
        <v>-2072</v>
      </c>
      <c r="H17" s="28" t="s">
        <v>101</v>
      </c>
      <c r="I17" s="7" t="s">
        <v>90</v>
      </c>
    </row>
    <row r="18" spans="1:9" s="221" customFormat="1" ht="17.25" customHeight="1" x14ac:dyDescent="0.25">
      <c r="A18" s="215">
        <f>+A17+1</f>
        <v>10</v>
      </c>
      <c r="B18" s="372" t="s">
        <v>296</v>
      </c>
      <c r="C18" s="46" t="s">
        <v>80</v>
      </c>
      <c r="D18" s="214" t="s">
        <v>33</v>
      </c>
      <c r="E18" s="218"/>
      <c r="F18" s="219">
        <v>255</v>
      </c>
      <c r="G18" s="220">
        <f t="shared" si="2"/>
        <v>-2327</v>
      </c>
      <c r="H18" s="28" t="s">
        <v>101</v>
      </c>
      <c r="I18" s="7" t="s">
        <v>90</v>
      </c>
    </row>
    <row r="19" spans="1:9" s="221" customFormat="1" ht="17.25" customHeight="1" x14ac:dyDescent="0.25">
      <c r="A19" s="215">
        <f t="shared" si="1"/>
        <v>11</v>
      </c>
      <c r="B19" s="372" t="s">
        <v>297</v>
      </c>
      <c r="C19" s="46" t="s">
        <v>80</v>
      </c>
      <c r="D19" s="214" t="s">
        <v>33</v>
      </c>
      <c r="E19" s="222"/>
      <c r="F19" s="219">
        <v>175</v>
      </c>
      <c r="G19" s="220">
        <f t="shared" si="2"/>
        <v>-2502</v>
      </c>
      <c r="H19" s="28" t="s">
        <v>101</v>
      </c>
      <c r="I19" s="7" t="s">
        <v>90</v>
      </c>
    </row>
    <row r="20" spans="1:9" ht="17.25" customHeight="1" x14ac:dyDescent="0.25">
      <c r="A20" s="14">
        <f t="shared" si="1"/>
        <v>12</v>
      </c>
      <c r="B20" s="8">
        <v>45735</v>
      </c>
      <c r="C20" s="46" t="s">
        <v>80</v>
      </c>
      <c r="D20" s="214" t="s">
        <v>33</v>
      </c>
      <c r="E20" s="32"/>
      <c r="F20" s="17">
        <v>60</v>
      </c>
      <c r="G20" s="18">
        <f t="shared" si="2"/>
        <v>-2562</v>
      </c>
      <c r="H20" s="28" t="s">
        <v>101</v>
      </c>
      <c r="I20" s="7" t="s">
        <v>90</v>
      </c>
    </row>
    <row r="21" spans="1:9" ht="17.25" customHeight="1" x14ac:dyDescent="0.25">
      <c r="A21" s="14">
        <f t="shared" si="1"/>
        <v>13</v>
      </c>
      <c r="B21" s="8">
        <v>45744</v>
      </c>
      <c r="C21" s="46" t="s">
        <v>80</v>
      </c>
      <c r="D21" s="214" t="s">
        <v>33</v>
      </c>
      <c r="E21" s="32"/>
      <c r="F21" s="27">
        <v>254</v>
      </c>
      <c r="G21" s="18">
        <f t="shared" si="2"/>
        <v>-2816</v>
      </c>
      <c r="H21" s="28" t="s">
        <v>101</v>
      </c>
      <c r="I21" s="7" t="s">
        <v>90</v>
      </c>
    </row>
    <row r="22" spans="1:9" ht="17.25" customHeight="1" x14ac:dyDescent="0.25">
      <c r="A22" s="14">
        <f t="shared" si="1"/>
        <v>14</v>
      </c>
      <c r="B22" s="8">
        <v>45752</v>
      </c>
      <c r="C22" s="46" t="s">
        <v>80</v>
      </c>
      <c r="D22" s="214" t="s">
        <v>33</v>
      </c>
      <c r="E22" s="32"/>
      <c r="F22" s="17">
        <v>120</v>
      </c>
      <c r="G22" s="18">
        <f t="shared" si="2"/>
        <v>-2936</v>
      </c>
      <c r="H22" s="28" t="s">
        <v>101</v>
      </c>
      <c r="I22" s="7" t="s">
        <v>90</v>
      </c>
    </row>
    <row r="23" spans="1:9" ht="17.25" customHeight="1" x14ac:dyDescent="0.25">
      <c r="A23" s="14">
        <f t="shared" si="1"/>
        <v>15</v>
      </c>
      <c r="B23" s="8">
        <v>45763</v>
      </c>
      <c r="C23" s="46" t="s">
        <v>80</v>
      </c>
      <c r="D23" s="214" t="s">
        <v>33</v>
      </c>
      <c r="E23" s="32"/>
      <c r="F23" s="17">
        <v>3</v>
      </c>
      <c r="G23" s="18">
        <f t="shared" si="2"/>
        <v>-2939</v>
      </c>
      <c r="H23" s="28" t="s">
        <v>101</v>
      </c>
      <c r="I23" s="7" t="s">
        <v>90</v>
      </c>
    </row>
    <row r="24" spans="1:9" ht="17.25" customHeight="1" x14ac:dyDescent="0.25">
      <c r="A24" s="14">
        <f t="shared" si="1"/>
        <v>16</v>
      </c>
      <c r="B24" s="8">
        <v>45766</v>
      </c>
      <c r="C24" s="46" t="s">
        <v>80</v>
      </c>
      <c r="D24" s="214"/>
      <c r="E24" s="32"/>
      <c r="F24" s="17">
        <v>80</v>
      </c>
      <c r="G24" s="18">
        <f t="shared" si="2"/>
        <v>-3019</v>
      </c>
      <c r="H24" s="28"/>
      <c r="I24" s="7"/>
    </row>
    <row r="25" spans="1:9" ht="17.25" customHeight="1" x14ac:dyDescent="0.25">
      <c r="A25" s="14">
        <f t="shared" si="1"/>
        <v>17</v>
      </c>
      <c r="B25" s="8">
        <v>45785</v>
      </c>
      <c r="C25" s="46" t="s">
        <v>80</v>
      </c>
      <c r="D25" s="214" t="s">
        <v>33</v>
      </c>
      <c r="E25" s="32"/>
      <c r="F25" s="17">
        <v>200</v>
      </c>
      <c r="G25" s="18">
        <f t="shared" si="2"/>
        <v>-3219</v>
      </c>
      <c r="H25" s="28" t="s">
        <v>101</v>
      </c>
      <c r="I25" s="7" t="s">
        <v>90</v>
      </c>
    </row>
    <row r="26" spans="1:9" ht="17.25" customHeight="1" x14ac:dyDescent="0.25">
      <c r="A26" s="14">
        <f t="shared" si="1"/>
        <v>18</v>
      </c>
      <c r="B26" s="8">
        <v>45789</v>
      </c>
      <c r="C26" s="46" t="s">
        <v>80</v>
      </c>
      <c r="D26" s="214" t="s">
        <v>33</v>
      </c>
      <c r="E26" s="32"/>
      <c r="F26" s="17">
        <v>200</v>
      </c>
      <c r="G26" s="18">
        <f t="shared" si="2"/>
        <v>-3419</v>
      </c>
      <c r="H26" s="28" t="s">
        <v>101</v>
      </c>
      <c r="I26" s="7" t="s">
        <v>90</v>
      </c>
    </row>
    <row r="27" spans="1:9" ht="17.25" customHeight="1" x14ac:dyDescent="0.25">
      <c r="A27" s="14">
        <f t="shared" si="1"/>
        <v>19</v>
      </c>
      <c r="B27" s="8">
        <v>45790</v>
      </c>
      <c r="C27" s="46" t="s">
        <v>102</v>
      </c>
      <c r="D27" s="214" t="s">
        <v>33</v>
      </c>
      <c r="E27" s="32"/>
      <c r="F27" s="17">
        <v>100</v>
      </c>
      <c r="G27" s="18">
        <f t="shared" si="2"/>
        <v>-3519</v>
      </c>
      <c r="H27" s="28" t="s">
        <v>101</v>
      </c>
      <c r="I27" s="7" t="s">
        <v>90</v>
      </c>
    </row>
    <row r="28" spans="1:9" ht="17.25" customHeight="1" x14ac:dyDescent="0.25">
      <c r="A28" s="14">
        <f t="shared" si="1"/>
        <v>20</v>
      </c>
      <c r="B28" s="8">
        <v>45791</v>
      </c>
      <c r="C28" s="46" t="s">
        <v>80</v>
      </c>
      <c r="D28" s="214" t="s">
        <v>33</v>
      </c>
      <c r="E28" s="32"/>
      <c r="F28" s="17">
        <v>60</v>
      </c>
      <c r="G28" s="18">
        <f t="shared" si="2"/>
        <v>-3579</v>
      </c>
      <c r="H28" s="28" t="s">
        <v>101</v>
      </c>
      <c r="I28" s="7" t="s">
        <v>90</v>
      </c>
    </row>
    <row r="29" spans="1:9" ht="17.25" customHeight="1" x14ac:dyDescent="0.25">
      <c r="A29" s="14">
        <f t="shared" si="1"/>
        <v>21</v>
      </c>
      <c r="B29" s="8">
        <v>45792</v>
      </c>
      <c r="C29" s="46" t="s">
        <v>80</v>
      </c>
      <c r="D29" s="214" t="s">
        <v>33</v>
      </c>
      <c r="E29" s="32"/>
      <c r="F29" s="17">
        <v>220</v>
      </c>
      <c r="G29" s="18">
        <f t="shared" si="2"/>
        <v>-3799</v>
      </c>
      <c r="H29" s="28" t="s">
        <v>101</v>
      </c>
      <c r="I29" s="7" t="s">
        <v>390</v>
      </c>
    </row>
    <row r="30" spans="1:9" ht="17.25" customHeight="1" x14ac:dyDescent="0.25">
      <c r="A30" s="14">
        <f t="shared" si="1"/>
        <v>22</v>
      </c>
      <c r="B30" s="8">
        <v>45793</v>
      </c>
      <c r="C30" s="46" t="s">
        <v>80</v>
      </c>
      <c r="D30" s="214" t="s">
        <v>33</v>
      </c>
      <c r="E30" s="129"/>
      <c r="F30" s="17">
        <v>220</v>
      </c>
      <c r="G30" s="18">
        <f t="shared" si="2"/>
        <v>-4019</v>
      </c>
      <c r="H30" s="28" t="s">
        <v>101</v>
      </c>
      <c r="I30" s="7" t="s">
        <v>390</v>
      </c>
    </row>
    <row r="31" spans="1:9" ht="17.25" customHeight="1" x14ac:dyDescent="0.25">
      <c r="A31" s="14">
        <f t="shared" si="1"/>
        <v>23</v>
      </c>
      <c r="B31" s="8">
        <v>45794</v>
      </c>
      <c r="C31" s="46" t="s">
        <v>80</v>
      </c>
      <c r="D31" s="214" t="s">
        <v>33</v>
      </c>
      <c r="E31" s="32"/>
      <c r="F31" s="17">
        <v>80</v>
      </c>
      <c r="G31" s="18">
        <f t="shared" si="2"/>
        <v>-4099</v>
      </c>
      <c r="H31" s="28" t="s">
        <v>101</v>
      </c>
      <c r="I31" s="7" t="s">
        <v>90</v>
      </c>
    </row>
    <row r="32" spans="1:9" ht="17.25" customHeight="1" x14ac:dyDescent="0.25">
      <c r="A32" s="14">
        <f t="shared" si="1"/>
        <v>24</v>
      </c>
      <c r="B32" s="8">
        <v>45796</v>
      </c>
      <c r="C32" s="46" t="s">
        <v>80</v>
      </c>
      <c r="D32" s="214" t="s">
        <v>33</v>
      </c>
      <c r="E32" s="32"/>
      <c r="F32" s="17">
        <v>200</v>
      </c>
      <c r="G32" s="18">
        <f t="shared" si="2"/>
        <v>-4299</v>
      </c>
      <c r="H32" s="28" t="s">
        <v>101</v>
      </c>
      <c r="I32" s="7" t="s">
        <v>90</v>
      </c>
    </row>
    <row r="33" spans="1:9" ht="17.25" customHeight="1" x14ac:dyDescent="0.25">
      <c r="A33" s="14">
        <f t="shared" si="1"/>
        <v>25</v>
      </c>
      <c r="B33" s="8">
        <v>45797</v>
      </c>
      <c r="C33" s="46" t="s">
        <v>80</v>
      </c>
      <c r="D33" s="214" t="s">
        <v>33</v>
      </c>
      <c r="E33" s="32"/>
      <c r="F33" s="17">
        <v>217</v>
      </c>
      <c r="G33" s="18">
        <f t="shared" si="2"/>
        <v>-4516</v>
      </c>
      <c r="H33" s="28" t="s">
        <v>101</v>
      </c>
      <c r="I33" s="7" t="s">
        <v>90</v>
      </c>
    </row>
    <row r="34" spans="1:9" ht="17.25" customHeight="1" x14ac:dyDescent="0.25">
      <c r="A34" s="14">
        <f t="shared" si="1"/>
        <v>26</v>
      </c>
      <c r="B34" s="8">
        <v>45798</v>
      </c>
      <c r="C34" s="46" t="s">
        <v>80</v>
      </c>
      <c r="D34" s="214" t="s">
        <v>19</v>
      </c>
      <c r="E34" s="13"/>
      <c r="F34" s="17">
        <v>360</v>
      </c>
      <c r="G34" s="18">
        <f t="shared" si="2"/>
        <v>-4876</v>
      </c>
      <c r="H34" s="28" t="s">
        <v>101</v>
      </c>
      <c r="I34" s="7" t="s">
        <v>90</v>
      </c>
    </row>
    <row r="35" spans="1:9" ht="17.25" customHeight="1" x14ac:dyDescent="0.25">
      <c r="A35" s="14">
        <f t="shared" si="1"/>
        <v>27</v>
      </c>
      <c r="B35" s="44">
        <v>45800</v>
      </c>
      <c r="C35" s="46" t="s">
        <v>80</v>
      </c>
      <c r="D35" s="214" t="s">
        <v>19</v>
      </c>
      <c r="E35" s="13"/>
      <c r="F35" s="17">
        <v>260</v>
      </c>
      <c r="G35" s="18">
        <f t="shared" si="2"/>
        <v>-5136</v>
      </c>
      <c r="H35" s="28" t="s">
        <v>101</v>
      </c>
      <c r="I35" s="7" t="s">
        <v>90</v>
      </c>
    </row>
    <row r="36" spans="1:9" ht="17.25" customHeight="1" x14ac:dyDescent="0.25">
      <c r="A36" s="14">
        <f t="shared" si="1"/>
        <v>28</v>
      </c>
      <c r="B36" s="8">
        <v>45801</v>
      </c>
      <c r="C36" s="46" t="s">
        <v>80</v>
      </c>
      <c r="D36" s="214" t="s">
        <v>19</v>
      </c>
      <c r="E36" s="32"/>
      <c r="F36" s="40">
        <v>152</v>
      </c>
      <c r="G36" s="18">
        <f t="shared" si="2"/>
        <v>-5288</v>
      </c>
      <c r="H36" s="28" t="s">
        <v>101</v>
      </c>
      <c r="I36" s="7" t="s">
        <v>90</v>
      </c>
    </row>
    <row r="37" spans="1:9" ht="17.25" customHeight="1" x14ac:dyDescent="0.25">
      <c r="A37" s="14">
        <f t="shared" si="1"/>
        <v>29</v>
      </c>
      <c r="B37" s="45">
        <v>45809</v>
      </c>
      <c r="C37" s="46" t="s">
        <v>80</v>
      </c>
      <c r="D37" s="214" t="s">
        <v>19</v>
      </c>
      <c r="E37" s="32"/>
      <c r="F37" s="40">
        <v>120</v>
      </c>
      <c r="G37" s="18">
        <f t="shared" si="2"/>
        <v>-5408</v>
      </c>
      <c r="H37" s="28" t="s">
        <v>101</v>
      </c>
      <c r="I37" s="7" t="s">
        <v>90</v>
      </c>
    </row>
    <row r="38" spans="1:9" ht="17.25" customHeight="1" x14ac:dyDescent="0.25">
      <c r="A38" s="14">
        <f t="shared" si="1"/>
        <v>30</v>
      </c>
      <c r="B38" s="8">
        <v>45813</v>
      </c>
      <c r="C38" s="46" t="s">
        <v>80</v>
      </c>
      <c r="D38" s="214" t="s">
        <v>19</v>
      </c>
      <c r="E38" s="32"/>
      <c r="F38" s="40">
        <v>172</v>
      </c>
      <c r="G38" s="18">
        <f t="shared" si="2"/>
        <v>-5580</v>
      </c>
      <c r="H38" s="28" t="s">
        <v>101</v>
      </c>
      <c r="I38" s="7" t="s">
        <v>90</v>
      </c>
    </row>
    <row r="39" spans="1:9" ht="17.25" customHeight="1" x14ac:dyDescent="0.25">
      <c r="A39" s="14">
        <f t="shared" si="1"/>
        <v>31</v>
      </c>
      <c r="B39" s="8">
        <v>45817</v>
      </c>
      <c r="C39" s="46" t="s">
        <v>80</v>
      </c>
      <c r="D39" s="214" t="s">
        <v>19</v>
      </c>
      <c r="E39" s="32"/>
      <c r="F39" s="17">
        <v>100</v>
      </c>
      <c r="G39" s="18">
        <f t="shared" si="2"/>
        <v>-5680</v>
      </c>
      <c r="H39" s="28" t="s">
        <v>101</v>
      </c>
      <c r="I39" s="7" t="s">
        <v>90</v>
      </c>
    </row>
    <row r="40" spans="1:9" ht="17.25" customHeight="1" x14ac:dyDescent="0.25">
      <c r="A40" s="14">
        <f t="shared" si="1"/>
        <v>32</v>
      </c>
      <c r="B40" s="8">
        <v>45818</v>
      </c>
      <c r="C40" s="46" t="s">
        <v>80</v>
      </c>
      <c r="D40" s="214" t="s">
        <v>19</v>
      </c>
      <c r="E40" s="32"/>
      <c r="F40" s="17">
        <v>120</v>
      </c>
      <c r="G40" s="18">
        <f t="shared" si="2"/>
        <v>-5800</v>
      </c>
      <c r="H40" s="28" t="s">
        <v>101</v>
      </c>
      <c r="I40" s="7" t="s">
        <v>90</v>
      </c>
    </row>
    <row r="41" spans="1:9" ht="17.25" customHeight="1" x14ac:dyDescent="0.25">
      <c r="A41" s="14">
        <f t="shared" si="1"/>
        <v>33</v>
      </c>
      <c r="B41" s="8">
        <v>45820</v>
      </c>
      <c r="C41" s="46" t="s">
        <v>80</v>
      </c>
      <c r="D41" s="214" t="s">
        <v>19</v>
      </c>
      <c r="E41" s="32"/>
      <c r="F41" s="17">
        <v>180</v>
      </c>
      <c r="G41" s="18">
        <f t="shared" si="2"/>
        <v>-5980</v>
      </c>
      <c r="H41" s="28" t="s">
        <v>101</v>
      </c>
      <c r="I41" s="7" t="s">
        <v>90</v>
      </c>
    </row>
    <row r="42" spans="1:9" ht="17.25" customHeight="1" x14ac:dyDescent="0.25">
      <c r="A42" s="14">
        <f t="shared" si="1"/>
        <v>34</v>
      </c>
      <c r="B42" s="8">
        <v>45821</v>
      </c>
      <c r="C42" s="46" t="s">
        <v>80</v>
      </c>
      <c r="D42" s="214" t="s">
        <v>19</v>
      </c>
      <c r="E42" s="32"/>
      <c r="F42" s="17">
        <v>320</v>
      </c>
      <c r="G42" s="18">
        <f t="shared" si="2"/>
        <v>-6300</v>
      </c>
      <c r="H42" s="28" t="s">
        <v>101</v>
      </c>
      <c r="I42" s="7" t="s">
        <v>90</v>
      </c>
    </row>
    <row r="43" spans="1:9" ht="17.25" customHeight="1" x14ac:dyDescent="0.25">
      <c r="A43" s="14">
        <f t="shared" si="1"/>
        <v>35</v>
      </c>
      <c r="B43" s="8">
        <v>45822</v>
      </c>
      <c r="C43" s="46" t="s">
        <v>80</v>
      </c>
      <c r="D43" s="214" t="s">
        <v>19</v>
      </c>
      <c r="E43" s="32"/>
      <c r="F43" s="17">
        <v>320</v>
      </c>
      <c r="G43" s="18">
        <f t="shared" si="2"/>
        <v>-6620</v>
      </c>
      <c r="H43" s="28" t="s">
        <v>101</v>
      </c>
      <c r="I43" s="7" t="s">
        <v>90</v>
      </c>
    </row>
    <row r="44" spans="1:9" ht="17.25" customHeight="1" x14ac:dyDescent="0.25">
      <c r="A44" s="14">
        <f t="shared" si="1"/>
        <v>36</v>
      </c>
      <c r="B44" s="8">
        <v>45824</v>
      </c>
      <c r="C44" s="46" t="s">
        <v>80</v>
      </c>
      <c r="D44" s="214" t="s">
        <v>19</v>
      </c>
      <c r="E44" s="32"/>
      <c r="F44" s="17">
        <v>340</v>
      </c>
      <c r="G44" s="18">
        <f t="shared" si="2"/>
        <v>-6960</v>
      </c>
      <c r="H44" s="28" t="s">
        <v>101</v>
      </c>
      <c r="I44" s="7" t="s">
        <v>90</v>
      </c>
    </row>
    <row r="45" spans="1:9" ht="17.25" customHeight="1" x14ac:dyDescent="0.25">
      <c r="A45" s="14">
        <f t="shared" si="1"/>
        <v>37</v>
      </c>
      <c r="B45" s="8">
        <v>45825</v>
      </c>
      <c r="C45" s="46" t="s">
        <v>80</v>
      </c>
      <c r="D45" s="214" t="s">
        <v>19</v>
      </c>
      <c r="E45" s="32"/>
      <c r="F45" s="17">
        <v>320</v>
      </c>
      <c r="G45" s="18">
        <f t="shared" si="2"/>
        <v>-7280</v>
      </c>
      <c r="H45" s="28" t="s">
        <v>101</v>
      </c>
      <c r="I45" s="7" t="s">
        <v>90</v>
      </c>
    </row>
    <row r="46" spans="1:9" ht="17.25" customHeight="1" x14ac:dyDescent="0.25">
      <c r="A46" s="14">
        <f t="shared" si="1"/>
        <v>38</v>
      </c>
      <c r="B46" s="8">
        <v>45829</v>
      </c>
      <c r="C46" s="46" t="s">
        <v>80</v>
      </c>
      <c r="D46" s="214"/>
      <c r="E46" s="32"/>
      <c r="F46" s="17">
        <v>34</v>
      </c>
      <c r="G46" s="18">
        <f t="shared" si="2"/>
        <v>-7314</v>
      </c>
      <c r="H46" s="28" t="s">
        <v>101</v>
      </c>
      <c r="I46" s="7" t="s">
        <v>90</v>
      </c>
    </row>
    <row r="47" spans="1:9" ht="17.25" customHeight="1" x14ac:dyDescent="0.25">
      <c r="A47" s="14">
        <f t="shared" si="1"/>
        <v>39</v>
      </c>
      <c r="B47" s="8">
        <v>45836</v>
      </c>
      <c r="C47" s="46" t="s">
        <v>80</v>
      </c>
      <c r="D47" s="214" t="s">
        <v>19</v>
      </c>
      <c r="E47" s="32"/>
      <c r="F47" s="17">
        <v>180</v>
      </c>
      <c r="G47" s="18">
        <f t="shared" si="2"/>
        <v>-7494</v>
      </c>
      <c r="H47" s="28" t="s">
        <v>101</v>
      </c>
      <c r="I47" s="7" t="s">
        <v>90</v>
      </c>
    </row>
    <row r="48" spans="1:9" ht="17.25" customHeight="1" x14ac:dyDescent="0.25">
      <c r="A48" s="14">
        <f t="shared" si="1"/>
        <v>40</v>
      </c>
      <c r="B48" s="8">
        <v>45838</v>
      </c>
      <c r="C48" s="46" t="s">
        <v>80</v>
      </c>
      <c r="D48" s="214" t="s">
        <v>19</v>
      </c>
      <c r="E48" s="32"/>
      <c r="F48" s="17">
        <v>260</v>
      </c>
      <c r="G48" s="18">
        <f t="shared" si="2"/>
        <v>-7754</v>
      </c>
      <c r="H48" s="28" t="s">
        <v>101</v>
      </c>
      <c r="I48" s="7" t="s">
        <v>90</v>
      </c>
    </row>
    <row r="49" spans="1:9" ht="17.25" customHeight="1" x14ac:dyDescent="0.25">
      <c r="A49" s="14">
        <f t="shared" si="1"/>
        <v>41</v>
      </c>
      <c r="B49" s="8">
        <v>45842</v>
      </c>
      <c r="C49" s="46" t="s">
        <v>80</v>
      </c>
      <c r="D49" s="214" t="s">
        <v>19</v>
      </c>
      <c r="E49" s="32"/>
      <c r="F49" s="17">
        <v>180</v>
      </c>
      <c r="G49" s="18">
        <f t="shared" si="2"/>
        <v>-7934</v>
      </c>
      <c r="H49" s="28" t="s">
        <v>101</v>
      </c>
      <c r="I49" s="7" t="s">
        <v>90</v>
      </c>
    </row>
    <row r="50" spans="1:9" ht="17.25" customHeight="1" x14ac:dyDescent="0.25">
      <c r="A50" s="14">
        <f t="shared" si="1"/>
        <v>42</v>
      </c>
      <c r="B50" s="8">
        <v>45843</v>
      </c>
      <c r="C50" s="46" t="s">
        <v>80</v>
      </c>
      <c r="D50" s="214" t="s">
        <v>19</v>
      </c>
      <c r="E50" s="32"/>
      <c r="F50" s="17">
        <v>100</v>
      </c>
      <c r="G50" s="18">
        <f t="shared" si="2"/>
        <v>-8034</v>
      </c>
      <c r="H50" s="28" t="s">
        <v>101</v>
      </c>
      <c r="I50" s="7" t="s">
        <v>90</v>
      </c>
    </row>
    <row r="51" spans="1:9" ht="17.25" customHeight="1" x14ac:dyDescent="0.25">
      <c r="A51" s="14">
        <f t="shared" si="1"/>
        <v>43</v>
      </c>
      <c r="B51" s="8">
        <v>45859</v>
      </c>
      <c r="C51" s="46" t="s">
        <v>80</v>
      </c>
      <c r="D51" s="214" t="s">
        <v>19</v>
      </c>
      <c r="E51" s="32"/>
      <c r="F51" s="17">
        <v>120</v>
      </c>
      <c r="G51" s="18">
        <f t="shared" si="2"/>
        <v>-8154</v>
      </c>
      <c r="H51" s="28" t="s">
        <v>101</v>
      </c>
      <c r="I51" s="7" t="s">
        <v>90</v>
      </c>
    </row>
    <row r="52" spans="1:9" ht="17.25" customHeight="1" x14ac:dyDescent="0.25">
      <c r="A52" s="14">
        <f t="shared" si="1"/>
        <v>44</v>
      </c>
      <c r="B52" s="8">
        <v>45862</v>
      </c>
      <c r="C52" s="46" t="s">
        <v>80</v>
      </c>
      <c r="D52" s="214" t="s">
        <v>19</v>
      </c>
      <c r="E52" s="32"/>
      <c r="F52" s="17">
        <v>200</v>
      </c>
      <c r="G52" s="18">
        <f t="shared" si="2"/>
        <v>-8354</v>
      </c>
      <c r="H52" s="28" t="s">
        <v>101</v>
      </c>
      <c r="I52" s="7" t="s">
        <v>90</v>
      </c>
    </row>
    <row r="53" spans="1:9" ht="17.25" customHeight="1" x14ac:dyDescent="0.25">
      <c r="A53" s="14">
        <f t="shared" si="1"/>
        <v>45</v>
      </c>
      <c r="B53" s="8">
        <v>45863</v>
      </c>
      <c r="C53" s="46" t="s">
        <v>80</v>
      </c>
      <c r="D53" s="214" t="s">
        <v>19</v>
      </c>
      <c r="E53" s="32"/>
      <c r="F53" s="17">
        <v>300</v>
      </c>
      <c r="G53" s="18">
        <f t="shared" si="2"/>
        <v>-8654</v>
      </c>
      <c r="H53" s="28" t="s">
        <v>101</v>
      </c>
      <c r="I53" s="7" t="s">
        <v>90</v>
      </c>
    </row>
    <row r="54" spans="1:9" ht="17.25" customHeight="1" x14ac:dyDescent="0.25">
      <c r="A54" s="14">
        <f t="shared" si="1"/>
        <v>46</v>
      </c>
      <c r="B54" s="8">
        <v>45864</v>
      </c>
      <c r="C54" s="46" t="s">
        <v>80</v>
      </c>
      <c r="D54" s="214" t="s">
        <v>19</v>
      </c>
      <c r="E54" s="32"/>
      <c r="F54" s="17">
        <v>280</v>
      </c>
      <c r="G54" s="18">
        <f t="shared" si="2"/>
        <v>-8934</v>
      </c>
      <c r="H54" s="28" t="s">
        <v>101</v>
      </c>
      <c r="I54" s="7" t="s">
        <v>90</v>
      </c>
    </row>
    <row r="55" spans="1:9" ht="17.25" customHeight="1" x14ac:dyDescent="0.25">
      <c r="A55" s="14">
        <f t="shared" si="1"/>
        <v>47</v>
      </c>
      <c r="B55" s="8">
        <v>45866</v>
      </c>
      <c r="C55" s="46" t="s">
        <v>80</v>
      </c>
      <c r="D55" s="214" t="s">
        <v>19</v>
      </c>
      <c r="E55" s="32"/>
      <c r="F55" s="17">
        <v>240</v>
      </c>
      <c r="G55" s="18">
        <f t="shared" si="2"/>
        <v>-9174</v>
      </c>
      <c r="H55" s="28" t="s">
        <v>101</v>
      </c>
      <c r="I55" s="7" t="s">
        <v>90</v>
      </c>
    </row>
    <row r="56" spans="1:9" ht="17.25" customHeight="1" x14ac:dyDescent="0.25">
      <c r="A56" s="14">
        <f t="shared" si="1"/>
        <v>48</v>
      </c>
      <c r="B56" s="8">
        <v>45867</v>
      </c>
      <c r="C56" s="46" t="s">
        <v>80</v>
      </c>
      <c r="D56" s="214" t="s">
        <v>19</v>
      </c>
      <c r="E56" s="32"/>
      <c r="F56" s="17">
        <v>100</v>
      </c>
      <c r="G56" s="18">
        <f t="shared" si="2"/>
        <v>-9274</v>
      </c>
      <c r="H56" s="28" t="s">
        <v>101</v>
      </c>
      <c r="I56" s="7" t="s">
        <v>90</v>
      </c>
    </row>
    <row r="57" spans="1:9" ht="17.25" customHeight="1" x14ac:dyDescent="0.25">
      <c r="A57" s="14">
        <f t="shared" si="1"/>
        <v>49</v>
      </c>
      <c r="B57" s="8">
        <v>45868</v>
      </c>
      <c r="C57" s="46" t="s">
        <v>80</v>
      </c>
      <c r="D57" s="214" t="s">
        <v>19</v>
      </c>
      <c r="E57" s="32"/>
      <c r="F57" s="17">
        <v>420</v>
      </c>
      <c r="G57" s="18">
        <f t="shared" si="2"/>
        <v>-9694</v>
      </c>
      <c r="H57" s="28" t="s">
        <v>101</v>
      </c>
      <c r="I57" s="7" t="s">
        <v>90</v>
      </c>
    </row>
    <row r="58" spans="1:9" ht="17.25" customHeight="1" x14ac:dyDescent="0.25">
      <c r="A58" s="14">
        <f t="shared" si="1"/>
        <v>50</v>
      </c>
      <c r="B58" s="8">
        <v>45869</v>
      </c>
      <c r="C58" s="46" t="s">
        <v>80</v>
      </c>
      <c r="D58" s="214" t="s">
        <v>19</v>
      </c>
      <c r="E58" s="32"/>
      <c r="F58" s="17">
        <v>460</v>
      </c>
      <c r="G58" s="18">
        <f t="shared" si="2"/>
        <v>-10154</v>
      </c>
      <c r="H58" s="28" t="s">
        <v>101</v>
      </c>
      <c r="I58" s="7" t="s">
        <v>90</v>
      </c>
    </row>
    <row r="59" spans="1:9" ht="17.25" customHeight="1" x14ac:dyDescent="0.25">
      <c r="A59" s="14">
        <f t="shared" si="1"/>
        <v>51</v>
      </c>
      <c r="B59" s="8">
        <v>45870</v>
      </c>
      <c r="C59" s="46" t="s">
        <v>80</v>
      </c>
      <c r="D59" s="214" t="s">
        <v>19</v>
      </c>
      <c r="E59" s="32"/>
      <c r="F59" s="17">
        <v>480</v>
      </c>
      <c r="G59" s="18">
        <f t="shared" si="2"/>
        <v>-10634</v>
      </c>
      <c r="H59" s="28" t="s">
        <v>101</v>
      </c>
      <c r="I59" s="7" t="s">
        <v>90</v>
      </c>
    </row>
    <row r="60" spans="1:9" ht="17.25" customHeight="1" x14ac:dyDescent="0.25">
      <c r="A60" s="14">
        <f t="shared" si="1"/>
        <v>52</v>
      </c>
      <c r="B60" s="8">
        <v>45873</v>
      </c>
      <c r="C60" s="46" t="s">
        <v>80</v>
      </c>
      <c r="D60" s="214" t="s">
        <v>19</v>
      </c>
      <c r="E60" s="32"/>
      <c r="F60" s="17">
        <v>75</v>
      </c>
      <c r="G60" s="18">
        <f t="shared" si="2"/>
        <v>-10709</v>
      </c>
      <c r="H60" s="28" t="s">
        <v>101</v>
      </c>
      <c r="I60" s="7" t="s">
        <v>90</v>
      </c>
    </row>
    <row r="61" spans="1:9" ht="17.25" customHeight="1" x14ac:dyDescent="0.25">
      <c r="A61" s="14">
        <f t="shared" si="1"/>
        <v>53</v>
      </c>
      <c r="B61" s="8">
        <v>45874</v>
      </c>
      <c r="C61" s="46" t="s">
        <v>80</v>
      </c>
      <c r="D61" s="214" t="s">
        <v>19</v>
      </c>
      <c r="E61" s="32"/>
      <c r="F61" s="17">
        <v>160</v>
      </c>
      <c r="G61" s="18">
        <f t="shared" si="2"/>
        <v>-10869</v>
      </c>
      <c r="H61" s="28" t="s">
        <v>101</v>
      </c>
      <c r="I61" s="7" t="s">
        <v>90</v>
      </c>
    </row>
    <row r="62" spans="1:9" ht="17.25" customHeight="1" x14ac:dyDescent="0.25">
      <c r="A62" s="14">
        <f t="shared" si="1"/>
        <v>54</v>
      </c>
      <c r="B62" s="8">
        <v>45875</v>
      </c>
      <c r="C62" s="46" t="s">
        <v>80</v>
      </c>
      <c r="D62" s="214" t="s">
        <v>19</v>
      </c>
      <c r="E62" s="32"/>
      <c r="F62" s="17">
        <v>200</v>
      </c>
      <c r="G62" s="18">
        <f t="shared" si="2"/>
        <v>-11069</v>
      </c>
      <c r="H62" s="28" t="s">
        <v>101</v>
      </c>
      <c r="I62" s="7" t="s">
        <v>90</v>
      </c>
    </row>
    <row r="63" spans="1:9" ht="17.25" customHeight="1" x14ac:dyDescent="0.25">
      <c r="A63" s="14">
        <f t="shared" si="1"/>
        <v>55</v>
      </c>
      <c r="B63" s="8">
        <v>45878</v>
      </c>
      <c r="C63" s="46" t="s">
        <v>80</v>
      </c>
      <c r="D63" s="214" t="s">
        <v>19</v>
      </c>
      <c r="E63" s="32"/>
      <c r="F63" s="17">
        <v>240</v>
      </c>
      <c r="G63" s="18">
        <f t="shared" si="2"/>
        <v>-11309</v>
      </c>
      <c r="H63" s="28" t="s">
        <v>101</v>
      </c>
      <c r="I63" s="7" t="s">
        <v>90</v>
      </c>
    </row>
    <row r="64" spans="1:9" ht="17.25" customHeight="1" x14ac:dyDescent="0.25">
      <c r="A64" s="14">
        <f t="shared" si="1"/>
        <v>56</v>
      </c>
      <c r="B64" s="8">
        <v>45881</v>
      </c>
      <c r="C64" s="46" t="s">
        <v>80</v>
      </c>
      <c r="D64" s="214" t="s">
        <v>19</v>
      </c>
      <c r="E64" s="32"/>
      <c r="F64" s="17">
        <v>260</v>
      </c>
      <c r="G64" s="18">
        <f t="shared" si="2"/>
        <v>-11569</v>
      </c>
      <c r="H64" s="28" t="s">
        <v>101</v>
      </c>
      <c r="I64" s="7" t="s">
        <v>90</v>
      </c>
    </row>
    <row r="65" spans="1:10" ht="17.25" customHeight="1" x14ac:dyDescent="0.25">
      <c r="A65" s="14">
        <f t="shared" si="1"/>
        <v>57</v>
      </c>
      <c r="B65" s="8">
        <v>45883</v>
      </c>
      <c r="C65" s="46" t="s">
        <v>80</v>
      </c>
      <c r="D65" s="214" t="s">
        <v>19</v>
      </c>
      <c r="E65" s="32"/>
      <c r="F65" s="17">
        <v>440</v>
      </c>
      <c r="G65" s="18">
        <f t="shared" si="2"/>
        <v>-12009</v>
      </c>
      <c r="H65" s="28" t="s">
        <v>101</v>
      </c>
      <c r="I65" s="7" t="s">
        <v>90</v>
      </c>
    </row>
    <row r="66" spans="1:10" ht="17.25" customHeight="1" x14ac:dyDescent="0.25">
      <c r="A66" s="14"/>
      <c r="B66" s="8">
        <v>45884</v>
      </c>
      <c r="C66" s="46"/>
      <c r="D66" s="214"/>
      <c r="E66" s="32"/>
      <c r="F66" s="17">
        <v>320</v>
      </c>
      <c r="G66" s="18">
        <f t="shared" si="2"/>
        <v>-12329</v>
      </c>
      <c r="H66" s="28"/>
      <c r="I66" s="7"/>
    </row>
    <row r="67" spans="1:10" ht="17.25" customHeight="1" x14ac:dyDescent="0.25">
      <c r="A67" s="14">
        <f>+A65+1</f>
        <v>58</v>
      </c>
      <c r="B67" s="8" t="s">
        <v>430</v>
      </c>
      <c r="C67" s="46" t="s">
        <v>80</v>
      </c>
      <c r="D67" s="214" t="s">
        <v>19</v>
      </c>
      <c r="E67" s="32"/>
      <c r="F67" s="17">
        <v>360</v>
      </c>
      <c r="G67" s="18">
        <f t="shared" si="2"/>
        <v>-12689</v>
      </c>
      <c r="H67" s="28" t="s">
        <v>101</v>
      </c>
      <c r="I67" s="7" t="s">
        <v>90</v>
      </c>
    </row>
    <row r="68" spans="1:10" ht="17.25" customHeight="1" x14ac:dyDescent="0.25">
      <c r="A68" s="14">
        <f t="shared" si="1"/>
        <v>59</v>
      </c>
      <c r="B68" s="8">
        <v>45890</v>
      </c>
      <c r="C68" s="46" t="s">
        <v>80</v>
      </c>
      <c r="D68" s="214" t="s">
        <v>19</v>
      </c>
      <c r="E68" s="32"/>
      <c r="F68" s="17">
        <v>280</v>
      </c>
      <c r="G68" s="18">
        <f t="shared" si="2"/>
        <v>-12969</v>
      </c>
      <c r="H68" s="28" t="s">
        <v>101</v>
      </c>
      <c r="I68" s="7" t="s">
        <v>90</v>
      </c>
    </row>
    <row r="69" spans="1:10" ht="17.25" customHeight="1" x14ac:dyDescent="0.25">
      <c r="A69" s="14">
        <f t="shared" si="1"/>
        <v>60</v>
      </c>
      <c r="B69" s="8">
        <v>45891</v>
      </c>
      <c r="C69" s="46" t="s">
        <v>80</v>
      </c>
      <c r="D69" s="214" t="s">
        <v>19</v>
      </c>
      <c r="E69" s="32"/>
      <c r="F69" s="17">
        <v>380</v>
      </c>
      <c r="G69" s="18">
        <f t="shared" si="2"/>
        <v>-13349</v>
      </c>
      <c r="H69" s="28" t="s">
        <v>101</v>
      </c>
      <c r="I69" s="7" t="s">
        <v>90</v>
      </c>
      <c r="J69" s="26"/>
    </row>
    <row r="70" spans="1:10" ht="17.25" customHeight="1" x14ac:dyDescent="0.25">
      <c r="A70" s="14">
        <f t="shared" si="1"/>
        <v>61</v>
      </c>
      <c r="B70" s="8">
        <v>45892</v>
      </c>
      <c r="C70" s="46" t="s">
        <v>80</v>
      </c>
      <c r="D70" s="214" t="s">
        <v>19</v>
      </c>
      <c r="E70" s="32"/>
      <c r="F70" s="17">
        <v>420</v>
      </c>
      <c r="G70" s="18">
        <f t="shared" si="2"/>
        <v>-13769</v>
      </c>
      <c r="H70" s="28" t="s">
        <v>101</v>
      </c>
      <c r="I70" s="7" t="s">
        <v>90</v>
      </c>
    </row>
    <row r="71" spans="1:10" ht="17.25" customHeight="1" x14ac:dyDescent="0.25">
      <c r="A71" s="14">
        <f t="shared" si="1"/>
        <v>62</v>
      </c>
      <c r="B71" s="8">
        <v>45895</v>
      </c>
      <c r="C71" s="46" t="s">
        <v>80</v>
      </c>
      <c r="D71" s="214" t="s">
        <v>19</v>
      </c>
      <c r="E71" s="32"/>
      <c r="F71" s="17">
        <v>140</v>
      </c>
      <c r="G71" s="18">
        <f t="shared" si="2"/>
        <v>-13909</v>
      </c>
      <c r="H71" s="28" t="s">
        <v>101</v>
      </c>
      <c r="I71" s="7" t="s">
        <v>90</v>
      </c>
    </row>
    <row r="72" spans="1:10" ht="17.25" customHeight="1" x14ac:dyDescent="0.25">
      <c r="A72" s="14">
        <f t="shared" si="1"/>
        <v>63</v>
      </c>
      <c r="B72" s="8">
        <v>45896</v>
      </c>
      <c r="C72" s="46" t="s">
        <v>80</v>
      </c>
      <c r="D72" s="214" t="s">
        <v>19</v>
      </c>
      <c r="E72" s="32"/>
      <c r="F72" s="17">
        <v>100</v>
      </c>
      <c r="G72" s="18">
        <f t="shared" si="2"/>
        <v>-14009</v>
      </c>
      <c r="H72" s="28" t="s">
        <v>101</v>
      </c>
      <c r="I72" s="7" t="s">
        <v>90</v>
      </c>
    </row>
    <row r="73" spans="1:10" ht="17.25" customHeight="1" x14ac:dyDescent="0.25">
      <c r="A73" s="14">
        <f t="shared" si="1"/>
        <v>64</v>
      </c>
      <c r="B73" s="8">
        <v>45913</v>
      </c>
      <c r="C73" s="46"/>
      <c r="D73" s="214" t="s">
        <v>19</v>
      </c>
      <c r="E73" s="32"/>
      <c r="F73" s="17">
        <v>40</v>
      </c>
      <c r="G73" s="18">
        <f t="shared" si="2"/>
        <v>-14049</v>
      </c>
      <c r="H73" s="28" t="s">
        <v>101</v>
      </c>
      <c r="I73" s="7" t="s">
        <v>90</v>
      </c>
    </row>
    <row r="74" spans="1:10" ht="17.25" customHeight="1" x14ac:dyDescent="0.25">
      <c r="A74" s="14">
        <f t="shared" si="1"/>
        <v>65</v>
      </c>
      <c r="B74" s="8">
        <v>45922</v>
      </c>
      <c r="C74" s="46"/>
      <c r="D74" s="214"/>
      <c r="E74" s="32"/>
      <c r="F74" s="17">
        <v>200</v>
      </c>
      <c r="G74" s="18">
        <f t="shared" si="2"/>
        <v>-14249</v>
      </c>
      <c r="H74" s="28" t="s">
        <v>101</v>
      </c>
      <c r="I74" s="7" t="s">
        <v>90</v>
      </c>
    </row>
    <row r="75" spans="1:10" ht="17.25" customHeight="1" x14ac:dyDescent="0.25">
      <c r="A75" s="14">
        <f t="shared" si="1"/>
        <v>66</v>
      </c>
      <c r="B75" s="8">
        <v>45924</v>
      </c>
      <c r="C75" s="46"/>
      <c r="D75" s="214"/>
      <c r="E75" s="32"/>
      <c r="F75" s="17">
        <v>200</v>
      </c>
      <c r="G75" s="18">
        <f t="shared" ref="G75:G100" si="3">+G74+E75-F75</f>
        <v>-14449</v>
      </c>
      <c r="H75" s="28" t="s">
        <v>101</v>
      </c>
      <c r="I75" s="7" t="s">
        <v>90</v>
      </c>
    </row>
    <row r="76" spans="1:10" ht="17.25" customHeight="1" x14ac:dyDescent="0.25">
      <c r="A76" s="14">
        <f t="shared" ref="A76:A101" si="4">+A75+1</f>
        <v>67</v>
      </c>
      <c r="B76" s="8">
        <v>45925</v>
      </c>
      <c r="C76" s="46"/>
      <c r="D76" s="214"/>
      <c r="E76" s="32"/>
      <c r="F76" s="17">
        <v>280</v>
      </c>
      <c r="G76" s="18">
        <f t="shared" si="3"/>
        <v>-14729</v>
      </c>
      <c r="H76" s="28" t="s">
        <v>101</v>
      </c>
      <c r="I76" s="7" t="s">
        <v>90</v>
      </c>
    </row>
    <row r="77" spans="1:10" ht="17.25" customHeight="1" x14ac:dyDescent="0.25">
      <c r="A77" s="14">
        <f t="shared" si="4"/>
        <v>68</v>
      </c>
      <c r="B77" s="8"/>
      <c r="C77" s="46"/>
      <c r="D77" s="214"/>
      <c r="E77" s="32"/>
      <c r="F77" s="17"/>
      <c r="G77" s="18">
        <f t="shared" si="3"/>
        <v>-14729</v>
      </c>
      <c r="H77" s="28" t="s">
        <v>101</v>
      </c>
      <c r="I77" s="7" t="s">
        <v>90</v>
      </c>
    </row>
    <row r="78" spans="1:10" ht="17.25" customHeight="1" x14ac:dyDescent="0.25">
      <c r="A78" s="14">
        <f t="shared" si="4"/>
        <v>69</v>
      </c>
      <c r="B78" s="8"/>
      <c r="C78" s="46"/>
      <c r="D78" s="214"/>
      <c r="E78" s="32"/>
      <c r="F78" s="17"/>
      <c r="G78" s="18">
        <f t="shared" si="3"/>
        <v>-14729</v>
      </c>
      <c r="H78" s="28" t="s">
        <v>101</v>
      </c>
      <c r="I78" s="7" t="s">
        <v>90</v>
      </c>
    </row>
    <row r="79" spans="1:10" ht="17.25" customHeight="1" x14ac:dyDescent="0.25">
      <c r="A79" s="14">
        <f t="shared" si="4"/>
        <v>70</v>
      </c>
      <c r="B79" s="8"/>
      <c r="C79" s="46"/>
      <c r="D79" s="214"/>
      <c r="E79" s="32"/>
      <c r="F79" s="17"/>
      <c r="G79" s="18">
        <f t="shared" si="3"/>
        <v>-14729</v>
      </c>
      <c r="H79" s="28" t="s">
        <v>101</v>
      </c>
      <c r="I79" s="7" t="s">
        <v>90</v>
      </c>
    </row>
    <row r="80" spans="1:10" ht="17.25" customHeight="1" x14ac:dyDescent="0.25">
      <c r="A80" s="14">
        <f t="shared" si="4"/>
        <v>71</v>
      </c>
      <c r="B80" s="8"/>
      <c r="C80" s="46"/>
      <c r="D80" s="214"/>
      <c r="E80" s="32"/>
      <c r="F80" s="17"/>
      <c r="G80" s="18">
        <f t="shared" si="3"/>
        <v>-14729</v>
      </c>
      <c r="H80" s="28"/>
      <c r="I80" s="7"/>
    </row>
    <row r="81" spans="1:17" ht="17.25" customHeight="1" x14ac:dyDescent="0.25">
      <c r="A81" s="14">
        <f t="shared" si="4"/>
        <v>72</v>
      </c>
      <c r="B81" s="8"/>
      <c r="C81" s="46"/>
      <c r="D81" s="214"/>
      <c r="E81" s="32"/>
      <c r="F81" s="17"/>
      <c r="G81" s="18">
        <f t="shared" si="3"/>
        <v>-14729</v>
      </c>
      <c r="H81" s="28"/>
      <c r="I81" s="7"/>
    </row>
    <row r="82" spans="1:17" ht="17.25" customHeight="1" x14ac:dyDescent="0.25">
      <c r="A82" s="14">
        <f t="shared" si="4"/>
        <v>73</v>
      </c>
      <c r="B82" s="8"/>
      <c r="C82" s="46"/>
      <c r="D82" s="214"/>
      <c r="E82" s="32"/>
      <c r="F82" s="17"/>
      <c r="G82" s="18">
        <f t="shared" si="3"/>
        <v>-14729</v>
      </c>
      <c r="H82" s="28"/>
      <c r="I82" s="7"/>
    </row>
    <row r="83" spans="1:17" ht="17.25" customHeight="1" x14ac:dyDescent="0.25">
      <c r="A83" s="14">
        <f t="shared" si="4"/>
        <v>74</v>
      </c>
      <c r="B83" s="8"/>
      <c r="C83" s="46"/>
      <c r="D83" s="214"/>
      <c r="E83" s="32"/>
      <c r="F83" s="17"/>
      <c r="G83" s="18">
        <f t="shared" si="3"/>
        <v>-14729</v>
      </c>
      <c r="H83" s="28"/>
      <c r="I83" s="7"/>
    </row>
    <row r="84" spans="1:17" ht="17.25" customHeight="1" x14ac:dyDescent="0.25">
      <c r="A84" s="14">
        <f t="shared" si="4"/>
        <v>75</v>
      </c>
      <c r="B84" s="8"/>
      <c r="C84" s="46"/>
      <c r="D84" s="214"/>
      <c r="E84" s="32"/>
      <c r="F84" s="17"/>
      <c r="G84" s="18">
        <f t="shared" si="3"/>
        <v>-14729</v>
      </c>
      <c r="H84" s="28"/>
      <c r="I84" s="7"/>
    </row>
    <row r="85" spans="1:17" ht="17.25" customHeight="1" x14ac:dyDescent="0.25">
      <c r="A85" s="14">
        <f t="shared" si="4"/>
        <v>76</v>
      </c>
      <c r="B85" s="8"/>
      <c r="C85" s="46"/>
      <c r="D85" s="214"/>
      <c r="E85" s="32"/>
      <c r="F85" s="17"/>
      <c r="G85" s="18">
        <f t="shared" si="3"/>
        <v>-14729</v>
      </c>
      <c r="H85" s="28"/>
      <c r="I85" s="7"/>
    </row>
    <row r="86" spans="1:17" ht="17.25" customHeight="1" x14ac:dyDescent="0.25">
      <c r="A86" s="14">
        <f t="shared" si="4"/>
        <v>77</v>
      </c>
      <c r="B86" s="8"/>
      <c r="C86" s="46"/>
      <c r="D86" s="214"/>
      <c r="E86" s="32"/>
      <c r="F86" s="17"/>
      <c r="G86" s="18">
        <f t="shared" si="3"/>
        <v>-14729</v>
      </c>
      <c r="H86" s="28"/>
      <c r="I86" s="7"/>
    </row>
    <row r="87" spans="1:17" ht="17.25" customHeight="1" x14ac:dyDescent="0.25">
      <c r="A87" s="14">
        <f t="shared" si="4"/>
        <v>78</v>
      </c>
      <c r="B87" s="8"/>
      <c r="C87" s="46"/>
      <c r="D87" s="214"/>
      <c r="E87" s="32"/>
      <c r="F87" s="27"/>
      <c r="G87" s="18">
        <f t="shared" si="3"/>
        <v>-14729</v>
      </c>
      <c r="H87" s="28"/>
      <c r="I87" s="7"/>
    </row>
    <row r="88" spans="1:17" ht="17.25" customHeight="1" x14ac:dyDescent="0.25">
      <c r="A88" s="14">
        <f t="shared" si="4"/>
        <v>79</v>
      </c>
      <c r="B88" s="8"/>
      <c r="C88" s="46"/>
      <c r="D88" s="214"/>
      <c r="E88" s="32"/>
      <c r="F88" s="17"/>
      <c r="G88" s="18">
        <f t="shared" si="3"/>
        <v>-14729</v>
      </c>
      <c r="H88" s="28"/>
      <c r="I88" s="7"/>
    </row>
    <row r="89" spans="1:17" ht="17.25" customHeight="1" x14ac:dyDescent="0.25">
      <c r="A89" s="14">
        <f t="shared" si="4"/>
        <v>80</v>
      </c>
      <c r="B89" s="8"/>
      <c r="C89" s="46"/>
      <c r="D89" s="214"/>
      <c r="E89" s="32"/>
      <c r="F89" s="17"/>
      <c r="G89" s="18">
        <f t="shared" si="3"/>
        <v>-14729</v>
      </c>
      <c r="H89" s="28"/>
      <c r="I89" s="7"/>
    </row>
    <row r="90" spans="1:17" ht="17.25" customHeight="1" x14ac:dyDescent="0.25">
      <c r="A90" s="14">
        <f t="shared" si="4"/>
        <v>81</v>
      </c>
      <c r="B90" s="8"/>
      <c r="C90" s="46"/>
      <c r="D90" s="214"/>
      <c r="E90" s="32"/>
      <c r="F90" s="17"/>
      <c r="G90" s="18">
        <f t="shared" si="3"/>
        <v>-14729</v>
      </c>
      <c r="H90" s="28"/>
      <c r="I90" s="7"/>
    </row>
    <row r="91" spans="1:17" ht="17.25" customHeight="1" x14ac:dyDescent="0.25">
      <c r="A91" s="14">
        <f t="shared" si="4"/>
        <v>82</v>
      </c>
      <c r="B91" s="8"/>
      <c r="C91" s="46"/>
      <c r="D91" s="214"/>
      <c r="E91" s="32"/>
      <c r="F91" s="17"/>
      <c r="G91" s="18">
        <f t="shared" si="3"/>
        <v>-14729</v>
      </c>
      <c r="H91" s="28"/>
      <c r="I91" s="7"/>
    </row>
    <row r="92" spans="1:17" ht="17.25" customHeight="1" x14ac:dyDescent="0.25">
      <c r="A92" s="14">
        <f t="shared" si="4"/>
        <v>83</v>
      </c>
      <c r="B92" s="8"/>
      <c r="C92" s="46"/>
      <c r="D92" s="214"/>
      <c r="E92" s="32"/>
      <c r="F92" s="17"/>
      <c r="G92" s="18">
        <f t="shared" si="3"/>
        <v>-14729</v>
      </c>
      <c r="H92" s="28"/>
      <c r="I92" s="7"/>
    </row>
    <row r="93" spans="1:17" ht="17.25" customHeight="1" x14ac:dyDescent="0.25">
      <c r="A93" s="14">
        <f t="shared" si="4"/>
        <v>84</v>
      </c>
      <c r="B93" s="8"/>
      <c r="C93" s="46"/>
      <c r="D93" s="214"/>
      <c r="E93" s="32"/>
      <c r="F93" s="17"/>
      <c r="G93" s="18">
        <f t="shared" si="3"/>
        <v>-14729</v>
      </c>
      <c r="H93" s="28"/>
      <c r="I93" s="7"/>
    </row>
    <row r="94" spans="1:17" ht="17.25" customHeight="1" x14ac:dyDescent="0.25">
      <c r="A94" s="14">
        <f t="shared" si="4"/>
        <v>85</v>
      </c>
      <c r="B94" s="8"/>
      <c r="C94" s="46"/>
      <c r="D94" s="214"/>
      <c r="E94" s="32"/>
      <c r="F94" s="17"/>
      <c r="G94" s="18">
        <f t="shared" si="3"/>
        <v>-14729</v>
      </c>
      <c r="H94" s="28"/>
      <c r="I94" s="7"/>
      <c r="L94" s="199"/>
      <c r="Q94" s="199"/>
    </row>
    <row r="95" spans="1:17" ht="17.25" customHeight="1" x14ac:dyDescent="0.25">
      <c r="A95" s="14">
        <f t="shared" si="4"/>
        <v>86</v>
      </c>
      <c r="B95" s="8"/>
      <c r="C95" s="46"/>
      <c r="D95" s="214"/>
      <c r="E95" s="32"/>
      <c r="F95" s="27"/>
      <c r="G95" s="18">
        <f t="shared" si="3"/>
        <v>-14729</v>
      </c>
      <c r="H95" s="28"/>
      <c r="I95" s="7"/>
      <c r="L95" s="199"/>
      <c r="Q95" s="199"/>
    </row>
    <row r="96" spans="1:17" ht="17.25" customHeight="1" x14ac:dyDescent="0.25">
      <c r="A96" s="14">
        <f t="shared" si="4"/>
        <v>87</v>
      </c>
      <c r="B96" s="8"/>
      <c r="C96" s="46"/>
      <c r="D96" s="214"/>
      <c r="E96" s="32"/>
      <c r="F96" s="27"/>
      <c r="G96" s="18">
        <f t="shared" si="3"/>
        <v>-14729</v>
      </c>
      <c r="H96" s="28"/>
      <c r="I96" s="7"/>
      <c r="L96" s="199"/>
      <c r="Q96" s="199"/>
    </row>
    <row r="97" spans="1:17" ht="17.25" customHeight="1" x14ac:dyDescent="0.25">
      <c r="A97" s="14">
        <f t="shared" si="4"/>
        <v>88</v>
      </c>
      <c r="B97" s="8"/>
      <c r="C97" s="46"/>
      <c r="D97" s="214"/>
      <c r="E97" s="32"/>
      <c r="F97" s="27"/>
      <c r="G97" s="18">
        <f t="shared" si="3"/>
        <v>-14729</v>
      </c>
      <c r="H97" s="28"/>
      <c r="I97" s="7"/>
      <c r="L97" s="199"/>
      <c r="Q97" s="199"/>
    </row>
    <row r="98" spans="1:17" ht="17.25" customHeight="1" x14ac:dyDescent="0.25">
      <c r="A98" s="14">
        <f t="shared" si="4"/>
        <v>89</v>
      </c>
      <c r="B98" s="8"/>
      <c r="C98" s="46"/>
      <c r="D98" s="214"/>
      <c r="E98" s="32"/>
      <c r="F98" s="27"/>
      <c r="G98" s="18">
        <f t="shared" si="3"/>
        <v>-14729</v>
      </c>
      <c r="H98" s="28"/>
      <c r="I98" s="7"/>
      <c r="L98" s="199"/>
      <c r="Q98" s="199"/>
    </row>
    <row r="99" spans="1:17" ht="17.25" customHeight="1" x14ac:dyDescent="0.25">
      <c r="A99" s="14">
        <f t="shared" si="4"/>
        <v>90</v>
      </c>
      <c r="B99" s="8"/>
      <c r="C99" s="46"/>
      <c r="D99" s="214"/>
      <c r="E99" s="32"/>
      <c r="F99" s="27"/>
      <c r="G99" s="18">
        <f t="shared" si="3"/>
        <v>-14729</v>
      </c>
      <c r="H99" s="28"/>
      <c r="I99" s="7"/>
      <c r="L99" s="199"/>
      <c r="Q99" s="199"/>
    </row>
    <row r="100" spans="1:17" ht="17.25" customHeight="1" x14ac:dyDescent="0.25">
      <c r="A100" s="14">
        <f t="shared" si="4"/>
        <v>91</v>
      </c>
      <c r="B100" s="37"/>
      <c r="C100" s="46"/>
      <c r="D100" s="10"/>
      <c r="E100" s="32"/>
      <c r="F100" s="27"/>
      <c r="G100" s="18">
        <f t="shared" si="3"/>
        <v>-14729</v>
      </c>
      <c r="H100" s="28"/>
      <c r="I100" s="7"/>
      <c r="L100" s="199"/>
      <c r="Q100" s="199"/>
    </row>
    <row r="101" spans="1:17" ht="17.25" customHeight="1" x14ac:dyDescent="0.25">
      <c r="A101" s="14">
        <f t="shared" si="4"/>
        <v>92</v>
      </c>
      <c r="B101" s="7"/>
      <c r="C101" s="34" t="s">
        <v>13</v>
      </c>
      <c r="D101" s="14"/>
      <c r="E101" s="35">
        <f>SUM(E8:E100)</f>
        <v>0</v>
      </c>
      <c r="F101" s="35">
        <f>SUM(F8:F100)</f>
        <v>14729</v>
      </c>
      <c r="G101" s="35">
        <f>+E101-F101+G8</f>
        <v>-14729</v>
      </c>
      <c r="H101" s="35"/>
      <c r="I101" s="36"/>
    </row>
    <row r="105" spans="1:17" x14ac:dyDescent="0.25">
      <c r="E105" s="201"/>
      <c r="F105" s="201"/>
      <c r="G105" s="201"/>
      <c r="H105" s="201"/>
    </row>
    <row r="106" spans="1:17" x14ac:dyDescent="0.25">
      <c r="F106" s="26"/>
    </row>
    <row r="107" spans="1:17" x14ac:dyDescent="0.25">
      <c r="E107" s="26"/>
      <c r="F107" s="26"/>
      <c r="G107" s="26"/>
      <c r="H107" s="26"/>
      <c r="I107" s="26"/>
    </row>
    <row r="108" spans="1:17" x14ac:dyDescent="0.25">
      <c r="I108" s="202"/>
    </row>
    <row r="109" spans="1:17" x14ac:dyDescent="0.25">
      <c r="E109" s="199"/>
    </row>
    <row r="110" spans="1:17" x14ac:dyDescent="0.25">
      <c r="E110" s="26"/>
      <c r="F110" s="26"/>
    </row>
    <row r="111" spans="1:17" x14ac:dyDescent="0.25">
      <c r="E111" s="203"/>
      <c r="F111" s="204"/>
      <c r="G111" s="203"/>
      <c r="H111" s="203"/>
    </row>
    <row r="112" spans="1:17" x14ac:dyDescent="0.25">
      <c r="F112" s="26"/>
    </row>
  </sheetData>
  <mergeCells count="1">
    <mergeCell ref="A4:I5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2A02-B326-400A-8674-19B54D195DE2}">
  <sheetPr codeName="Sheet125"/>
  <dimension ref="A1:Q112"/>
  <sheetViews>
    <sheetView topLeftCell="A15" workbookViewId="0">
      <selection activeCell="F31" sqref="F31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>
        <v>45292</v>
      </c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45895</v>
      </c>
      <c r="C9" s="46" t="s">
        <v>437</v>
      </c>
      <c r="D9" s="214"/>
      <c r="E9" s="11">
        <f>5*12000</f>
        <v>60000</v>
      </c>
      <c r="F9" s="27">
        <v>140</v>
      </c>
      <c r="G9" s="18">
        <f t="shared" ref="G9:G72" si="0">+G8+E9-F9</f>
        <v>59860</v>
      </c>
      <c r="H9" s="28" t="s">
        <v>101</v>
      </c>
      <c r="I9" s="7" t="s">
        <v>90</v>
      </c>
    </row>
    <row r="10" spans="1:10" ht="17.25" customHeight="1" x14ac:dyDescent="0.25">
      <c r="A10" s="14">
        <f t="shared" ref="A10:A73" si="1">+A9+1</f>
        <v>2</v>
      </c>
      <c r="B10" s="8">
        <v>45896</v>
      </c>
      <c r="C10" s="46"/>
      <c r="D10" s="214"/>
      <c r="E10" s="30"/>
      <c r="F10" s="27">
        <v>100</v>
      </c>
      <c r="G10" s="18">
        <f t="shared" si="0"/>
        <v>59760</v>
      </c>
      <c r="H10" s="28" t="s">
        <v>101</v>
      </c>
      <c r="I10" s="7" t="s">
        <v>90</v>
      </c>
    </row>
    <row r="11" spans="1:10" ht="17.25" customHeight="1" x14ac:dyDescent="0.25">
      <c r="A11" s="14">
        <f t="shared" si="1"/>
        <v>3</v>
      </c>
      <c r="B11" s="8">
        <v>45897</v>
      </c>
      <c r="C11" s="46"/>
      <c r="D11" s="214"/>
      <c r="E11" s="16"/>
      <c r="F11" s="27">
        <v>240</v>
      </c>
      <c r="G11" s="18">
        <f t="shared" si="0"/>
        <v>59520</v>
      </c>
      <c r="H11" s="28" t="s">
        <v>101</v>
      </c>
      <c r="I11" s="7" t="s">
        <v>90</v>
      </c>
      <c r="J11" s="26"/>
    </row>
    <row r="12" spans="1:10" ht="17.25" customHeight="1" x14ac:dyDescent="0.25">
      <c r="A12" s="14">
        <f t="shared" si="1"/>
        <v>4</v>
      </c>
      <c r="B12" s="8">
        <v>45898</v>
      </c>
      <c r="C12" s="46"/>
      <c r="D12" s="214"/>
      <c r="E12" s="16"/>
      <c r="F12" s="125">
        <v>200</v>
      </c>
      <c r="G12" s="18">
        <f t="shared" si="0"/>
        <v>59320</v>
      </c>
      <c r="H12" s="28" t="s">
        <v>101</v>
      </c>
      <c r="I12" s="7" t="s">
        <v>90</v>
      </c>
    </row>
    <row r="13" spans="1:10" ht="17.25" customHeight="1" x14ac:dyDescent="0.25">
      <c r="A13" s="14">
        <f t="shared" si="1"/>
        <v>5</v>
      </c>
      <c r="B13" s="205">
        <v>45899</v>
      </c>
      <c r="C13" s="46"/>
      <c r="D13" s="214"/>
      <c r="E13" s="16"/>
      <c r="F13" s="125">
        <v>160</v>
      </c>
      <c r="G13" s="18">
        <f t="shared" si="0"/>
        <v>59160</v>
      </c>
      <c r="H13" s="28" t="s">
        <v>101</v>
      </c>
      <c r="I13" s="7" t="s">
        <v>90</v>
      </c>
      <c r="J13" s="26"/>
    </row>
    <row r="14" spans="1:10" ht="17.25" customHeight="1" x14ac:dyDescent="0.25">
      <c r="A14" s="14">
        <f t="shared" si="1"/>
        <v>6</v>
      </c>
      <c r="B14" s="8">
        <v>45903</v>
      </c>
      <c r="C14" s="46"/>
      <c r="D14" s="214"/>
      <c r="E14" s="16"/>
      <c r="F14" s="118">
        <v>280</v>
      </c>
      <c r="G14" s="18">
        <f t="shared" si="0"/>
        <v>58880</v>
      </c>
      <c r="H14" s="28" t="s">
        <v>101</v>
      </c>
      <c r="I14" s="7" t="s">
        <v>90</v>
      </c>
    </row>
    <row r="15" spans="1:10" ht="17.25" customHeight="1" x14ac:dyDescent="0.25">
      <c r="A15" s="14">
        <f t="shared" si="1"/>
        <v>7</v>
      </c>
      <c r="B15" s="44">
        <v>45904</v>
      </c>
      <c r="C15" s="46"/>
      <c r="D15" s="214"/>
      <c r="E15" s="16"/>
      <c r="F15" s="118">
        <v>180</v>
      </c>
      <c r="G15" s="18">
        <f t="shared" si="0"/>
        <v>58700</v>
      </c>
      <c r="H15" s="28" t="s">
        <v>101</v>
      </c>
      <c r="I15" s="7" t="s">
        <v>90</v>
      </c>
      <c r="J15" s="26"/>
    </row>
    <row r="16" spans="1:10" ht="17.25" customHeight="1" x14ac:dyDescent="0.25">
      <c r="A16" s="14">
        <f t="shared" si="1"/>
        <v>8</v>
      </c>
      <c r="B16" s="44">
        <v>45905</v>
      </c>
      <c r="C16" s="46"/>
      <c r="D16" s="214"/>
      <c r="E16" s="16"/>
      <c r="F16" s="27">
        <v>120</v>
      </c>
      <c r="G16" s="18">
        <f t="shared" si="0"/>
        <v>58580</v>
      </c>
      <c r="H16" s="28" t="s">
        <v>140</v>
      </c>
      <c r="I16" s="7" t="s">
        <v>294</v>
      </c>
    </row>
    <row r="17" spans="1:9" ht="17.25" customHeight="1" x14ac:dyDescent="0.25">
      <c r="A17" s="14">
        <f t="shared" si="1"/>
        <v>9</v>
      </c>
      <c r="B17" s="44">
        <v>45906</v>
      </c>
      <c r="C17" s="46"/>
      <c r="D17" s="214"/>
      <c r="E17" s="30"/>
      <c r="F17" s="27">
        <v>280</v>
      </c>
      <c r="G17" s="18">
        <f t="shared" si="0"/>
        <v>58300</v>
      </c>
      <c r="H17" s="28" t="s">
        <v>101</v>
      </c>
      <c r="I17" s="7" t="s">
        <v>90</v>
      </c>
    </row>
    <row r="18" spans="1:9" s="221" customFormat="1" ht="17.25" customHeight="1" x14ac:dyDescent="0.25">
      <c r="A18" s="215">
        <f>+A17+1</f>
        <v>10</v>
      </c>
      <c r="B18" s="372">
        <v>45908</v>
      </c>
      <c r="C18" s="46"/>
      <c r="D18" s="214"/>
      <c r="E18" s="218"/>
      <c r="F18" s="219">
        <v>300</v>
      </c>
      <c r="G18" s="220">
        <f t="shared" si="0"/>
        <v>58000</v>
      </c>
      <c r="H18" s="28" t="s">
        <v>101</v>
      </c>
      <c r="I18" s="7" t="s">
        <v>90</v>
      </c>
    </row>
    <row r="19" spans="1:9" s="221" customFormat="1" ht="17.25" customHeight="1" x14ac:dyDescent="0.25">
      <c r="A19" s="215">
        <f t="shared" si="1"/>
        <v>11</v>
      </c>
      <c r="B19" s="372">
        <v>45909</v>
      </c>
      <c r="C19" s="46"/>
      <c r="D19" s="214"/>
      <c r="E19" s="222"/>
      <c r="F19" s="219">
        <v>80</v>
      </c>
      <c r="G19" s="220">
        <f t="shared" si="0"/>
        <v>57920</v>
      </c>
      <c r="H19" s="28" t="s">
        <v>101</v>
      </c>
      <c r="I19" s="7" t="s">
        <v>90</v>
      </c>
    </row>
    <row r="20" spans="1:9" ht="17.25" customHeight="1" x14ac:dyDescent="0.25">
      <c r="A20" s="14">
        <f t="shared" si="1"/>
        <v>12</v>
      </c>
      <c r="B20" s="8">
        <v>45923</v>
      </c>
      <c r="C20" s="46"/>
      <c r="D20" s="214"/>
      <c r="E20" s="32"/>
      <c r="F20" s="17">
        <v>160</v>
      </c>
      <c r="G20" s="18">
        <f t="shared" si="0"/>
        <v>57760</v>
      </c>
      <c r="H20" s="28" t="s">
        <v>101</v>
      </c>
      <c r="I20" s="7" t="s">
        <v>90</v>
      </c>
    </row>
    <row r="21" spans="1:9" ht="17.25" customHeight="1" x14ac:dyDescent="0.25">
      <c r="A21" s="14">
        <f t="shared" si="1"/>
        <v>13</v>
      </c>
      <c r="B21" s="8">
        <v>45926</v>
      </c>
      <c r="C21" s="46"/>
      <c r="D21" s="214"/>
      <c r="E21" s="32"/>
      <c r="F21" s="27">
        <v>200</v>
      </c>
      <c r="G21" s="18">
        <f t="shared" si="0"/>
        <v>57560</v>
      </c>
      <c r="H21" s="28" t="s">
        <v>101</v>
      </c>
      <c r="I21" s="7" t="s">
        <v>90</v>
      </c>
    </row>
    <row r="22" spans="1:9" ht="17.25" customHeight="1" x14ac:dyDescent="0.25">
      <c r="A22" s="14">
        <f t="shared" si="1"/>
        <v>14</v>
      </c>
      <c r="B22" s="8">
        <v>45927</v>
      </c>
      <c r="C22" s="46"/>
      <c r="D22" s="214"/>
      <c r="E22" s="32"/>
      <c r="F22" s="17">
        <v>120</v>
      </c>
      <c r="G22" s="18">
        <f t="shared" si="0"/>
        <v>57440</v>
      </c>
      <c r="H22" s="28" t="s">
        <v>101</v>
      </c>
      <c r="I22" s="7" t="s">
        <v>90</v>
      </c>
    </row>
    <row r="23" spans="1:9" ht="17.25" customHeight="1" x14ac:dyDescent="0.25">
      <c r="A23" s="14">
        <f t="shared" si="1"/>
        <v>15</v>
      </c>
      <c r="B23" s="8">
        <v>45929</v>
      </c>
      <c r="C23" s="46"/>
      <c r="D23" s="214"/>
      <c r="E23" s="32"/>
      <c r="F23" s="17">
        <v>280</v>
      </c>
      <c r="G23" s="18">
        <f t="shared" si="0"/>
        <v>57160</v>
      </c>
      <c r="H23" s="28" t="s">
        <v>101</v>
      </c>
      <c r="I23" s="7" t="s">
        <v>90</v>
      </c>
    </row>
    <row r="24" spans="1:9" ht="17.25" customHeight="1" x14ac:dyDescent="0.25">
      <c r="A24" s="14">
        <f t="shared" si="1"/>
        <v>16</v>
      </c>
      <c r="B24" s="8">
        <v>45930</v>
      </c>
      <c r="C24" s="46"/>
      <c r="D24" s="214"/>
      <c r="E24" s="32"/>
      <c r="F24" s="17">
        <v>300</v>
      </c>
      <c r="G24" s="18">
        <f t="shared" si="0"/>
        <v>56860</v>
      </c>
      <c r="H24" s="28"/>
      <c r="I24" s="7"/>
    </row>
    <row r="25" spans="1:9" ht="17.25" customHeight="1" x14ac:dyDescent="0.25">
      <c r="A25" s="14">
        <f t="shared" si="1"/>
        <v>17</v>
      </c>
      <c r="B25" s="8">
        <v>45931</v>
      </c>
      <c r="C25" s="46"/>
      <c r="D25" s="214"/>
      <c r="E25" s="32"/>
      <c r="F25" s="17">
        <v>260</v>
      </c>
      <c r="G25" s="18">
        <f t="shared" si="0"/>
        <v>56600</v>
      </c>
      <c r="H25" s="28" t="s">
        <v>101</v>
      </c>
      <c r="I25" s="7" t="s">
        <v>90</v>
      </c>
    </row>
    <row r="26" spans="1:9" ht="17.25" customHeight="1" x14ac:dyDescent="0.25">
      <c r="A26" s="14">
        <f t="shared" si="1"/>
        <v>18</v>
      </c>
      <c r="B26" s="8">
        <v>45933</v>
      </c>
      <c r="C26" s="46"/>
      <c r="D26" s="214"/>
      <c r="E26" s="32"/>
      <c r="F26" s="17">
        <v>160</v>
      </c>
      <c r="G26" s="18">
        <f t="shared" si="0"/>
        <v>56440</v>
      </c>
      <c r="H26" s="28" t="s">
        <v>101</v>
      </c>
      <c r="I26" s="7" t="s">
        <v>90</v>
      </c>
    </row>
    <row r="27" spans="1:9" ht="17.25" customHeight="1" x14ac:dyDescent="0.25">
      <c r="A27" s="14">
        <f t="shared" si="1"/>
        <v>19</v>
      </c>
      <c r="B27" s="8">
        <v>45936</v>
      </c>
      <c r="C27" s="46"/>
      <c r="D27" s="214"/>
      <c r="E27" s="32"/>
      <c r="F27" s="17">
        <v>120</v>
      </c>
      <c r="G27" s="18">
        <f t="shared" si="0"/>
        <v>56320</v>
      </c>
      <c r="H27" s="28" t="s">
        <v>101</v>
      </c>
      <c r="I27" s="7" t="s">
        <v>90</v>
      </c>
    </row>
    <row r="28" spans="1:9" ht="17.25" customHeight="1" x14ac:dyDescent="0.25">
      <c r="A28" s="14">
        <f t="shared" si="1"/>
        <v>20</v>
      </c>
      <c r="B28" s="8">
        <v>45937</v>
      </c>
      <c r="C28" s="46"/>
      <c r="D28" s="214"/>
      <c r="E28" s="32"/>
      <c r="F28" s="17">
        <v>300</v>
      </c>
      <c r="G28" s="18">
        <f t="shared" si="0"/>
        <v>56020</v>
      </c>
      <c r="H28" s="28" t="s">
        <v>101</v>
      </c>
      <c r="I28" s="7" t="s">
        <v>90</v>
      </c>
    </row>
    <row r="29" spans="1:9" ht="17.25" customHeight="1" x14ac:dyDescent="0.25">
      <c r="A29" s="14">
        <f t="shared" si="1"/>
        <v>21</v>
      </c>
      <c r="B29" s="8">
        <v>45938</v>
      </c>
      <c r="C29" s="46"/>
      <c r="D29" s="214"/>
      <c r="E29" s="32"/>
      <c r="F29" s="17">
        <v>400</v>
      </c>
      <c r="G29" s="18">
        <f t="shared" si="0"/>
        <v>55620</v>
      </c>
      <c r="H29" s="28" t="s">
        <v>101</v>
      </c>
      <c r="I29" s="7" t="s">
        <v>390</v>
      </c>
    </row>
    <row r="30" spans="1:9" ht="17.25" customHeight="1" x14ac:dyDescent="0.25">
      <c r="A30" s="14">
        <f t="shared" si="1"/>
        <v>22</v>
      </c>
      <c r="B30" s="8">
        <v>45939</v>
      </c>
      <c r="C30" s="46"/>
      <c r="D30" s="214"/>
      <c r="E30" s="129"/>
      <c r="F30" s="17">
        <v>360</v>
      </c>
      <c r="G30" s="18">
        <f t="shared" si="0"/>
        <v>55260</v>
      </c>
      <c r="H30" s="28" t="s">
        <v>101</v>
      </c>
      <c r="I30" s="7" t="s">
        <v>390</v>
      </c>
    </row>
    <row r="31" spans="1:9" ht="17.25" customHeight="1" x14ac:dyDescent="0.25">
      <c r="A31" s="14">
        <f t="shared" si="1"/>
        <v>23</v>
      </c>
      <c r="B31" s="8">
        <v>45940</v>
      </c>
      <c r="C31" s="46"/>
      <c r="D31" s="214"/>
      <c r="E31" s="32"/>
      <c r="F31" s="17">
        <v>300</v>
      </c>
      <c r="G31" s="18">
        <f t="shared" si="0"/>
        <v>54960</v>
      </c>
      <c r="H31" s="28" t="s">
        <v>101</v>
      </c>
      <c r="I31" s="7" t="s">
        <v>90</v>
      </c>
    </row>
    <row r="32" spans="1:9" ht="17.25" customHeight="1" x14ac:dyDescent="0.25">
      <c r="A32" s="14">
        <f t="shared" si="1"/>
        <v>24</v>
      </c>
      <c r="B32" s="8"/>
      <c r="C32" s="46"/>
      <c r="D32" s="214"/>
      <c r="E32" s="32"/>
      <c r="F32" s="17"/>
      <c r="G32" s="18">
        <f t="shared" si="0"/>
        <v>54960</v>
      </c>
      <c r="H32" s="28" t="s">
        <v>101</v>
      </c>
      <c r="I32" s="7" t="s">
        <v>90</v>
      </c>
    </row>
    <row r="33" spans="1:13" ht="17.25" customHeight="1" x14ac:dyDescent="0.25">
      <c r="A33" s="14">
        <f t="shared" si="1"/>
        <v>25</v>
      </c>
      <c r="B33" s="8"/>
      <c r="C33" s="46"/>
      <c r="D33" s="214"/>
      <c r="E33" s="32"/>
      <c r="F33" s="17"/>
      <c r="G33" s="18">
        <f t="shared" si="0"/>
        <v>54960</v>
      </c>
      <c r="H33" s="28" t="s">
        <v>101</v>
      </c>
      <c r="I33" s="7" t="s">
        <v>90</v>
      </c>
    </row>
    <row r="34" spans="1:13" ht="17.25" customHeight="1" x14ac:dyDescent="0.25">
      <c r="A34" s="14">
        <f t="shared" si="1"/>
        <v>26</v>
      </c>
      <c r="B34" s="8"/>
      <c r="C34" s="46"/>
      <c r="D34" s="214"/>
      <c r="E34" s="13"/>
      <c r="F34" s="17"/>
      <c r="G34" s="18">
        <f t="shared" si="0"/>
        <v>54960</v>
      </c>
      <c r="H34" s="28" t="s">
        <v>101</v>
      </c>
      <c r="I34" s="7" t="s">
        <v>90</v>
      </c>
    </row>
    <row r="35" spans="1:13" ht="17.25" customHeight="1" x14ac:dyDescent="0.25">
      <c r="A35" s="14">
        <f t="shared" si="1"/>
        <v>27</v>
      </c>
      <c r="B35" s="44"/>
      <c r="C35" s="46"/>
      <c r="D35" s="214"/>
      <c r="E35" s="13"/>
      <c r="F35" s="17"/>
      <c r="G35" s="18">
        <f t="shared" si="0"/>
        <v>54960</v>
      </c>
      <c r="H35" s="28" t="s">
        <v>101</v>
      </c>
      <c r="I35" s="7" t="s">
        <v>90</v>
      </c>
    </row>
    <row r="36" spans="1:13" ht="17.25" customHeight="1" x14ac:dyDescent="0.25">
      <c r="A36" s="14">
        <f t="shared" si="1"/>
        <v>28</v>
      </c>
      <c r="B36" s="8"/>
      <c r="C36" s="46"/>
      <c r="D36" s="214"/>
      <c r="E36" s="32"/>
      <c r="F36" s="40"/>
      <c r="G36" s="18">
        <f t="shared" si="0"/>
        <v>54960</v>
      </c>
      <c r="H36" s="28" t="s">
        <v>101</v>
      </c>
      <c r="I36" s="7" t="s">
        <v>90</v>
      </c>
    </row>
    <row r="37" spans="1:13" ht="17.25" customHeight="1" x14ac:dyDescent="0.25">
      <c r="A37" s="14">
        <f t="shared" si="1"/>
        <v>29</v>
      </c>
      <c r="B37" s="45"/>
      <c r="C37" s="46"/>
      <c r="D37" s="214"/>
      <c r="E37" s="32"/>
      <c r="F37" s="40"/>
      <c r="G37" s="18">
        <f t="shared" si="0"/>
        <v>54960</v>
      </c>
      <c r="H37" s="28" t="s">
        <v>101</v>
      </c>
      <c r="I37" s="7" t="s">
        <v>90</v>
      </c>
      <c r="M37" t="s">
        <v>455</v>
      </c>
    </row>
    <row r="38" spans="1:13" ht="17.25" customHeight="1" x14ac:dyDescent="0.25">
      <c r="A38" s="14">
        <f t="shared" si="1"/>
        <v>30</v>
      </c>
      <c r="B38" s="8"/>
      <c r="C38" s="46"/>
      <c r="D38" s="214"/>
      <c r="E38" s="32"/>
      <c r="F38" s="40"/>
      <c r="G38" s="18">
        <f t="shared" si="0"/>
        <v>54960</v>
      </c>
      <c r="H38" s="28" t="s">
        <v>101</v>
      </c>
      <c r="I38" s="7" t="s">
        <v>90</v>
      </c>
    </row>
    <row r="39" spans="1:13" ht="17.25" customHeight="1" x14ac:dyDescent="0.25">
      <c r="A39" s="14">
        <f t="shared" si="1"/>
        <v>31</v>
      </c>
      <c r="B39" s="8"/>
      <c r="C39" s="46"/>
      <c r="D39" s="214"/>
      <c r="E39" s="32"/>
      <c r="F39" s="17"/>
      <c r="G39" s="18">
        <f t="shared" si="0"/>
        <v>54960</v>
      </c>
      <c r="H39" s="28" t="s">
        <v>101</v>
      </c>
      <c r="I39" s="7" t="s">
        <v>90</v>
      </c>
    </row>
    <row r="40" spans="1:13" ht="17.25" customHeight="1" x14ac:dyDescent="0.25">
      <c r="A40" s="14">
        <f t="shared" si="1"/>
        <v>32</v>
      </c>
      <c r="B40" s="8"/>
      <c r="C40" s="46"/>
      <c r="D40" s="214"/>
      <c r="E40" s="32"/>
      <c r="F40" s="17"/>
      <c r="G40" s="18">
        <f t="shared" si="0"/>
        <v>54960</v>
      </c>
      <c r="H40" s="28" t="s">
        <v>101</v>
      </c>
      <c r="I40" s="7" t="s">
        <v>90</v>
      </c>
    </row>
    <row r="41" spans="1:13" ht="17.25" customHeight="1" x14ac:dyDescent="0.25">
      <c r="A41" s="14">
        <f t="shared" si="1"/>
        <v>33</v>
      </c>
      <c r="B41" s="8"/>
      <c r="C41" s="46"/>
      <c r="D41" s="214"/>
      <c r="E41" s="32"/>
      <c r="F41" s="17"/>
      <c r="G41" s="18">
        <f t="shared" si="0"/>
        <v>54960</v>
      </c>
      <c r="H41" s="28" t="s">
        <v>101</v>
      </c>
      <c r="I41" s="7" t="s">
        <v>90</v>
      </c>
    </row>
    <row r="42" spans="1:13" ht="17.25" customHeight="1" x14ac:dyDescent="0.25">
      <c r="A42" s="14">
        <f t="shared" si="1"/>
        <v>34</v>
      </c>
      <c r="B42" s="8"/>
      <c r="C42" s="46"/>
      <c r="D42" s="214"/>
      <c r="E42" s="32"/>
      <c r="F42" s="17"/>
      <c r="G42" s="18">
        <f t="shared" si="0"/>
        <v>54960</v>
      </c>
      <c r="H42" s="28" t="s">
        <v>101</v>
      </c>
      <c r="I42" s="7" t="s">
        <v>90</v>
      </c>
    </row>
    <row r="43" spans="1:13" ht="17.25" customHeight="1" x14ac:dyDescent="0.25">
      <c r="A43" s="14">
        <f t="shared" si="1"/>
        <v>35</v>
      </c>
      <c r="B43" s="8"/>
      <c r="C43" s="46"/>
      <c r="D43" s="214"/>
      <c r="E43" s="32"/>
      <c r="F43" s="17"/>
      <c r="G43" s="18">
        <f t="shared" si="0"/>
        <v>54960</v>
      </c>
      <c r="H43" s="28" t="s">
        <v>101</v>
      </c>
      <c r="I43" s="7" t="s">
        <v>90</v>
      </c>
    </row>
    <row r="44" spans="1:13" ht="17.25" customHeight="1" x14ac:dyDescent="0.25">
      <c r="A44" s="14">
        <f t="shared" si="1"/>
        <v>36</v>
      </c>
      <c r="B44" s="8"/>
      <c r="C44" s="46"/>
      <c r="D44" s="214"/>
      <c r="E44" s="32"/>
      <c r="F44" s="17"/>
      <c r="G44" s="18">
        <f t="shared" si="0"/>
        <v>54960</v>
      </c>
      <c r="H44" s="28" t="s">
        <v>101</v>
      </c>
      <c r="I44" s="7" t="s">
        <v>90</v>
      </c>
    </row>
    <row r="45" spans="1:13" ht="17.25" customHeight="1" x14ac:dyDescent="0.25">
      <c r="A45" s="14">
        <f t="shared" si="1"/>
        <v>37</v>
      </c>
      <c r="B45" s="8"/>
      <c r="C45" s="46"/>
      <c r="D45" s="214"/>
      <c r="E45" s="32"/>
      <c r="F45" s="17"/>
      <c r="G45" s="18">
        <f t="shared" si="0"/>
        <v>54960</v>
      </c>
      <c r="H45" s="28" t="s">
        <v>101</v>
      </c>
      <c r="I45" s="7" t="s">
        <v>90</v>
      </c>
    </row>
    <row r="46" spans="1:13" ht="17.25" customHeight="1" x14ac:dyDescent="0.25">
      <c r="A46" s="14">
        <f t="shared" si="1"/>
        <v>38</v>
      </c>
      <c r="B46" s="8"/>
      <c r="C46" s="46"/>
      <c r="D46" s="214"/>
      <c r="E46" s="32"/>
      <c r="F46" s="17"/>
      <c r="G46" s="18">
        <f t="shared" si="0"/>
        <v>54960</v>
      </c>
      <c r="H46" s="28" t="s">
        <v>101</v>
      </c>
      <c r="I46" s="7" t="s">
        <v>90</v>
      </c>
    </row>
    <row r="47" spans="1:13" ht="17.25" customHeight="1" x14ac:dyDescent="0.25">
      <c r="A47" s="14">
        <f t="shared" si="1"/>
        <v>39</v>
      </c>
      <c r="B47" s="8"/>
      <c r="C47" s="46"/>
      <c r="D47" s="214"/>
      <c r="E47" s="32"/>
      <c r="F47" s="17"/>
      <c r="G47" s="18">
        <f t="shared" si="0"/>
        <v>54960</v>
      </c>
      <c r="H47" s="28" t="s">
        <v>101</v>
      </c>
      <c r="I47" s="7" t="s">
        <v>90</v>
      </c>
    </row>
    <row r="48" spans="1:13" ht="17.25" customHeight="1" x14ac:dyDescent="0.25">
      <c r="A48" s="14">
        <f t="shared" si="1"/>
        <v>40</v>
      </c>
      <c r="B48" s="8"/>
      <c r="C48" s="46"/>
      <c r="D48" s="214"/>
      <c r="E48" s="32"/>
      <c r="F48" s="17"/>
      <c r="G48" s="18">
        <f t="shared" si="0"/>
        <v>54960</v>
      </c>
      <c r="H48" s="28" t="s">
        <v>101</v>
      </c>
      <c r="I48" s="7" t="s">
        <v>90</v>
      </c>
    </row>
    <row r="49" spans="1:9" ht="17.25" customHeight="1" x14ac:dyDescent="0.25">
      <c r="A49" s="14">
        <f t="shared" si="1"/>
        <v>41</v>
      </c>
      <c r="B49" s="8"/>
      <c r="C49" s="46"/>
      <c r="D49" s="214"/>
      <c r="E49" s="32"/>
      <c r="F49" s="17"/>
      <c r="G49" s="18">
        <f t="shared" si="0"/>
        <v>54960</v>
      </c>
      <c r="H49" s="28" t="s">
        <v>101</v>
      </c>
      <c r="I49" s="7" t="s">
        <v>90</v>
      </c>
    </row>
    <row r="50" spans="1:9" ht="17.25" customHeight="1" x14ac:dyDescent="0.25">
      <c r="A50" s="14">
        <f t="shared" si="1"/>
        <v>42</v>
      </c>
      <c r="B50" s="8"/>
      <c r="C50" s="46"/>
      <c r="D50" s="214"/>
      <c r="E50" s="32"/>
      <c r="F50" s="17"/>
      <c r="G50" s="18">
        <f t="shared" si="0"/>
        <v>54960</v>
      </c>
      <c r="H50" s="28" t="s">
        <v>101</v>
      </c>
      <c r="I50" s="7" t="s">
        <v>90</v>
      </c>
    </row>
    <row r="51" spans="1:9" ht="17.25" customHeight="1" x14ac:dyDescent="0.25">
      <c r="A51" s="14">
        <f t="shared" si="1"/>
        <v>43</v>
      </c>
      <c r="B51" s="8"/>
      <c r="C51" s="46"/>
      <c r="D51" s="214"/>
      <c r="E51" s="32"/>
      <c r="F51" s="17"/>
      <c r="G51" s="18">
        <f t="shared" si="0"/>
        <v>54960</v>
      </c>
      <c r="H51" s="28" t="s">
        <v>101</v>
      </c>
      <c r="I51" s="7" t="s">
        <v>90</v>
      </c>
    </row>
    <row r="52" spans="1:9" ht="17.25" customHeight="1" x14ac:dyDescent="0.25">
      <c r="A52" s="14">
        <f t="shared" si="1"/>
        <v>44</v>
      </c>
      <c r="B52" s="8"/>
      <c r="C52" s="46"/>
      <c r="D52" s="214"/>
      <c r="E52" s="32"/>
      <c r="F52" s="17"/>
      <c r="G52" s="18">
        <f t="shared" si="0"/>
        <v>54960</v>
      </c>
      <c r="H52" s="28" t="s">
        <v>101</v>
      </c>
      <c r="I52" s="7" t="s">
        <v>90</v>
      </c>
    </row>
    <row r="53" spans="1:9" ht="17.25" customHeight="1" x14ac:dyDescent="0.25">
      <c r="A53" s="14">
        <f t="shared" si="1"/>
        <v>45</v>
      </c>
      <c r="B53" s="8"/>
      <c r="C53" s="46"/>
      <c r="D53" s="214"/>
      <c r="E53" s="32"/>
      <c r="F53" s="17"/>
      <c r="G53" s="18">
        <f t="shared" si="0"/>
        <v>54960</v>
      </c>
      <c r="H53" s="28" t="s">
        <v>101</v>
      </c>
      <c r="I53" s="7" t="s">
        <v>90</v>
      </c>
    </row>
    <row r="54" spans="1:9" ht="17.25" customHeight="1" x14ac:dyDescent="0.25">
      <c r="A54" s="14">
        <f t="shared" si="1"/>
        <v>46</v>
      </c>
      <c r="B54" s="8"/>
      <c r="C54" s="46"/>
      <c r="D54" s="214"/>
      <c r="E54" s="32"/>
      <c r="F54" s="17"/>
      <c r="G54" s="18">
        <f t="shared" si="0"/>
        <v>54960</v>
      </c>
      <c r="H54" s="28" t="s">
        <v>101</v>
      </c>
      <c r="I54" s="7" t="s">
        <v>90</v>
      </c>
    </row>
    <row r="55" spans="1:9" ht="17.25" customHeight="1" x14ac:dyDescent="0.25">
      <c r="A55" s="14">
        <f t="shared" si="1"/>
        <v>47</v>
      </c>
      <c r="B55" s="8"/>
      <c r="C55" s="46"/>
      <c r="D55" s="214"/>
      <c r="E55" s="32"/>
      <c r="F55" s="17"/>
      <c r="G55" s="18">
        <f t="shared" si="0"/>
        <v>54960</v>
      </c>
      <c r="H55" s="28" t="s">
        <v>101</v>
      </c>
      <c r="I55" s="7" t="s">
        <v>90</v>
      </c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54960</v>
      </c>
      <c r="H56" s="28" t="s">
        <v>101</v>
      </c>
      <c r="I56" s="7" t="s">
        <v>90</v>
      </c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54960</v>
      </c>
      <c r="H57" s="28" t="s">
        <v>101</v>
      </c>
      <c r="I57" s="7" t="s">
        <v>90</v>
      </c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54960</v>
      </c>
      <c r="H58" s="28" t="s">
        <v>101</v>
      </c>
      <c r="I58" s="7" t="s">
        <v>90</v>
      </c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54960</v>
      </c>
      <c r="H59" s="28" t="s">
        <v>101</v>
      </c>
      <c r="I59" s="7" t="s">
        <v>90</v>
      </c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54960</v>
      </c>
      <c r="H60" s="28" t="s">
        <v>101</v>
      </c>
      <c r="I60" s="7" t="s">
        <v>90</v>
      </c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54960</v>
      </c>
      <c r="H61" s="28" t="s">
        <v>101</v>
      </c>
      <c r="I61" s="7" t="s">
        <v>90</v>
      </c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54960</v>
      </c>
      <c r="H62" s="28" t="s">
        <v>101</v>
      </c>
      <c r="I62" s="7" t="s">
        <v>90</v>
      </c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54960</v>
      </c>
      <c r="H63" s="28" t="s">
        <v>101</v>
      </c>
      <c r="I63" s="7" t="s">
        <v>90</v>
      </c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54960</v>
      </c>
      <c r="H64" s="28" t="s">
        <v>101</v>
      </c>
      <c r="I64" s="7" t="s">
        <v>90</v>
      </c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54960</v>
      </c>
      <c r="H65" s="28" t="s">
        <v>101</v>
      </c>
      <c r="I65" s="7" t="s">
        <v>90</v>
      </c>
    </row>
    <row r="66" spans="1:10" ht="17.25" customHeight="1" x14ac:dyDescent="0.25">
      <c r="A66" s="14"/>
      <c r="B66" s="8"/>
      <c r="C66" s="46"/>
      <c r="D66" s="214"/>
      <c r="E66" s="32"/>
      <c r="F66" s="17"/>
      <c r="G66" s="18">
        <f t="shared" si="0"/>
        <v>54960</v>
      </c>
      <c r="H66" s="28"/>
      <c r="I66" s="7"/>
    </row>
    <row r="67" spans="1:10" ht="17.25" customHeight="1" x14ac:dyDescent="0.25">
      <c r="A67" s="14">
        <f>+A65+1</f>
        <v>58</v>
      </c>
      <c r="B67" s="8"/>
      <c r="C67" s="46"/>
      <c r="D67" s="214"/>
      <c r="E67" s="32"/>
      <c r="F67" s="17"/>
      <c r="G67" s="18">
        <f t="shared" si="0"/>
        <v>54960</v>
      </c>
      <c r="H67" s="28" t="s">
        <v>101</v>
      </c>
      <c r="I67" s="7" t="s">
        <v>90</v>
      </c>
    </row>
    <row r="68" spans="1:10" ht="17.25" customHeight="1" x14ac:dyDescent="0.25">
      <c r="A68" s="14">
        <f t="shared" si="1"/>
        <v>59</v>
      </c>
      <c r="B68" s="8"/>
      <c r="C68" s="46"/>
      <c r="D68" s="214"/>
      <c r="E68" s="32"/>
      <c r="F68" s="17"/>
      <c r="G68" s="18">
        <f t="shared" si="0"/>
        <v>54960</v>
      </c>
      <c r="H68" s="28" t="s">
        <v>101</v>
      </c>
      <c r="I68" s="7" t="s">
        <v>90</v>
      </c>
    </row>
    <row r="69" spans="1:10" ht="17.25" customHeight="1" x14ac:dyDescent="0.25">
      <c r="A69" s="14">
        <f t="shared" si="1"/>
        <v>60</v>
      </c>
      <c r="B69" s="8"/>
      <c r="C69" s="46"/>
      <c r="D69" s="214"/>
      <c r="E69" s="32"/>
      <c r="F69" s="17"/>
      <c r="G69" s="18">
        <f t="shared" si="0"/>
        <v>54960</v>
      </c>
      <c r="H69" s="28" t="s">
        <v>101</v>
      </c>
      <c r="I69" s="7" t="s">
        <v>90</v>
      </c>
      <c r="J69" s="26"/>
    </row>
    <row r="70" spans="1:10" ht="17.25" customHeight="1" x14ac:dyDescent="0.25">
      <c r="A70" s="14">
        <f t="shared" si="1"/>
        <v>61</v>
      </c>
      <c r="B70" s="8"/>
      <c r="C70" s="46"/>
      <c r="D70" s="214"/>
      <c r="E70" s="32"/>
      <c r="F70" s="17"/>
      <c r="G70" s="18">
        <f t="shared" si="0"/>
        <v>54960</v>
      </c>
      <c r="H70" s="28" t="s">
        <v>101</v>
      </c>
      <c r="I70" s="7" t="s">
        <v>90</v>
      </c>
    </row>
    <row r="71" spans="1:10" ht="17.25" customHeight="1" x14ac:dyDescent="0.25">
      <c r="A71" s="14">
        <f t="shared" si="1"/>
        <v>62</v>
      </c>
      <c r="B71" s="8"/>
      <c r="C71" s="46"/>
      <c r="D71" s="214"/>
      <c r="E71" s="32"/>
      <c r="F71" s="17"/>
      <c r="G71" s="18">
        <f t="shared" si="0"/>
        <v>54960</v>
      </c>
      <c r="H71" s="28" t="s">
        <v>101</v>
      </c>
      <c r="I71" s="7" t="s">
        <v>90</v>
      </c>
    </row>
    <row r="72" spans="1:10" ht="17.25" customHeight="1" x14ac:dyDescent="0.25">
      <c r="A72" s="14">
        <f t="shared" si="1"/>
        <v>63</v>
      </c>
      <c r="B72" s="8"/>
      <c r="C72" s="46"/>
      <c r="D72" s="214"/>
      <c r="E72" s="32"/>
      <c r="F72" s="17"/>
      <c r="G72" s="18">
        <f t="shared" si="0"/>
        <v>54960</v>
      </c>
      <c r="H72" s="28" t="s">
        <v>101</v>
      </c>
      <c r="I72" s="7" t="s">
        <v>90</v>
      </c>
    </row>
    <row r="73" spans="1:10" ht="17.25" customHeight="1" x14ac:dyDescent="0.25">
      <c r="A73" s="14">
        <f t="shared" si="1"/>
        <v>64</v>
      </c>
      <c r="B73" s="8"/>
      <c r="C73" s="46"/>
      <c r="D73" s="214"/>
      <c r="E73" s="32"/>
      <c r="F73" s="17"/>
      <c r="G73" s="18">
        <f t="shared" ref="G73:G100" si="2">+G72+E73-F73</f>
        <v>54960</v>
      </c>
      <c r="H73" s="28" t="s">
        <v>101</v>
      </c>
      <c r="I73" s="7" t="s">
        <v>90</v>
      </c>
    </row>
    <row r="74" spans="1:10" ht="17.25" customHeight="1" x14ac:dyDescent="0.25">
      <c r="A74" s="14">
        <f t="shared" ref="A74:A101" si="3">+A73+1</f>
        <v>65</v>
      </c>
      <c r="B74" s="8"/>
      <c r="C74" s="46"/>
      <c r="D74" s="214"/>
      <c r="E74" s="32"/>
      <c r="F74" s="17"/>
      <c r="G74" s="18">
        <f t="shared" si="2"/>
        <v>54960</v>
      </c>
      <c r="H74" s="28" t="s">
        <v>101</v>
      </c>
      <c r="I74" s="7" t="s">
        <v>90</v>
      </c>
    </row>
    <row r="75" spans="1:10" ht="17.25" customHeight="1" x14ac:dyDescent="0.25">
      <c r="A75" s="14">
        <f t="shared" si="3"/>
        <v>66</v>
      </c>
      <c r="B75" s="8"/>
      <c r="C75" s="46"/>
      <c r="D75" s="214"/>
      <c r="E75" s="32"/>
      <c r="F75" s="17"/>
      <c r="G75" s="18">
        <f t="shared" si="2"/>
        <v>54960</v>
      </c>
      <c r="H75" s="28" t="s">
        <v>101</v>
      </c>
      <c r="I75" s="7" t="s">
        <v>90</v>
      </c>
    </row>
    <row r="76" spans="1:10" ht="17.25" customHeight="1" x14ac:dyDescent="0.25">
      <c r="A76" s="14">
        <f t="shared" si="3"/>
        <v>67</v>
      </c>
      <c r="B76" s="8"/>
      <c r="C76" s="46"/>
      <c r="D76" s="214"/>
      <c r="E76" s="32"/>
      <c r="F76" s="17"/>
      <c r="G76" s="18">
        <f t="shared" si="2"/>
        <v>54960</v>
      </c>
      <c r="H76" s="28" t="s">
        <v>101</v>
      </c>
      <c r="I76" s="7" t="s">
        <v>90</v>
      </c>
    </row>
    <row r="77" spans="1:10" ht="17.25" customHeight="1" x14ac:dyDescent="0.25">
      <c r="A77" s="14">
        <f t="shared" si="3"/>
        <v>68</v>
      </c>
      <c r="B77" s="8"/>
      <c r="C77" s="46"/>
      <c r="D77" s="214"/>
      <c r="E77" s="32"/>
      <c r="F77" s="17"/>
      <c r="G77" s="18">
        <f t="shared" si="2"/>
        <v>54960</v>
      </c>
      <c r="H77" s="28" t="s">
        <v>101</v>
      </c>
      <c r="I77" s="7" t="s">
        <v>90</v>
      </c>
    </row>
    <row r="78" spans="1:10" ht="17.25" customHeight="1" x14ac:dyDescent="0.25">
      <c r="A78" s="14">
        <f t="shared" si="3"/>
        <v>69</v>
      </c>
      <c r="B78" s="8"/>
      <c r="C78" s="46"/>
      <c r="D78" s="214"/>
      <c r="E78" s="32"/>
      <c r="F78" s="17"/>
      <c r="G78" s="18">
        <f t="shared" si="2"/>
        <v>54960</v>
      </c>
      <c r="H78" s="28" t="s">
        <v>101</v>
      </c>
      <c r="I78" s="7" t="s">
        <v>90</v>
      </c>
    </row>
    <row r="79" spans="1:10" ht="17.25" customHeight="1" x14ac:dyDescent="0.25">
      <c r="A79" s="14">
        <f t="shared" si="3"/>
        <v>70</v>
      </c>
      <c r="B79" s="8"/>
      <c r="C79" s="46"/>
      <c r="D79" s="214"/>
      <c r="E79" s="32"/>
      <c r="F79" s="17"/>
      <c r="G79" s="18">
        <f t="shared" si="2"/>
        <v>54960</v>
      </c>
      <c r="H79" s="28" t="s">
        <v>101</v>
      </c>
      <c r="I79" s="7" t="s">
        <v>90</v>
      </c>
    </row>
    <row r="80" spans="1:10" ht="17.25" customHeight="1" x14ac:dyDescent="0.25">
      <c r="A80" s="14">
        <f t="shared" si="3"/>
        <v>71</v>
      </c>
      <c r="B80" s="8"/>
      <c r="C80" s="46"/>
      <c r="D80" s="214"/>
      <c r="E80" s="32"/>
      <c r="F80" s="17"/>
      <c r="G80" s="18">
        <f t="shared" si="2"/>
        <v>54960</v>
      </c>
      <c r="H80" s="28"/>
      <c r="I80" s="7"/>
    </row>
    <row r="81" spans="1:17" ht="17.25" customHeight="1" x14ac:dyDescent="0.25">
      <c r="A81" s="14">
        <f t="shared" si="3"/>
        <v>72</v>
      </c>
      <c r="B81" s="8"/>
      <c r="C81" s="46"/>
      <c r="D81" s="214"/>
      <c r="E81" s="32"/>
      <c r="F81" s="17"/>
      <c r="G81" s="18">
        <f t="shared" si="2"/>
        <v>54960</v>
      </c>
      <c r="H81" s="28"/>
      <c r="I81" s="7"/>
    </row>
    <row r="82" spans="1:17" ht="17.25" customHeight="1" x14ac:dyDescent="0.25">
      <c r="A82" s="14">
        <f t="shared" si="3"/>
        <v>73</v>
      </c>
      <c r="B82" s="8"/>
      <c r="C82" s="46"/>
      <c r="D82" s="214"/>
      <c r="E82" s="32"/>
      <c r="F82" s="17"/>
      <c r="G82" s="18">
        <f t="shared" si="2"/>
        <v>54960</v>
      </c>
      <c r="H82" s="28"/>
      <c r="I82" s="7"/>
    </row>
    <row r="83" spans="1:17" ht="17.25" customHeight="1" x14ac:dyDescent="0.25">
      <c r="A83" s="14">
        <f t="shared" si="3"/>
        <v>74</v>
      </c>
      <c r="B83" s="8"/>
      <c r="C83" s="46"/>
      <c r="D83" s="214"/>
      <c r="E83" s="32"/>
      <c r="F83" s="17"/>
      <c r="G83" s="18">
        <f t="shared" si="2"/>
        <v>54960</v>
      </c>
      <c r="H83" s="28"/>
      <c r="I83" s="7"/>
    </row>
    <row r="84" spans="1:17" ht="17.25" customHeight="1" x14ac:dyDescent="0.25">
      <c r="A84" s="14">
        <f t="shared" si="3"/>
        <v>75</v>
      </c>
      <c r="B84" s="8"/>
      <c r="C84" s="46"/>
      <c r="D84" s="214"/>
      <c r="E84" s="32"/>
      <c r="F84" s="17"/>
      <c r="G84" s="18">
        <f t="shared" si="2"/>
        <v>54960</v>
      </c>
      <c r="H84" s="28"/>
      <c r="I84" s="7"/>
    </row>
    <row r="85" spans="1:17" ht="17.25" customHeight="1" x14ac:dyDescent="0.25">
      <c r="A85" s="14">
        <f t="shared" si="3"/>
        <v>76</v>
      </c>
      <c r="B85" s="8"/>
      <c r="C85" s="46"/>
      <c r="D85" s="214"/>
      <c r="E85" s="32"/>
      <c r="F85" s="17"/>
      <c r="G85" s="18">
        <f t="shared" si="2"/>
        <v>54960</v>
      </c>
      <c r="H85" s="28"/>
      <c r="I85" s="7"/>
    </row>
    <row r="86" spans="1:17" ht="17.25" customHeight="1" x14ac:dyDescent="0.25">
      <c r="A86" s="14">
        <f t="shared" si="3"/>
        <v>77</v>
      </c>
      <c r="B86" s="8"/>
      <c r="C86" s="46"/>
      <c r="D86" s="214"/>
      <c r="E86" s="32"/>
      <c r="F86" s="17"/>
      <c r="G86" s="18">
        <f t="shared" si="2"/>
        <v>54960</v>
      </c>
      <c r="H86" s="28"/>
      <c r="I86" s="7"/>
    </row>
    <row r="87" spans="1:17" ht="17.25" customHeight="1" x14ac:dyDescent="0.25">
      <c r="A87" s="14">
        <f t="shared" si="3"/>
        <v>78</v>
      </c>
      <c r="B87" s="8"/>
      <c r="C87" s="46"/>
      <c r="D87" s="214"/>
      <c r="E87" s="32"/>
      <c r="F87" s="27"/>
      <c r="G87" s="18">
        <f t="shared" si="2"/>
        <v>54960</v>
      </c>
      <c r="H87" s="28"/>
      <c r="I87" s="7"/>
    </row>
    <row r="88" spans="1:17" ht="17.25" customHeight="1" x14ac:dyDescent="0.25">
      <c r="A88" s="14">
        <f t="shared" si="3"/>
        <v>79</v>
      </c>
      <c r="B88" s="8"/>
      <c r="C88" s="46"/>
      <c r="D88" s="214"/>
      <c r="E88" s="32"/>
      <c r="F88" s="17"/>
      <c r="G88" s="18">
        <f t="shared" si="2"/>
        <v>54960</v>
      </c>
      <c r="H88" s="28"/>
      <c r="I88" s="7"/>
    </row>
    <row r="89" spans="1:17" ht="17.25" customHeight="1" x14ac:dyDescent="0.25">
      <c r="A89" s="14">
        <f t="shared" si="3"/>
        <v>80</v>
      </c>
      <c r="B89" s="8"/>
      <c r="C89" s="46"/>
      <c r="D89" s="214"/>
      <c r="E89" s="32"/>
      <c r="F89" s="17"/>
      <c r="G89" s="18">
        <f t="shared" si="2"/>
        <v>54960</v>
      </c>
      <c r="H89" s="28"/>
      <c r="I89" s="7"/>
    </row>
    <row r="90" spans="1:17" ht="17.25" customHeight="1" x14ac:dyDescent="0.25">
      <c r="A90" s="14">
        <f t="shared" si="3"/>
        <v>81</v>
      </c>
      <c r="B90" s="8"/>
      <c r="C90" s="46"/>
      <c r="D90" s="214"/>
      <c r="E90" s="32"/>
      <c r="F90" s="17"/>
      <c r="G90" s="18">
        <f t="shared" si="2"/>
        <v>54960</v>
      </c>
      <c r="H90" s="28"/>
      <c r="I90" s="7"/>
    </row>
    <row r="91" spans="1:17" ht="17.25" customHeight="1" x14ac:dyDescent="0.25">
      <c r="A91" s="14">
        <f t="shared" si="3"/>
        <v>82</v>
      </c>
      <c r="B91" s="8"/>
      <c r="C91" s="46"/>
      <c r="D91" s="214"/>
      <c r="E91" s="32"/>
      <c r="F91" s="17"/>
      <c r="G91" s="18">
        <f t="shared" si="2"/>
        <v>54960</v>
      </c>
      <c r="H91" s="28"/>
      <c r="I91" s="7"/>
    </row>
    <row r="92" spans="1:17" ht="17.25" customHeight="1" x14ac:dyDescent="0.25">
      <c r="A92" s="14">
        <f t="shared" si="3"/>
        <v>83</v>
      </c>
      <c r="B92" s="8"/>
      <c r="C92" s="46"/>
      <c r="D92" s="214"/>
      <c r="E92" s="32"/>
      <c r="F92" s="17"/>
      <c r="G92" s="18">
        <f t="shared" si="2"/>
        <v>54960</v>
      </c>
      <c r="H92" s="28"/>
      <c r="I92" s="7"/>
    </row>
    <row r="93" spans="1:17" ht="17.25" customHeight="1" x14ac:dyDescent="0.25">
      <c r="A93" s="14">
        <f t="shared" si="3"/>
        <v>84</v>
      </c>
      <c r="B93" s="8"/>
      <c r="C93" s="46"/>
      <c r="D93" s="214"/>
      <c r="E93" s="32"/>
      <c r="F93" s="17"/>
      <c r="G93" s="18">
        <f t="shared" si="2"/>
        <v>54960</v>
      </c>
      <c r="H93" s="28"/>
      <c r="I93" s="7"/>
    </row>
    <row r="94" spans="1:17" ht="17.25" customHeight="1" x14ac:dyDescent="0.25">
      <c r="A94" s="14">
        <f t="shared" si="3"/>
        <v>85</v>
      </c>
      <c r="B94" s="8"/>
      <c r="C94" s="46"/>
      <c r="D94" s="214"/>
      <c r="E94" s="32"/>
      <c r="F94" s="17"/>
      <c r="G94" s="18">
        <f t="shared" si="2"/>
        <v>54960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86</v>
      </c>
      <c r="B95" s="8"/>
      <c r="C95" s="46"/>
      <c r="D95" s="214"/>
      <c r="E95" s="32"/>
      <c r="F95" s="27"/>
      <c r="G95" s="18">
        <f t="shared" si="2"/>
        <v>54960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87</v>
      </c>
      <c r="B96" s="8"/>
      <c r="C96" s="46"/>
      <c r="D96" s="214"/>
      <c r="E96" s="32"/>
      <c r="F96" s="27"/>
      <c r="G96" s="18">
        <f t="shared" si="2"/>
        <v>54960</v>
      </c>
      <c r="H96" s="28"/>
      <c r="I96" s="7"/>
      <c r="L96" s="199"/>
      <c r="Q96" s="199"/>
    </row>
    <row r="97" spans="1:17" ht="17.25" customHeight="1" x14ac:dyDescent="0.25">
      <c r="A97" s="14">
        <f t="shared" si="3"/>
        <v>88</v>
      </c>
      <c r="B97" s="8"/>
      <c r="C97" s="46"/>
      <c r="D97" s="214"/>
      <c r="E97" s="32"/>
      <c r="F97" s="27"/>
      <c r="G97" s="18">
        <f t="shared" si="2"/>
        <v>54960</v>
      </c>
      <c r="H97" s="28"/>
      <c r="I97" s="7"/>
      <c r="L97" s="199"/>
      <c r="Q97" s="199"/>
    </row>
    <row r="98" spans="1:17" ht="17.25" customHeight="1" x14ac:dyDescent="0.25">
      <c r="A98" s="14">
        <f t="shared" si="3"/>
        <v>89</v>
      </c>
      <c r="B98" s="8"/>
      <c r="C98" s="46"/>
      <c r="D98" s="214"/>
      <c r="E98" s="32"/>
      <c r="F98" s="27"/>
      <c r="G98" s="18">
        <f t="shared" si="2"/>
        <v>54960</v>
      </c>
      <c r="H98" s="28"/>
      <c r="I98" s="7"/>
      <c r="L98" s="199"/>
      <c r="Q98" s="199"/>
    </row>
    <row r="99" spans="1:17" ht="17.25" customHeight="1" x14ac:dyDescent="0.25">
      <c r="A99" s="14">
        <f t="shared" si="3"/>
        <v>90</v>
      </c>
      <c r="B99" s="8"/>
      <c r="C99" s="46"/>
      <c r="D99" s="214"/>
      <c r="E99" s="32"/>
      <c r="F99" s="27"/>
      <c r="G99" s="18">
        <f t="shared" si="2"/>
        <v>54960</v>
      </c>
      <c r="H99" s="28"/>
      <c r="I99" s="7"/>
      <c r="L99" s="199"/>
      <c r="Q99" s="199"/>
    </row>
    <row r="100" spans="1:17" ht="17.25" customHeight="1" x14ac:dyDescent="0.25">
      <c r="A100" s="14">
        <f t="shared" si="3"/>
        <v>91</v>
      </c>
      <c r="B100" s="37"/>
      <c r="C100" s="46"/>
      <c r="D100" s="10"/>
      <c r="E100" s="32"/>
      <c r="F100" s="27"/>
      <c r="G100" s="18">
        <f t="shared" si="2"/>
        <v>54960</v>
      </c>
      <c r="H100" s="28"/>
      <c r="I100" s="7"/>
      <c r="L100" s="199"/>
      <c r="Q100" s="199"/>
    </row>
    <row r="101" spans="1:17" ht="17.25" customHeight="1" x14ac:dyDescent="0.25">
      <c r="A101" s="14">
        <f t="shared" si="3"/>
        <v>92</v>
      </c>
      <c r="B101" s="7"/>
      <c r="C101" s="34" t="s">
        <v>13</v>
      </c>
      <c r="D101" s="14"/>
      <c r="E101" s="35">
        <f>SUM(E8:E100)</f>
        <v>60000</v>
      </c>
      <c r="F101" s="35">
        <f>SUM(F8:F100)</f>
        <v>5040</v>
      </c>
      <c r="G101" s="35">
        <f>+E101-F101+G8</f>
        <v>54960</v>
      </c>
      <c r="H101" s="35"/>
      <c r="I101" s="36"/>
    </row>
    <row r="105" spans="1:17" x14ac:dyDescent="0.25">
      <c r="E105" s="201"/>
      <c r="F105" s="201"/>
      <c r="G105" s="201"/>
      <c r="H105" s="201"/>
    </row>
    <row r="106" spans="1:17" x14ac:dyDescent="0.25">
      <c r="F106" s="26"/>
    </row>
    <row r="107" spans="1:17" x14ac:dyDescent="0.25">
      <c r="E107" s="26"/>
      <c r="F107" s="26"/>
      <c r="G107" s="26"/>
      <c r="H107" s="26"/>
      <c r="I107" s="26"/>
    </row>
    <row r="108" spans="1:17" x14ac:dyDescent="0.25">
      <c r="I108" s="202"/>
    </row>
    <row r="109" spans="1:17" x14ac:dyDescent="0.25">
      <c r="E109" s="199"/>
    </row>
    <row r="110" spans="1:17" x14ac:dyDescent="0.25">
      <c r="E110" s="26"/>
      <c r="F110" s="26"/>
    </row>
    <row r="111" spans="1:17" x14ac:dyDescent="0.25">
      <c r="E111" s="203"/>
      <c r="F111" s="204"/>
      <c r="G111" s="203"/>
      <c r="H111" s="203"/>
    </row>
    <row r="112" spans="1:17" x14ac:dyDescent="0.25">
      <c r="F112" s="26"/>
    </row>
  </sheetData>
  <mergeCells count="1">
    <mergeCell ref="A4:I5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14E6-329C-4DE9-A36F-71001C609F57}">
  <sheetPr codeName="Sheet126"/>
  <dimension ref="A1:Q108"/>
  <sheetViews>
    <sheetView topLeftCell="A78" zoomScaleNormal="100" workbookViewId="0">
      <selection activeCell="H97" sqref="H9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45083</v>
      </c>
      <c r="C9" s="46" t="s">
        <v>134</v>
      </c>
      <c r="D9" s="214" t="s">
        <v>33</v>
      </c>
      <c r="E9" s="11">
        <f>22*900+200</f>
        <v>20000</v>
      </c>
      <c r="F9" s="27">
        <f>22*900+200</f>
        <v>20000</v>
      </c>
      <c r="G9" s="18">
        <f t="shared" ref="G9:G72" si="0">+G8+E9-F9</f>
        <v>0</v>
      </c>
      <c r="H9" s="28" t="s">
        <v>135</v>
      </c>
      <c r="I9" s="7" t="s">
        <v>136</v>
      </c>
    </row>
    <row r="10" spans="1:10" ht="17.25" customHeight="1" x14ac:dyDescent="0.25">
      <c r="A10" s="14">
        <f t="shared" ref="A10:A73" si="1">+A9+1</f>
        <v>2</v>
      </c>
      <c r="B10" s="8">
        <v>45092</v>
      </c>
      <c r="C10" s="46" t="s">
        <v>134</v>
      </c>
      <c r="D10" s="214" t="s">
        <v>33</v>
      </c>
      <c r="E10" s="30">
        <v>20000</v>
      </c>
      <c r="F10" s="27">
        <v>20000</v>
      </c>
      <c r="G10" s="18">
        <f t="shared" si="0"/>
        <v>0</v>
      </c>
      <c r="H10" s="28" t="s">
        <v>135</v>
      </c>
      <c r="I10" s="7" t="s">
        <v>138</v>
      </c>
    </row>
    <row r="11" spans="1:10" ht="17.25" customHeight="1" x14ac:dyDescent="0.25">
      <c r="A11" s="14">
        <f t="shared" si="1"/>
        <v>3</v>
      </c>
      <c r="B11" s="8"/>
      <c r="C11" s="46"/>
      <c r="D11" s="214" t="s">
        <v>33</v>
      </c>
      <c r="E11" s="16"/>
      <c r="F11" s="27"/>
      <c r="G11" s="18">
        <f t="shared" si="0"/>
        <v>0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/>
      <c r="C12" s="46"/>
      <c r="D12" s="214" t="s">
        <v>33</v>
      </c>
      <c r="E12" s="16"/>
      <c r="F12" s="125"/>
      <c r="G12" s="18">
        <f t="shared" si="0"/>
        <v>0</v>
      </c>
      <c r="H12" s="28"/>
      <c r="I12" s="7"/>
    </row>
    <row r="13" spans="1:10" ht="17.25" customHeight="1" x14ac:dyDescent="0.25">
      <c r="A13" s="14">
        <f t="shared" si="1"/>
        <v>5</v>
      </c>
      <c r="B13" s="205"/>
      <c r="C13" s="46"/>
      <c r="D13" s="214" t="s">
        <v>33</v>
      </c>
      <c r="E13" s="16"/>
      <c r="F13" s="125"/>
      <c r="G13" s="18">
        <f t="shared" si="0"/>
        <v>0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/>
      <c r="C14" s="46"/>
      <c r="D14" s="214" t="s">
        <v>33</v>
      </c>
      <c r="E14" s="16"/>
      <c r="F14" s="118"/>
      <c r="G14" s="18">
        <f t="shared" si="0"/>
        <v>0</v>
      </c>
      <c r="H14" s="28"/>
      <c r="I14" s="7"/>
    </row>
    <row r="15" spans="1:10" ht="17.25" customHeight="1" x14ac:dyDescent="0.25">
      <c r="A15" s="14">
        <f t="shared" si="1"/>
        <v>7</v>
      </c>
      <c r="B15" s="8"/>
      <c r="C15" s="46"/>
      <c r="D15" s="214" t="s">
        <v>33</v>
      </c>
      <c r="E15" s="16"/>
      <c r="F15" s="118"/>
      <c r="G15" s="18">
        <f t="shared" si="0"/>
        <v>0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/>
      <c r="C16" s="46"/>
      <c r="D16" s="214" t="s">
        <v>33</v>
      </c>
      <c r="E16" s="16"/>
      <c r="F16" s="27"/>
      <c r="G16" s="18">
        <f t="shared" si="0"/>
        <v>0</v>
      </c>
      <c r="H16" s="28"/>
      <c r="I16" s="7"/>
    </row>
    <row r="17" spans="1:9" ht="17.25" customHeight="1" x14ac:dyDescent="0.25">
      <c r="A17" s="14">
        <f t="shared" si="1"/>
        <v>9</v>
      </c>
      <c r="B17" s="8"/>
      <c r="C17" s="46"/>
      <c r="D17" s="214" t="s">
        <v>33</v>
      </c>
      <c r="E17" s="30"/>
      <c r="F17" s="27"/>
      <c r="G17" s="18">
        <f t="shared" si="0"/>
        <v>0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0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0</v>
      </c>
      <c r="H19" s="28"/>
      <c r="I19" s="7"/>
    </row>
    <row r="20" spans="1:9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0</v>
      </c>
      <c r="H20" s="28"/>
      <c r="I20" s="7"/>
    </row>
    <row r="21" spans="1:9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0</v>
      </c>
      <c r="H21" s="28"/>
      <c r="I21" s="7"/>
    </row>
    <row r="22" spans="1:9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0</v>
      </c>
      <c r="H22" s="28"/>
      <c r="I22" s="7"/>
    </row>
    <row r="23" spans="1:9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0</v>
      </c>
      <c r="H23" s="28"/>
      <c r="I23" s="7"/>
    </row>
    <row r="24" spans="1:9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0</v>
      </c>
      <c r="H24" s="28"/>
      <c r="I24" s="7"/>
    </row>
    <row r="25" spans="1:9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0</v>
      </c>
      <c r="H25" s="28"/>
      <c r="I25" s="7"/>
    </row>
    <row r="26" spans="1:9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0</v>
      </c>
      <c r="H26" s="28"/>
      <c r="I26" s="7"/>
    </row>
    <row r="27" spans="1:9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0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0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0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0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0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0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40000</v>
      </c>
      <c r="F97" s="35">
        <f>SUM(F8:F96)</f>
        <v>40000</v>
      </c>
      <c r="G97" s="35">
        <f>+E97-F97+G8</f>
        <v>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BB95-8C6E-4D45-9700-B73E90175221}">
  <sheetPr codeName="Sheet127"/>
  <dimension ref="A1:Q108"/>
  <sheetViews>
    <sheetView zoomScaleNormal="100" workbookViewId="0">
      <selection activeCell="H97" sqref="H9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45447</v>
      </c>
      <c r="C9" s="46" t="s">
        <v>201</v>
      </c>
      <c r="D9" s="214" t="s">
        <v>33</v>
      </c>
      <c r="E9" s="11">
        <v>10800</v>
      </c>
      <c r="F9" s="27"/>
      <c r="G9" s="18">
        <f t="shared" ref="G9:G72" si="0">+G8+E9-F9</f>
        <v>10800</v>
      </c>
      <c r="H9" s="28"/>
      <c r="I9" s="7"/>
    </row>
    <row r="10" spans="1:10" ht="17.25" customHeight="1" x14ac:dyDescent="0.25">
      <c r="A10" s="14">
        <f t="shared" ref="A10:A73" si="1">+A9+1</f>
        <v>2</v>
      </c>
      <c r="B10" s="8"/>
      <c r="C10" s="46"/>
      <c r="D10" s="214" t="s">
        <v>33</v>
      </c>
      <c r="E10" s="30"/>
      <c r="F10" s="27"/>
      <c r="G10" s="18">
        <f t="shared" si="0"/>
        <v>10800</v>
      </c>
      <c r="H10" s="28"/>
      <c r="I10" s="7"/>
    </row>
    <row r="11" spans="1:10" ht="17.25" customHeight="1" x14ac:dyDescent="0.25">
      <c r="A11" s="14">
        <f t="shared" si="1"/>
        <v>3</v>
      </c>
      <c r="B11" s="8"/>
      <c r="C11" s="46"/>
      <c r="D11" s="214" t="s">
        <v>33</v>
      </c>
      <c r="E11" s="16"/>
      <c r="F11" s="27"/>
      <c r="G11" s="18">
        <f t="shared" si="0"/>
        <v>10800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/>
      <c r="C12" s="46"/>
      <c r="D12" s="214" t="s">
        <v>33</v>
      </c>
      <c r="E12" s="16"/>
      <c r="F12" s="125"/>
      <c r="G12" s="18">
        <f t="shared" si="0"/>
        <v>10800</v>
      </c>
      <c r="H12" s="28"/>
      <c r="I12" s="7"/>
    </row>
    <row r="13" spans="1:10" ht="17.25" customHeight="1" x14ac:dyDescent="0.25">
      <c r="A13" s="14">
        <f t="shared" si="1"/>
        <v>5</v>
      </c>
      <c r="B13" s="205"/>
      <c r="C13" s="46"/>
      <c r="D13" s="214" t="s">
        <v>33</v>
      </c>
      <c r="E13" s="16"/>
      <c r="F13" s="125"/>
      <c r="G13" s="18">
        <f t="shared" si="0"/>
        <v>10800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/>
      <c r="C14" s="46"/>
      <c r="D14" s="214" t="s">
        <v>33</v>
      </c>
      <c r="E14" s="16"/>
      <c r="F14" s="118"/>
      <c r="G14" s="18">
        <f t="shared" si="0"/>
        <v>10800</v>
      </c>
      <c r="H14" s="28"/>
      <c r="I14" s="7"/>
    </row>
    <row r="15" spans="1:10" ht="17.25" customHeight="1" x14ac:dyDescent="0.25">
      <c r="A15" s="14">
        <f t="shared" si="1"/>
        <v>7</v>
      </c>
      <c r="B15" s="8"/>
      <c r="C15" s="46"/>
      <c r="D15" s="214" t="s">
        <v>33</v>
      </c>
      <c r="E15" s="16"/>
      <c r="F15" s="118"/>
      <c r="G15" s="18">
        <f t="shared" si="0"/>
        <v>10800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/>
      <c r="C16" s="46"/>
      <c r="D16" s="214" t="s">
        <v>33</v>
      </c>
      <c r="E16" s="16"/>
      <c r="F16" s="27"/>
      <c r="G16" s="18">
        <f t="shared" si="0"/>
        <v>10800</v>
      </c>
      <c r="H16" s="28"/>
      <c r="I16" s="7"/>
    </row>
    <row r="17" spans="1:9" ht="17.25" customHeight="1" x14ac:dyDescent="0.25">
      <c r="A17" s="14">
        <f t="shared" si="1"/>
        <v>9</v>
      </c>
      <c r="B17" s="8"/>
      <c r="C17" s="46"/>
      <c r="D17" s="214" t="s">
        <v>33</v>
      </c>
      <c r="E17" s="30"/>
      <c r="F17" s="27"/>
      <c r="G17" s="18">
        <f t="shared" si="0"/>
        <v>10800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10800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10800</v>
      </c>
      <c r="H19" s="28"/>
      <c r="I19" s="7"/>
    </row>
    <row r="20" spans="1:9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10800</v>
      </c>
      <c r="H20" s="28"/>
      <c r="I20" s="7"/>
    </row>
    <row r="21" spans="1:9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10800</v>
      </c>
      <c r="H21" s="28"/>
      <c r="I21" s="7"/>
    </row>
    <row r="22" spans="1:9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10800</v>
      </c>
      <c r="H22" s="28"/>
      <c r="I22" s="7"/>
    </row>
    <row r="23" spans="1:9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10800</v>
      </c>
      <c r="H23" s="28"/>
      <c r="I23" s="7"/>
    </row>
    <row r="24" spans="1:9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10800</v>
      </c>
      <c r="H24" s="28"/>
      <c r="I24" s="7"/>
    </row>
    <row r="25" spans="1:9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10800</v>
      </c>
      <c r="H25" s="28"/>
      <c r="I25" s="7"/>
    </row>
    <row r="26" spans="1:9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10800</v>
      </c>
      <c r="H26" s="28"/>
      <c r="I26" s="7"/>
    </row>
    <row r="27" spans="1:9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10800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10800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10800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10800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10800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10800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10800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10800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10800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10800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10800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10800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10800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10800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10800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10800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10800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10800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10800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10800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10800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10800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10800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10800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10800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10800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10800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10800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10800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10800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10800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10800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10800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10800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10800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10800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10800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10800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10800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10800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10800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10800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10800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10800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10800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10800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10800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10800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10800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10800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10800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10800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10800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10800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10800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10800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10800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10800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10800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10800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10800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10800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10800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10800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10800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10800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10800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10800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10800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10800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10800</v>
      </c>
      <c r="F97" s="35">
        <f>SUM(F8:F96)</f>
        <v>0</v>
      </c>
      <c r="G97" s="35">
        <f>+E97-F97+G8</f>
        <v>10800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FC07-45E8-4C51-8A15-046D62F7A5E3}">
  <sheetPr codeName="Sheet128"/>
  <dimension ref="A1:Q108"/>
  <sheetViews>
    <sheetView zoomScaleNormal="100" workbookViewId="0">
      <selection activeCell="F20" sqref="F20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>
        <v>-3456</v>
      </c>
      <c r="H8" s="7"/>
      <c r="I8" s="7"/>
    </row>
    <row r="9" spans="1:10" ht="17.25" customHeight="1" x14ac:dyDescent="0.25">
      <c r="A9" s="14">
        <v>1</v>
      </c>
      <c r="B9" s="8">
        <v>45672</v>
      </c>
      <c r="C9" s="46" t="s">
        <v>201</v>
      </c>
      <c r="D9" s="214" t="s">
        <v>33</v>
      </c>
      <c r="E9" s="11"/>
      <c r="F9" s="27">
        <v>860</v>
      </c>
      <c r="G9" s="18">
        <f t="shared" ref="G9:G72" si="0">+G8+E9-F9</f>
        <v>-4316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45673</v>
      </c>
      <c r="C10" s="46"/>
      <c r="D10" s="214" t="s">
        <v>33</v>
      </c>
      <c r="E10" s="30"/>
      <c r="F10" s="27">
        <v>1600</v>
      </c>
      <c r="G10" s="18">
        <f t="shared" si="0"/>
        <v>-5916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45674</v>
      </c>
      <c r="C11" s="46"/>
      <c r="D11" s="214" t="s">
        <v>33</v>
      </c>
      <c r="E11" s="16"/>
      <c r="F11" s="27">
        <v>477</v>
      </c>
      <c r="G11" s="18">
        <f t="shared" si="0"/>
        <v>-6393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45690</v>
      </c>
      <c r="C12" s="46"/>
      <c r="D12" s="214" t="s">
        <v>33</v>
      </c>
      <c r="E12" s="16"/>
      <c r="F12" s="125">
        <v>181</v>
      </c>
      <c r="G12" s="18">
        <f t="shared" si="0"/>
        <v>-6574</v>
      </c>
      <c r="H12" s="28"/>
      <c r="I12" s="7"/>
    </row>
    <row r="13" spans="1:10" ht="17.25" customHeight="1" x14ac:dyDescent="0.25">
      <c r="A13" s="14">
        <f t="shared" si="1"/>
        <v>5</v>
      </c>
      <c r="B13" s="205">
        <v>45691</v>
      </c>
      <c r="C13" s="46"/>
      <c r="D13" s="214" t="s">
        <v>33</v>
      </c>
      <c r="E13" s="16"/>
      <c r="F13" s="125">
        <v>960</v>
      </c>
      <c r="G13" s="18">
        <f t="shared" si="0"/>
        <v>-7534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>
        <v>45692</v>
      </c>
      <c r="C14" s="46"/>
      <c r="D14" s="214" t="s">
        <v>33</v>
      </c>
      <c r="E14" s="16"/>
      <c r="F14" s="118">
        <v>1432</v>
      </c>
      <c r="G14" s="18">
        <f t="shared" si="0"/>
        <v>-8966</v>
      </c>
      <c r="H14" s="28"/>
      <c r="I14" s="7"/>
    </row>
    <row r="15" spans="1:10" ht="17.25" customHeight="1" x14ac:dyDescent="0.25">
      <c r="A15" s="14">
        <f t="shared" si="1"/>
        <v>7</v>
      </c>
      <c r="B15" s="8">
        <v>45709</v>
      </c>
      <c r="C15" s="46"/>
      <c r="D15" s="214" t="s">
        <v>33</v>
      </c>
      <c r="E15" s="16"/>
      <c r="F15" s="118">
        <v>655</v>
      </c>
      <c r="G15" s="18">
        <f t="shared" si="0"/>
        <v>-9621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>
        <v>45857</v>
      </c>
      <c r="C16" s="46"/>
      <c r="D16" s="214" t="s">
        <v>33</v>
      </c>
      <c r="E16" s="16"/>
      <c r="F16" s="27">
        <v>1440</v>
      </c>
      <c r="G16" s="18">
        <f t="shared" si="0"/>
        <v>-11061</v>
      </c>
      <c r="H16" s="28" t="s">
        <v>265</v>
      </c>
      <c r="I16" s="7"/>
    </row>
    <row r="17" spans="1:10" ht="17.25" customHeight="1" x14ac:dyDescent="0.25">
      <c r="A17" s="14">
        <f t="shared" si="1"/>
        <v>9</v>
      </c>
      <c r="B17" s="8">
        <v>45859</v>
      </c>
      <c r="C17" s="46"/>
      <c r="D17" s="214" t="s">
        <v>33</v>
      </c>
      <c r="E17" s="30"/>
      <c r="F17" s="27">
        <v>969</v>
      </c>
      <c r="G17" s="18">
        <f t="shared" si="0"/>
        <v>-12030</v>
      </c>
      <c r="H17" s="28"/>
      <c r="I17" s="7"/>
    </row>
    <row r="18" spans="1:10" s="221" customFormat="1" ht="17.25" customHeight="1" x14ac:dyDescent="0.25">
      <c r="A18" s="215">
        <f>+A17+1</f>
        <v>10</v>
      </c>
      <c r="B18" s="216">
        <v>45910</v>
      </c>
      <c r="C18" s="46"/>
      <c r="D18" s="214" t="s">
        <v>33</v>
      </c>
      <c r="E18" s="218"/>
      <c r="F18" s="219">
        <v>915</v>
      </c>
      <c r="G18" s="220">
        <f t="shared" si="0"/>
        <v>-12945</v>
      </c>
      <c r="H18" s="28"/>
      <c r="I18" s="7"/>
    </row>
    <row r="19" spans="1:10" s="221" customFormat="1" ht="17.25" customHeight="1" x14ac:dyDescent="0.25">
      <c r="A19" s="215">
        <f t="shared" si="1"/>
        <v>11</v>
      </c>
      <c r="B19" s="216">
        <v>45911</v>
      </c>
      <c r="C19" s="46"/>
      <c r="D19" s="214" t="s">
        <v>33</v>
      </c>
      <c r="E19" s="222"/>
      <c r="F19" s="219">
        <v>1915</v>
      </c>
      <c r="G19" s="220">
        <f t="shared" si="0"/>
        <v>-14860</v>
      </c>
      <c r="H19" s="28"/>
      <c r="I19" s="7"/>
    </row>
    <row r="20" spans="1:10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-14860</v>
      </c>
      <c r="H20" s="28"/>
      <c r="I20" s="7"/>
    </row>
    <row r="21" spans="1:10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-14860</v>
      </c>
      <c r="H21" s="28"/>
      <c r="I21" s="7"/>
    </row>
    <row r="22" spans="1:10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-14860</v>
      </c>
      <c r="H22" s="28"/>
      <c r="I22" s="7"/>
      <c r="J22" t="s">
        <v>277</v>
      </c>
    </row>
    <row r="23" spans="1:10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-14860</v>
      </c>
      <c r="H23" s="28"/>
      <c r="I23" s="7"/>
    </row>
    <row r="24" spans="1:10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-14860</v>
      </c>
      <c r="H24" s="28"/>
      <c r="I24" s="7"/>
    </row>
    <row r="25" spans="1:10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-14860</v>
      </c>
      <c r="H25" s="28"/>
      <c r="I25" s="7"/>
    </row>
    <row r="26" spans="1:10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-14860</v>
      </c>
      <c r="H26" s="28"/>
      <c r="I26" s="7"/>
    </row>
    <row r="27" spans="1:10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-14860</v>
      </c>
      <c r="H27" s="28"/>
      <c r="I27" s="7"/>
    </row>
    <row r="28" spans="1:10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-14860</v>
      </c>
      <c r="H28" s="28"/>
      <c r="I28" s="7"/>
    </row>
    <row r="29" spans="1:10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-14860</v>
      </c>
      <c r="H29" s="28"/>
      <c r="I29" s="7"/>
    </row>
    <row r="30" spans="1:10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-14860</v>
      </c>
      <c r="H30" s="28"/>
      <c r="I30" s="7"/>
    </row>
    <row r="31" spans="1:10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-14860</v>
      </c>
      <c r="H31" s="28"/>
      <c r="I31" s="7"/>
    </row>
    <row r="32" spans="1:10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-14860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-14860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-14860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-14860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-14860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-14860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-14860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-14860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-14860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-14860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-14860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-14860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-14860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-14860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-14860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-14860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-14860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-14860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-14860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-14860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-14860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-14860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-14860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-14860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-14860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-14860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-14860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-14860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-14860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-14860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-14860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-14860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-14860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-14860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-14860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-14860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-14860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-14860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-14860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-14860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-14860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-14860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-14860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-14860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-14860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-14860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-14860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-14860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-14860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-14860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-14860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-14860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-14860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-14860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-14860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-14860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-14860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-14860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-14860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-14860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-14860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-14860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-14860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-14860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-14860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11404</v>
      </c>
      <c r="G97" s="35">
        <f>+E97-F97+G8</f>
        <v>-14860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20C-B191-47F6-9E72-0F768DDE14CC}">
  <sheetPr codeName="Sheet129"/>
  <dimension ref="A1:Q108"/>
  <sheetViews>
    <sheetView zoomScaleNormal="100" workbookViewId="0">
      <selection activeCell="F27" sqref="F2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45604</v>
      </c>
      <c r="C9" s="46" t="s">
        <v>307</v>
      </c>
      <c r="D9" s="214" t="s">
        <v>33</v>
      </c>
      <c r="E9" s="11">
        <v>10800</v>
      </c>
      <c r="F9" s="27"/>
      <c r="G9" s="18">
        <f t="shared" ref="G9:G72" si="0">+G8+E9-F9</f>
        <v>10800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45607</v>
      </c>
      <c r="C10" s="46"/>
      <c r="D10" s="214" t="s">
        <v>33</v>
      </c>
      <c r="E10" s="30"/>
      <c r="F10" s="27">
        <v>264</v>
      </c>
      <c r="G10" s="18">
        <f t="shared" si="0"/>
        <v>10536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45608</v>
      </c>
      <c r="C11" s="46"/>
      <c r="D11" s="214" t="s">
        <v>33</v>
      </c>
      <c r="E11" s="16"/>
      <c r="F11" s="27">
        <v>361</v>
      </c>
      <c r="G11" s="18">
        <f t="shared" si="0"/>
        <v>10175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45622</v>
      </c>
      <c r="C12" s="46"/>
      <c r="D12" s="214" t="s">
        <v>33</v>
      </c>
      <c r="E12" s="16"/>
      <c r="F12" s="125">
        <v>60</v>
      </c>
      <c r="G12" s="18">
        <f t="shared" si="0"/>
        <v>10115</v>
      </c>
      <c r="H12" s="28"/>
      <c r="I12" s="7"/>
    </row>
    <row r="13" spans="1:10" ht="17.25" customHeight="1" x14ac:dyDescent="0.25">
      <c r="A13" s="14">
        <f t="shared" si="1"/>
        <v>5</v>
      </c>
      <c r="B13" s="205">
        <v>45623</v>
      </c>
      <c r="C13" s="46"/>
      <c r="D13" s="214" t="s">
        <v>33</v>
      </c>
      <c r="E13" s="16"/>
      <c r="F13" s="125">
        <v>64</v>
      </c>
      <c r="G13" s="18">
        <f t="shared" si="0"/>
        <v>10051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>
        <v>45633</v>
      </c>
      <c r="C14" s="46"/>
      <c r="D14" s="214" t="s">
        <v>33</v>
      </c>
      <c r="E14" s="16"/>
      <c r="F14" s="118">
        <v>226</v>
      </c>
      <c r="G14" s="18">
        <f t="shared" si="0"/>
        <v>9825</v>
      </c>
      <c r="H14" s="28"/>
      <c r="I14" s="7"/>
    </row>
    <row r="15" spans="1:10" ht="17.25" customHeight="1" x14ac:dyDescent="0.25">
      <c r="A15" s="14">
        <f t="shared" si="1"/>
        <v>7</v>
      </c>
      <c r="B15" s="8">
        <v>45635</v>
      </c>
      <c r="C15" s="46"/>
      <c r="D15" s="214" t="s">
        <v>33</v>
      </c>
      <c r="E15" s="16"/>
      <c r="F15" s="118">
        <v>224</v>
      </c>
      <c r="G15" s="18">
        <f t="shared" si="0"/>
        <v>9601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>
        <v>45700</v>
      </c>
      <c r="C16" s="46"/>
      <c r="D16" s="214" t="s">
        <v>33</v>
      </c>
      <c r="E16" s="16"/>
      <c r="F16" s="27">
        <v>102</v>
      </c>
      <c r="G16" s="18">
        <f t="shared" si="0"/>
        <v>9499</v>
      </c>
      <c r="H16" s="28" t="s">
        <v>265</v>
      </c>
      <c r="I16" s="7"/>
    </row>
    <row r="17" spans="1:17" ht="17.25" customHeight="1" x14ac:dyDescent="0.25">
      <c r="A17" s="14">
        <f t="shared" si="1"/>
        <v>9</v>
      </c>
      <c r="B17" s="8">
        <v>45701</v>
      </c>
      <c r="C17" s="46"/>
      <c r="D17" s="214" t="s">
        <v>33</v>
      </c>
      <c r="E17" s="30"/>
      <c r="F17" s="27">
        <v>305</v>
      </c>
      <c r="G17" s="18">
        <f t="shared" si="0"/>
        <v>9194</v>
      </c>
      <c r="H17" s="28"/>
      <c r="I17" s="7"/>
    </row>
    <row r="18" spans="1:17" s="221" customFormat="1" ht="17.25" customHeight="1" x14ac:dyDescent="0.25">
      <c r="A18" s="215">
        <f>+A17+1</f>
        <v>10</v>
      </c>
      <c r="B18" s="216">
        <v>45741</v>
      </c>
      <c r="C18" s="46"/>
      <c r="D18" s="214" t="s">
        <v>33</v>
      </c>
      <c r="E18" s="218"/>
      <c r="F18" s="219">
        <v>160</v>
      </c>
      <c r="G18" s="220">
        <f t="shared" si="0"/>
        <v>9034</v>
      </c>
      <c r="H18" s="28"/>
      <c r="I18" s="7"/>
      <c r="Q18" s="221">
        <f>300/5</f>
        <v>60</v>
      </c>
    </row>
    <row r="19" spans="1:17" s="221" customFormat="1" ht="17.25" customHeight="1" x14ac:dyDescent="0.25">
      <c r="A19" s="215">
        <f t="shared" si="1"/>
        <v>11</v>
      </c>
      <c r="B19" s="216">
        <v>45742</v>
      </c>
      <c r="C19" s="46"/>
      <c r="D19" s="214" t="s">
        <v>33</v>
      </c>
      <c r="E19" s="222"/>
      <c r="F19" s="219">
        <v>275</v>
      </c>
      <c r="G19" s="220">
        <f t="shared" si="0"/>
        <v>8759</v>
      </c>
      <c r="H19" s="28"/>
      <c r="I19" s="7"/>
      <c r="Q19" s="221">
        <f>320/5</f>
        <v>64</v>
      </c>
    </row>
    <row r="20" spans="1:17" ht="17.25" customHeight="1" x14ac:dyDescent="0.25">
      <c r="A20" s="14">
        <f t="shared" si="1"/>
        <v>12</v>
      </c>
      <c r="B20" s="8">
        <v>45812</v>
      </c>
      <c r="C20" s="46"/>
      <c r="D20" s="214" t="s">
        <v>33</v>
      </c>
      <c r="E20" s="32"/>
      <c r="F20" s="17">
        <v>233</v>
      </c>
      <c r="G20" s="18">
        <f t="shared" si="0"/>
        <v>8526</v>
      </c>
      <c r="H20" s="28"/>
      <c r="I20" s="7"/>
    </row>
    <row r="21" spans="1:17" ht="17.25" customHeight="1" x14ac:dyDescent="0.25">
      <c r="A21" s="14">
        <f t="shared" si="1"/>
        <v>13</v>
      </c>
      <c r="B21" s="8">
        <v>45824</v>
      </c>
      <c r="C21" s="46"/>
      <c r="D21" s="214" t="s">
        <v>33</v>
      </c>
      <c r="E21" s="32"/>
      <c r="F21" s="27">
        <v>344</v>
      </c>
      <c r="G21" s="18">
        <f t="shared" si="0"/>
        <v>8182</v>
      </c>
      <c r="H21" s="28"/>
      <c r="I21" s="7"/>
    </row>
    <row r="22" spans="1:17" ht="17.25" customHeight="1" x14ac:dyDescent="0.25">
      <c r="A22" s="14">
        <f t="shared" si="1"/>
        <v>14</v>
      </c>
      <c r="B22" s="8">
        <v>45878</v>
      </c>
      <c r="C22" s="46"/>
      <c r="D22" s="214" t="s">
        <v>33</v>
      </c>
      <c r="E22" s="32"/>
      <c r="F22" s="17">
        <v>297</v>
      </c>
      <c r="G22" s="18">
        <f t="shared" si="0"/>
        <v>7885</v>
      </c>
      <c r="H22" s="28"/>
      <c r="I22" s="7"/>
      <c r="J22" t="s">
        <v>277</v>
      </c>
    </row>
    <row r="23" spans="1:17" ht="17.25" customHeight="1" x14ac:dyDescent="0.25">
      <c r="A23" s="14">
        <f t="shared" si="1"/>
        <v>15</v>
      </c>
      <c r="B23" s="8">
        <v>45899</v>
      </c>
      <c r="C23" s="46"/>
      <c r="D23" s="214" t="s">
        <v>33</v>
      </c>
      <c r="E23" s="32"/>
      <c r="F23" s="17">
        <v>940</v>
      </c>
      <c r="G23" s="18">
        <f t="shared" si="0"/>
        <v>6945</v>
      </c>
      <c r="H23" s="28"/>
      <c r="I23" s="7"/>
    </row>
    <row r="24" spans="1:17" ht="17.25" customHeight="1" x14ac:dyDescent="0.25">
      <c r="A24" s="14">
        <f t="shared" si="1"/>
        <v>16</v>
      </c>
      <c r="B24" s="8">
        <v>45903</v>
      </c>
      <c r="C24" s="46"/>
      <c r="D24" s="214" t="s">
        <v>33</v>
      </c>
      <c r="E24" s="32"/>
      <c r="F24" s="17">
        <v>1004</v>
      </c>
      <c r="G24" s="18">
        <f t="shared" si="0"/>
        <v>5941</v>
      </c>
      <c r="H24" s="28"/>
      <c r="I24" s="7"/>
    </row>
    <row r="25" spans="1:17" ht="17.25" customHeight="1" x14ac:dyDescent="0.25">
      <c r="A25" s="14">
        <f t="shared" si="1"/>
        <v>17</v>
      </c>
      <c r="B25" s="8">
        <v>45910</v>
      </c>
      <c r="C25" s="46"/>
      <c r="D25" s="214" t="s">
        <v>33</v>
      </c>
      <c r="E25" s="32"/>
      <c r="F25" s="17">
        <v>584</v>
      </c>
      <c r="G25" s="18">
        <f t="shared" si="0"/>
        <v>5357</v>
      </c>
      <c r="H25" s="28"/>
      <c r="I25" s="7"/>
    </row>
    <row r="26" spans="1:17" ht="17.25" customHeight="1" x14ac:dyDescent="0.25">
      <c r="A26" s="14">
        <f t="shared" si="1"/>
        <v>18</v>
      </c>
      <c r="B26" s="8">
        <v>45924</v>
      </c>
      <c r="C26" s="46"/>
      <c r="D26" s="214" t="s">
        <v>33</v>
      </c>
      <c r="E26" s="32"/>
      <c r="F26" s="17">
        <v>236</v>
      </c>
      <c r="G26" s="18">
        <f t="shared" si="0"/>
        <v>5121</v>
      </c>
      <c r="H26" s="28"/>
      <c r="I26" s="7"/>
    </row>
    <row r="27" spans="1:17" ht="17.25" customHeight="1" x14ac:dyDescent="0.25">
      <c r="A27" s="14">
        <f t="shared" si="1"/>
        <v>19</v>
      </c>
      <c r="B27" s="8">
        <v>45925</v>
      </c>
      <c r="C27" s="46"/>
      <c r="D27" s="214" t="s">
        <v>33</v>
      </c>
      <c r="E27" s="32"/>
      <c r="F27" s="17">
        <v>232</v>
      </c>
      <c r="G27" s="18">
        <f t="shared" si="0"/>
        <v>4889</v>
      </c>
      <c r="H27" s="28"/>
      <c r="I27" s="7"/>
    </row>
    <row r="28" spans="1:17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4889</v>
      </c>
      <c r="H28" s="28"/>
      <c r="I28" s="7"/>
    </row>
    <row r="29" spans="1:17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4889</v>
      </c>
      <c r="H29" s="28"/>
      <c r="I29" s="7"/>
    </row>
    <row r="30" spans="1:17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4889</v>
      </c>
      <c r="H30" s="28"/>
      <c r="I30" s="7"/>
    </row>
    <row r="31" spans="1:17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4889</v>
      </c>
      <c r="H31" s="28"/>
      <c r="I31" s="7"/>
    </row>
    <row r="32" spans="1:17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4889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4889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4889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4889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4889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4889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4889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4889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4889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4889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4889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4889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4889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4889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4889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4889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4889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4889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4889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4889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4889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4889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4889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4889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4889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4889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4889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4889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4889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4889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4889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4889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4889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4889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4889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4889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4889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4889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4889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4889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4889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4889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4889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4889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4889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4889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4889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4889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4889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4889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4889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4889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4889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4889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4889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4889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4889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4889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4889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4889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4889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4889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4889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4889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4889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10800</v>
      </c>
      <c r="F97" s="35">
        <f>SUM(F8:F96)</f>
        <v>5911</v>
      </c>
      <c r="G97" s="35">
        <f>+E97-F97+G8</f>
        <v>4889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A4BC-AF03-4EC5-9609-7061446005AF}">
  <sheetPr codeName="Sheet130"/>
  <dimension ref="A1:Q108"/>
  <sheetViews>
    <sheetView zoomScaleNormal="100" workbookViewId="0">
      <selection activeCell="F16" sqref="F16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45604</v>
      </c>
      <c r="C9" s="46" t="s">
        <v>201</v>
      </c>
      <c r="D9" s="214" t="s">
        <v>33</v>
      </c>
      <c r="E9" s="11">
        <v>10800</v>
      </c>
      <c r="F9" s="27">
        <v>204</v>
      </c>
      <c r="G9" s="18">
        <f t="shared" ref="G9:G72" si="0">+G8+E9-F9</f>
        <v>10596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45605</v>
      </c>
      <c r="C10" s="46"/>
      <c r="D10" s="214" t="s">
        <v>33</v>
      </c>
      <c r="E10" s="30"/>
      <c r="F10" s="27">
        <v>41</v>
      </c>
      <c r="G10" s="18">
        <f t="shared" si="0"/>
        <v>10555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45621</v>
      </c>
      <c r="C11" s="46"/>
      <c r="D11" s="214" t="s">
        <v>33</v>
      </c>
      <c r="E11" s="16"/>
      <c r="F11" s="27">
        <v>172</v>
      </c>
      <c r="G11" s="18">
        <f t="shared" si="0"/>
        <v>10383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45622</v>
      </c>
      <c r="C12" s="46"/>
      <c r="D12" s="214" t="s">
        <v>33</v>
      </c>
      <c r="E12" s="16"/>
      <c r="F12" s="125">
        <v>136</v>
      </c>
      <c r="G12" s="18">
        <f t="shared" si="0"/>
        <v>10247</v>
      </c>
      <c r="H12" s="28"/>
      <c r="I12" s="7"/>
    </row>
    <row r="13" spans="1:10" ht="17.25" customHeight="1" x14ac:dyDescent="0.25">
      <c r="A13" s="14">
        <f t="shared" si="1"/>
        <v>5</v>
      </c>
      <c r="B13" s="205">
        <v>45623</v>
      </c>
      <c r="C13" s="46"/>
      <c r="D13" s="214" t="s">
        <v>33</v>
      </c>
      <c r="E13" s="16"/>
      <c r="F13" s="125">
        <v>140</v>
      </c>
      <c r="G13" s="18">
        <f t="shared" si="0"/>
        <v>10107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>
        <v>45624</v>
      </c>
      <c r="C14" s="46"/>
      <c r="D14" s="214" t="s">
        <v>33</v>
      </c>
      <c r="E14" s="16"/>
      <c r="F14" s="118">
        <v>83</v>
      </c>
      <c r="G14" s="18">
        <f t="shared" si="0"/>
        <v>10024</v>
      </c>
      <c r="H14" s="28"/>
      <c r="I14" s="7"/>
    </row>
    <row r="15" spans="1:10" ht="17.25" customHeight="1" x14ac:dyDescent="0.25">
      <c r="A15" s="14">
        <f t="shared" si="1"/>
        <v>7</v>
      </c>
      <c r="B15" s="8">
        <v>45625</v>
      </c>
      <c r="C15" s="46"/>
      <c r="D15" s="214" t="s">
        <v>33</v>
      </c>
      <c r="E15" s="16"/>
      <c r="F15" s="118">
        <v>61</v>
      </c>
      <c r="G15" s="18">
        <f t="shared" si="0"/>
        <v>9963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/>
      <c r="C16" s="46"/>
      <c r="D16" s="214" t="s">
        <v>33</v>
      </c>
      <c r="E16" s="16"/>
      <c r="F16" s="27"/>
      <c r="G16" s="18">
        <f t="shared" si="0"/>
        <v>9963</v>
      </c>
      <c r="H16" s="28" t="s">
        <v>265</v>
      </c>
      <c r="I16" s="7"/>
    </row>
    <row r="17" spans="1:10" ht="17.25" customHeight="1" x14ac:dyDescent="0.25">
      <c r="A17" s="14">
        <f t="shared" si="1"/>
        <v>9</v>
      </c>
      <c r="B17" s="8"/>
      <c r="C17" s="46"/>
      <c r="D17" s="214" t="s">
        <v>33</v>
      </c>
      <c r="E17" s="30"/>
      <c r="F17" s="27"/>
      <c r="G17" s="18">
        <f t="shared" si="0"/>
        <v>9963</v>
      </c>
      <c r="H17" s="28"/>
      <c r="I17" s="7"/>
    </row>
    <row r="18" spans="1:10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9963</v>
      </c>
      <c r="H18" s="28"/>
      <c r="I18" s="7"/>
    </row>
    <row r="19" spans="1:10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9963</v>
      </c>
      <c r="H19" s="28"/>
      <c r="I19" s="7"/>
    </row>
    <row r="20" spans="1:10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9963</v>
      </c>
      <c r="H20" s="28"/>
      <c r="I20" s="7"/>
    </row>
    <row r="21" spans="1:10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9963</v>
      </c>
      <c r="H21" s="28"/>
      <c r="I21" s="7"/>
    </row>
    <row r="22" spans="1:10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9963</v>
      </c>
      <c r="H22" s="28"/>
      <c r="I22" s="7"/>
      <c r="J22" t="s">
        <v>277</v>
      </c>
    </row>
    <row r="23" spans="1:10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9963</v>
      </c>
      <c r="H23" s="28"/>
      <c r="I23" s="7"/>
    </row>
    <row r="24" spans="1:10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9963</v>
      </c>
      <c r="H24" s="28"/>
      <c r="I24" s="7"/>
    </row>
    <row r="25" spans="1:10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9963</v>
      </c>
      <c r="H25" s="28"/>
      <c r="I25" s="7"/>
    </row>
    <row r="26" spans="1:10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9963</v>
      </c>
      <c r="H26" s="28"/>
      <c r="I26" s="7"/>
    </row>
    <row r="27" spans="1:10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9963</v>
      </c>
      <c r="H27" s="28"/>
      <c r="I27" s="7"/>
    </row>
    <row r="28" spans="1:10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9963</v>
      </c>
      <c r="H28" s="28"/>
      <c r="I28" s="7"/>
    </row>
    <row r="29" spans="1:10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9963</v>
      </c>
      <c r="H29" s="28"/>
      <c r="I29" s="7"/>
    </row>
    <row r="30" spans="1:10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9963</v>
      </c>
      <c r="H30" s="28"/>
      <c r="I30" s="7"/>
    </row>
    <row r="31" spans="1:10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9963</v>
      </c>
      <c r="H31" s="28"/>
      <c r="I31" s="7"/>
    </row>
    <row r="32" spans="1:10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9963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9963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9963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9963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9963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9963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9963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9963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9963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9963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9963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9963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9963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9963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9963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9963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9963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9963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9963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9963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9963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9963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9963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9963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9963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9963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9963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9963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9963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9963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9963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9963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9963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9963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9963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9963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9963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9963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9963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9963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9963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9963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9963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9963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9963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9963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9963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9963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9963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9963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9963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9963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9963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9963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9963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9963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9963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9963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9963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9963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9963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9963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9963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9963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9963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10800</v>
      </c>
      <c r="F97" s="35">
        <f>SUM(F8:F96)</f>
        <v>837</v>
      </c>
      <c r="G97" s="35">
        <f>+E97-F97+G8</f>
        <v>9963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6B8F-8074-4C11-88BB-A609F6CE630C}">
  <sheetPr codeName="Sheet131"/>
  <dimension ref="A1:Q108"/>
  <sheetViews>
    <sheetView topLeftCell="A16" zoomScaleNormal="100" workbookViewId="0">
      <selection activeCell="F31" sqref="F31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4" spans="1:16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6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6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6" ht="17.25" customHeight="1" x14ac:dyDescent="0.25">
      <c r="A8" s="7"/>
      <c r="B8" s="8"/>
      <c r="C8" s="9" t="s">
        <v>15</v>
      </c>
      <c r="D8" s="10"/>
      <c r="E8" s="11"/>
      <c r="F8" s="12"/>
      <c r="G8" s="13">
        <v>-420</v>
      </c>
      <c r="H8" s="7"/>
      <c r="I8" s="7"/>
    </row>
    <row r="9" spans="1:16" ht="17.25" customHeight="1" x14ac:dyDescent="0.25">
      <c r="A9" s="14">
        <v>1</v>
      </c>
      <c r="B9" s="8">
        <v>45670</v>
      </c>
      <c r="C9" s="46"/>
      <c r="D9" s="214" t="s">
        <v>33</v>
      </c>
      <c r="E9" s="11"/>
      <c r="F9" s="27">
        <v>400</v>
      </c>
      <c r="G9" s="18">
        <f t="shared" ref="G9:G72" si="0">+G8+E9-F9</f>
        <v>-820</v>
      </c>
      <c r="H9" s="28"/>
      <c r="I9" s="7"/>
      <c r="J9" t="s">
        <v>204</v>
      </c>
    </row>
    <row r="10" spans="1:16" ht="17.25" customHeight="1" x14ac:dyDescent="0.25">
      <c r="A10" s="14">
        <f t="shared" ref="A10:A73" si="1">+A9+1</f>
        <v>2</v>
      </c>
      <c r="B10" s="8">
        <v>45671</v>
      </c>
      <c r="C10" s="46"/>
      <c r="D10" s="214" t="s">
        <v>33</v>
      </c>
      <c r="E10" s="30"/>
      <c r="F10" s="27">
        <v>1200</v>
      </c>
      <c r="G10" s="18">
        <f t="shared" si="0"/>
        <v>-2020</v>
      </c>
      <c r="H10" s="28"/>
      <c r="I10" s="7"/>
    </row>
    <row r="11" spans="1:16" ht="17.25" customHeight="1" x14ac:dyDescent="0.25">
      <c r="A11" s="14">
        <f t="shared" si="1"/>
        <v>3</v>
      </c>
      <c r="B11" s="8">
        <v>45681</v>
      </c>
      <c r="C11" s="46"/>
      <c r="D11" s="214" t="s">
        <v>33</v>
      </c>
      <c r="E11" s="16"/>
      <c r="F11" s="27">
        <v>260</v>
      </c>
      <c r="G11" s="18">
        <f t="shared" si="0"/>
        <v>-2280</v>
      </c>
      <c r="H11" s="28"/>
      <c r="I11" s="7"/>
      <c r="J11" s="26"/>
    </row>
    <row r="12" spans="1:16" ht="17.25" customHeight="1" x14ac:dyDescent="0.25">
      <c r="A12" s="14">
        <f t="shared" si="1"/>
        <v>4</v>
      </c>
      <c r="B12" s="8">
        <v>45706</v>
      </c>
      <c r="C12" s="46"/>
      <c r="D12" s="214" t="s">
        <v>33</v>
      </c>
      <c r="E12" s="16"/>
      <c r="F12" s="125">
        <v>1840</v>
      </c>
      <c r="G12" s="18">
        <f t="shared" si="0"/>
        <v>-4120</v>
      </c>
      <c r="H12" s="28"/>
      <c r="I12" s="7"/>
    </row>
    <row r="13" spans="1:16" ht="17.25" customHeight="1" x14ac:dyDescent="0.25">
      <c r="A13" s="14">
        <f t="shared" si="1"/>
        <v>5</v>
      </c>
      <c r="B13" s="205">
        <v>45707</v>
      </c>
      <c r="C13" s="46"/>
      <c r="D13" s="214" t="s">
        <v>33</v>
      </c>
      <c r="E13" s="16"/>
      <c r="F13" s="125">
        <v>1680</v>
      </c>
      <c r="G13" s="18">
        <f t="shared" si="0"/>
        <v>-5800</v>
      </c>
      <c r="H13" s="28"/>
      <c r="I13" s="7"/>
      <c r="J13" s="26"/>
    </row>
    <row r="14" spans="1:16" ht="17.25" customHeight="1" x14ac:dyDescent="0.25">
      <c r="A14" s="14">
        <f t="shared" si="1"/>
        <v>6</v>
      </c>
      <c r="B14" s="8">
        <v>45708</v>
      </c>
      <c r="C14" s="46"/>
      <c r="D14" s="214" t="s">
        <v>33</v>
      </c>
      <c r="E14" s="16"/>
      <c r="F14" s="118">
        <v>1243</v>
      </c>
      <c r="G14" s="18">
        <f t="shared" si="0"/>
        <v>-7043</v>
      </c>
      <c r="H14" s="28"/>
      <c r="I14" s="7"/>
    </row>
    <row r="15" spans="1:16" ht="17.25" customHeight="1" x14ac:dyDescent="0.25">
      <c r="A15" s="14">
        <f t="shared" si="1"/>
        <v>7</v>
      </c>
      <c r="B15" s="8">
        <v>45761</v>
      </c>
      <c r="C15" s="46"/>
      <c r="D15" s="214" t="s">
        <v>33</v>
      </c>
      <c r="E15" s="16"/>
      <c r="F15" s="118">
        <v>12</v>
      </c>
      <c r="G15" s="18">
        <f t="shared" si="0"/>
        <v>-7055</v>
      </c>
      <c r="H15" s="28"/>
      <c r="I15" s="7"/>
      <c r="J15" s="26"/>
      <c r="P15">
        <f>32*88</f>
        <v>2816</v>
      </c>
    </row>
    <row r="16" spans="1:16" ht="17.25" customHeight="1" x14ac:dyDescent="0.25">
      <c r="A16" s="14">
        <f t="shared" si="1"/>
        <v>8</v>
      </c>
      <c r="B16" s="8">
        <v>45783</v>
      </c>
      <c r="C16" s="46"/>
      <c r="D16" s="214" t="s">
        <v>33</v>
      </c>
      <c r="E16" s="16"/>
      <c r="F16" s="27">
        <v>940</v>
      </c>
      <c r="G16" s="18">
        <f t="shared" si="0"/>
        <v>-7995</v>
      </c>
      <c r="H16" s="28">
        <v>0</v>
      </c>
      <c r="I16" s="7"/>
    </row>
    <row r="17" spans="1:17" ht="17.25" customHeight="1" x14ac:dyDescent="0.25">
      <c r="A17" s="14">
        <f t="shared" si="1"/>
        <v>9</v>
      </c>
      <c r="B17" s="8">
        <v>45784</v>
      </c>
      <c r="C17" s="46"/>
      <c r="D17" s="214" t="s">
        <v>33</v>
      </c>
      <c r="E17" s="30"/>
      <c r="F17" s="27">
        <v>3019</v>
      </c>
      <c r="G17" s="18">
        <f t="shared" si="0"/>
        <v>-11014</v>
      </c>
      <c r="H17" s="28"/>
      <c r="I17" s="7"/>
    </row>
    <row r="18" spans="1:17" s="221" customFormat="1" ht="17.25" customHeight="1" x14ac:dyDescent="0.25">
      <c r="A18" s="215">
        <f>+A17+1</f>
        <v>10</v>
      </c>
      <c r="B18" s="216">
        <v>45809</v>
      </c>
      <c r="C18" s="46"/>
      <c r="D18" s="214" t="s">
        <v>33</v>
      </c>
      <c r="E18" s="218"/>
      <c r="F18" s="27">
        <v>160</v>
      </c>
      <c r="G18" s="220">
        <f t="shared" si="0"/>
        <v>-11174</v>
      </c>
      <c r="H18" s="28"/>
      <c r="I18" s="7"/>
    </row>
    <row r="19" spans="1:17" s="221" customFormat="1" ht="17.25" customHeight="1" x14ac:dyDescent="0.25">
      <c r="A19" s="215">
        <f t="shared" si="1"/>
        <v>11</v>
      </c>
      <c r="B19" s="216">
        <v>45825</v>
      </c>
      <c r="C19" s="46"/>
      <c r="D19" s="214" t="s">
        <v>33</v>
      </c>
      <c r="E19" s="222"/>
      <c r="F19" s="219">
        <v>583</v>
      </c>
      <c r="G19" s="220">
        <f t="shared" si="0"/>
        <v>-11757</v>
      </c>
      <c r="H19" s="28"/>
      <c r="I19" s="7"/>
    </row>
    <row r="20" spans="1:17" ht="17.25" customHeight="1" x14ac:dyDescent="0.25">
      <c r="A20" s="14">
        <f t="shared" si="1"/>
        <v>12</v>
      </c>
      <c r="B20" s="8">
        <v>45835</v>
      </c>
      <c r="C20" s="46"/>
      <c r="D20" s="214" t="s">
        <v>33</v>
      </c>
      <c r="E20" s="32"/>
      <c r="F20" s="17">
        <v>127</v>
      </c>
      <c r="G20" s="18">
        <f t="shared" si="0"/>
        <v>-11884</v>
      </c>
      <c r="H20" s="28"/>
      <c r="I20" s="7"/>
    </row>
    <row r="21" spans="1:17" ht="17.25" customHeight="1" x14ac:dyDescent="0.25">
      <c r="A21" s="14">
        <f t="shared" si="1"/>
        <v>13</v>
      </c>
      <c r="B21" s="8">
        <v>45843</v>
      </c>
      <c r="C21" s="46"/>
      <c r="D21" s="214" t="s">
        <v>33</v>
      </c>
      <c r="E21" s="32"/>
      <c r="F21" s="27">
        <v>1543</v>
      </c>
      <c r="G21" s="18">
        <f t="shared" si="0"/>
        <v>-13427</v>
      </c>
      <c r="H21" s="28"/>
      <c r="I21" s="7"/>
    </row>
    <row r="22" spans="1:17" ht="17.25" customHeight="1" x14ac:dyDescent="0.25">
      <c r="A22" s="14">
        <f t="shared" si="1"/>
        <v>14</v>
      </c>
      <c r="B22" s="8">
        <v>45845</v>
      </c>
      <c r="C22" s="46"/>
      <c r="D22" s="214" t="s">
        <v>33</v>
      </c>
      <c r="E22" s="32"/>
      <c r="F22" s="17">
        <v>2300</v>
      </c>
      <c r="G22" s="18">
        <f t="shared" si="0"/>
        <v>-15727</v>
      </c>
      <c r="H22" s="28"/>
      <c r="I22" s="7"/>
    </row>
    <row r="23" spans="1:17" ht="17.25" customHeight="1" x14ac:dyDescent="0.25">
      <c r="A23" s="14">
        <f t="shared" si="1"/>
        <v>15</v>
      </c>
      <c r="B23" s="8">
        <v>45846</v>
      </c>
      <c r="C23" s="46"/>
      <c r="D23" s="214" t="s">
        <v>33</v>
      </c>
      <c r="E23" s="32"/>
      <c r="F23" s="17">
        <v>2520</v>
      </c>
      <c r="G23" s="18">
        <f t="shared" si="0"/>
        <v>-18247</v>
      </c>
      <c r="H23" s="28"/>
      <c r="I23" s="7"/>
    </row>
    <row r="24" spans="1:17" ht="17.25" customHeight="1" x14ac:dyDescent="0.25">
      <c r="A24" s="14">
        <f t="shared" si="1"/>
        <v>16</v>
      </c>
      <c r="B24" s="8">
        <v>45860</v>
      </c>
      <c r="C24" s="46"/>
      <c r="D24" s="214" t="s">
        <v>33</v>
      </c>
      <c r="E24" s="32"/>
      <c r="F24" s="17">
        <v>3650</v>
      </c>
      <c r="G24" s="18">
        <f t="shared" si="0"/>
        <v>-21897</v>
      </c>
      <c r="H24" s="28"/>
      <c r="I24" s="7"/>
      <c r="N24">
        <f>656+50</f>
        <v>706</v>
      </c>
      <c r="Q24">
        <f>640+680</f>
        <v>1320</v>
      </c>
    </row>
    <row r="25" spans="1:17" ht="17.25" customHeight="1" x14ac:dyDescent="0.25">
      <c r="A25" s="14">
        <f t="shared" si="1"/>
        <v>17</v>
      </c>
      <c r="B25" s="8">
        <v>45880</v>
      </c>
      <c r="C25" s="46"/>
      <c r="D25" s="214" t="s">
        <v>33</v>
      </c>
      <c r="E25" s="32"/>
      <c r="F25" s="17">
        <v>1740</v>
      </c>
      <c r="G25" s="18">
        <f t="shared" si="0"/>
        <v>-23637</v>
      </c>
      <c r="H25" s="28"/>
      <c r="I25" s="7"/>
      <c r="K25">
        <f>24+23+30</f>
        <v>77</v>
      </c>
      <c r="N25">
        <f>+N24*87</f>
        <v>61422</v>
      </c>
      <c r="Q25">
        <f>+Q24-70</f>
        <v>1250</v>
      </c>
    </row>
    <row r="26" spans="1:17" ht="17.25" customHeight="1" x14ac:dyDescent="0.25">
      <c r="A26" s="14">
        <f t="shared" si="1"/>
        <v>18</v>
      </c>
      <c r="B26" s="8">
        <v>45881</v>
      </c>
      <c r="C26" s="46"/>
      <c r="D26" s="214" t="s">
        <v>33</v>
      </c>
      <c r="E26" s="32"/>
      <c r="F26" s="17">
        <v>2740</v>
      </c>
      <c r="G26" s="18">
        <f t="shared" si="0"/>
        <v>-26377</v>
      </c>
      <c r="H26" s="28"/>
      <c r="I26" s="7"/>
      <c r="K26">
        <f>+K25*20+3</f>
        <v>1543</v>
      </c>
      <c r="N26">
        <f>+N25/2850</f>
        <v>21.551578947368419</v>
      </c>
      <c r="Q26">
        <f>+Q25*88</f>
        <v>110000</v>
      </c>
    </row>
    <row r="27" spans="1:17" ht="17.25" customHeight="1" x14ac:dyDescent="0.25">
      <c r="A27" s="14">
        <f t="shared" si="1"/>
        <v>19</v>
      </c>
      <c r="B27" s="8">
        <v>45882</v>
      </c>
      <c r="C27" s="46"/>
      <c r="D27" s="214" t="s">
        <v>33</v>
      </c>
      <c r="E27" s="32"/>
      <c r="F27" s="17">
        <v>463</v>
      </c>
      <c r="G27" s="18">
        <f t="shared" si="0"/>
        <v>-26840</v>
      </c>
      <c r="H27" s="28"/>
      <c r="I27" s="7"/>
      <c r="Q27">
        <f>+Q26/2850</f>
        <v>38.596491228070178</v>
      </c>
    </row>
    <row r="28" spans="1:17" ht="17.25" customHeight="1" x14ac:dyDescent="0.25">
      <c r="A28" s="14">
        <f t="shared" si="1"/>
        <v>20</v>
      </c>
      <c r="B28" s="8">
        <v>45894</v>
      </c>
      <c r="C28" s="46"/>
      <c r="D28" s="214" t="s">
        <v>33</v>
      </c>
      <c r="E28" s="32"/>
      <c r="F28" s="17">
        <v>660</v>
      </c>
      <c r="G28" s="18">
        <f t="shared" si="0"/>
        <v>-27500</v>
      </c>
      <c r="H28" s="28"/>
      <c r="I28" s="7"/>
    </row>
    <row r="29" spans="1:17" ht="17.25" customHeight="1" x14ac:dyDescent="0.25">
      <c r="A29" s="14">
        <f t="shared" si="1"/>
        <v>21</v>
      </c>
      <c r="B29" s="8">
        <v>45895</v>
      </c>
      <c r="C29" s="46"/>
      <c r="D29" s="214" t="s">
        <v>33</v>
      </c>
      <c r="E29" s="129"/>
      <c r="F29" s="17">
        <v>3370</v>
      </c>
      <c r="G29" s="18">
        <f t="shared" si="0"/>
        <v>-30870</v>
      </c>
      <c r="H29" s="28"/>
      <c r="I29" s="7"/>
    </row>
    <row r="30" spans="1:17" ht="17.25" customHeight="1" x14ac:dyDescent="0.25">
      <c r="A30" s="14">
        <f t="shared" si="1"/>
        <v>22</v>
      </c>
      <c r="B30" s="8">
        <v>45896</v>
      </c>
      <c r="C30" s="46"/>
      <c r="D30" s="214" t="s">
        <v>33</v>
      </c>
      <c r="E30" s="32"/>
      <c r="F30" s="17">
        <v>3470</v>
      </c>
      <c r="G30" s="18">
        <f t="shared" si="0"/>
        <v>-34340</v>
      </c>
      <c r="H30" s="28"/>
      <c r="I30" s="7"/>
    </row>
    <row r="31" spans="1:17" ht="17.25" customHeight="1" x14ac:dyDescent="0.25">
      <c r="A31" s="14">
        <f t="shared" si="1"/>
        <v>23</v>
      </c>
      <c r="B31" s="8">
        <v>45897</v>
      </c>
      <c r="C31" s="46"/>
      <c r="D31" s="214" t="s">
        <v>33</v>
      </c>
      <c r="E31" s="32"/>
      <c r="F31" s="17">
        <v>2510</v>
      </c>
      <c r="G31" s="18">
        <f t="shared" si="0"/>
        <v>-36850</v>
      </c>
      <c r="H31" s="28"/>
      <c r="I31" s="7"/>
      <c r="O31">
        <f>7*24</f>
        <v>168</v>
      </c>
    </row>
    <row r="32" spans="1:17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-36850</v>
      </c>
      <c r="H32" s="28"/>
      <c r="I32" s="7"/>
      <c r="O32">
        <f>+O31*20+10</f>
        <v>3370</v>
      </c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-36850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-36850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-36850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-36850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-36850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-36850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-36850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-36850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-36850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-36850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-36850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-36850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-36850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-36850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-36850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-36850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-36850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-36850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-36850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-36850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-36850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-36850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-36850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-36850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-36850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-36850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-36850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-36850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-36850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-36850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-36850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-36850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-36850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-36850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-36850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-36850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-36850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-36850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-36850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-36850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-36850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-36850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-36850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-36850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-36850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-36850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-36850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-36850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-36850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-36850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-36850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-36850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-36850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-36850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-36850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-36850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-36850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-36850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-36850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-36850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-36850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-36850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-36850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-36850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36430</v>
      </c>
      <c r="G97" s="35">
        <f>+E97-F97+G8</f>
        <v>-36850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A933-B5F1-45A1-B35E-A26DADE7F99F}">
  <sheetPr codeName="Sheet132"/>
  <dimension ref="A1:Q108"/>
  <sheetViews>
    <sheetView topLeftCell="A7" zoomScaleNormal="100" workbookViewId="0">
      <selection activeCell="F27" sqref="F2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45542</v>
      </c>
      <c r="C9" s="46"/>
      <c r="D9" s="214" t="s">
        <v>33</v>
      </c>
      <c r="E9" s="11">
        <v>10800</v>
      </c>
      <c r="F9" s="27">
        <v>380</v>
      </c>
      <c r="G9" s="18">
        <f t="shared" ref="G9:G72" si="0">+G8+E9-F9</f>
        <v>10420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45544</v>
      </c>
      <c r="C10" s="46"/>
      <c r="D10" s="214" t="s">
        <v>33</v>
      </c>
      <c r="E10" s="30"/>
      <c r="F10" s="27">
        <f>84*20</f>
        <v>1680</v>
      </c>
      <c r="G10" s="18">
        <f t="shared" si="0"/>
        <v>8740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45545</v>
      </c>
      <c r="C11" s="46"/>
      <c r="D11" s="214" t="s">
        <v>33</v>
      </c>
      <c r="E11" s="16"/>
      <c r="F11" s="27">
        <v>2200</v>
      </c>
      <c r="G11" s="18">
        <f t="shared" si="0"/>
        <v>6540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45614</v>
      </c>
      <c r="C12" s="46"/>
      <c r="D12" s="214" t="s">
        <v>33</v>
      </c>
      <c r="E12" s="16"/>
      <c r="F12" s="125">
        <v>1100</v>
      </c>
      <c r="G12" s="18">
        <f t="shared" si="0"/>
        <v>5440</v>
      </c>
      <c r="H12" s="28"/>
      <c r="I12" s="7"/>
    </row>
    <row r="13" spans="1:10" ht="17.25" customHeight="1" x14ac:dyDescent="0.25">
      <c r="A13" s="14">
        <f t="shared" si="1"/>
        <v>5</v>
      </c>
      <c r="B13" s="205">
        <v>45615</v>
      </c>
      <c r="C13" s="46"/>
      <c r="D13" s="214" t="s">
        <v>33</v>
      </c>
      <c r="E13" s="16"/>
      <c r="F13" s="125">
        <v>645</v>
      </c>
      <c r="G13" s="18">
        <f t="shared" si="0"/>
        <v>4795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>
        <v>45653</v>
      </c>
      <c r="C14" s="46"/>
      <c r="D14" s="214" t="s">
        <v>33</v>
      </c>
      <c r="E14" s="16"/>
      <c r="F14" s="118">
        <v>180</v>
      </c>
      <c r="G14" s="18">
        <f t="shared" si="0"/>
        <v>4615</v>
      </c>
      <c r="H14" s="28"/>
      <c r="I14" s="7"/>
    </row>
    <row r="15" spans="1:10" ht="17.25" customHeight="1" x14ac:dyDescent="0.25">
      <c r="A15" s="14">
        <f t="shared" si="1"/>
        <v>7</v>
      </c>
      <c r="B15" s="8">
        <v>45654</v>
      </c>
      <c r="C15" s="46"/>
      <c r="D15" s="214" t="s">
        <v>33</v>
      </c>
      <c r="E15" s="16"/>
      <c r="F15" s="118">
        <v>700</v>
      </c>
      <c r="G15" s="18">
        <f t="shared" si="0"/>
        <v>3915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>
        <v>45656</v>
      </c>
      <c r="C16" s="46"/>
      <c r="D16" s="214" t="s">
        <v>33</v>
      </c>
      <c r="E16" s="16"/>
      <c r="F16" s="27">
        <v>1920</v>
      </c>
      <c r="G16" s="18">
        <f t="shared" si="0"/>
        <v>1995</v>
      </c>
      <c r="H16" s="28"/>
      <c r="I16" s="7"/>
    </row>
    <row r="17" spans="1:9" ht="17.25" customHeight="1" x14ac:dyDescent="0.25">
      <c r="A17" s="14">
        <f t="shared" si="1"/>
        <v>9</v>
      </c>
      <c r="B17" s="8">
        <v>45657</v>
      </c>
      <c r="C17" s="46"/>
      <c r="D17" s="214" t="s">
        <v>33</v>
      </c>
      <c r="E17" s="30"/>
      <c r="F17" s="27">
        <v>1200</v>
      </c>
      <c r="G17" s="18">
        <f t="shared" si="0"/>
        <v>795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>
        <v>45757</v>
      </c>
      <c r="C18" s="46"/>
      <c r="D18" s="214" t="s">
        <v>33</v>
      </c>
      <c r="E18" s="218"/>
      <c r="F18" s="219">
        <f>+(3*16+9)*20</f>
        <v>1140</v>
      </c>
      <c r="G18" s="220">
        <f t="shared" si="0"/>
        <v>-345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>
        <v>45758</v>
      </c>
      <c r="C19" s="46"/>
      <c r="D19" s="214" t="s">
        <v>33</v>
      </c>
      <c r="E19" s="222"/>
      <c r="F19" s="219">
        <v>1665</v>
      </c>
      <c r="G19" s="220">
        <f t="shared" si="0"/>
        <v>-2010</v>
      </c>
      <c r="H19" s="28"/>
      <c r="I19" s="7"/>
    </row>
    <row r="20" spans="1:9" ht="17.25" customHeight="1" x14ac:dyDescent="0.25">
      <c r="A20" s="14">
        <f t="shared" si="1"/>
        <v>12</v>
      </c>
      <c r="B20" s="8">
        <v>45759</v>
      </c>
      <c r="C20" s="46"/>
      <c r="D20" s="214" t="s">
        <v>33</v>
      </c>
      <c r="E20" s="32"/>
      <c r="F20" s="17">
        <v>1195</v>
      </c>
      <c r="G20" s="18">
        <f t="shared" si="0"/>
        <v>-3205</v>
      </c>
      <c r="H20" s="28"/>
      <c r="I20" s="7"/>
    </row>
    <row r="21" spans="1:9" ht="17.25" customHeight="1" x14ac:dyDescent="0.25">
      <c r="A21" s="14">
        <f t="shared" si="1"/>
        <v>13</v>
      </c>
      <c r="B21" s="8">
        <v>45834</v>
      </c>
      <c r="C21" s="46"/>
      <c r="D21" s="214" t="s">
        <v>33</v>
      </c>
      <c r="E21" s="32"/>
      <c r="F21" s="27">
        <v>2240</v>
      </c>
      <c r="G21" s="18">
        <f t="shared" si="0"/>
        <v>-5445</v>
      </c>
      <c r="H21" s="28"/>
      <c r="I21" s="7"/>
    </row>
    <row r="22" spans="1:9" ht="17.25" customHeight="1" x14ac:dyDescent="0.25">
      <c r="A22" s="14">
        <f t="shared" si="1"/>
        <v>14</v>
      </c>
      <c r="B22" s="8">
        <v>45835</v>
      </c>
      <c r="C22" s="46"/>
      <c r="D22" s="214" t="s">
        <v>33</v>
      </c>
      <c r="E22" s="32"/>
      <c r="F22" s="17">
        <v>1760</v>
      </c>
      <c r="G22" s="18">
        <f t="shared" si="0"/>
        <v>-7205</v>
      </c>
      <c r="H22" s="28"/>
      <c r="I22" s="7"/>
    </row>
    <row r="23" spans="1:9" ht="17.25" customHeight="1" x14ac:dyDescent="0.25">
      <c r="A23" s="14">
        <f t="shared" si="1"/>
        <v>15</v>
      </c>
      <c r="B23" s="8">
        <v>45882</v>
      </c>
      <c r="C23" s="46"/>
      <c r="D23" s="214" t="s">
        <v>33</v>
      </c>
      <c r="E23" s="32"/>
      <c r="F23" s="17">
        <v>1500</v>
      </c>
      <c r="G23" s="18">
        <f t="shared" si="0"/>
        <v>-8705</v>
      </c>
      <c r="H23" s="28"/>
      <c r="I23" s="7"/>
    </row>
    <row r="24" spans="1:9" ht="17.25" customHeight="1" x14ac:dyDescent="0.25">
      <c r="A24" s="14">
        <f t="shared" si="1"/>
        <v>16</v>
      </c>
      <c r="B24" s="8">
        <v>45890</v>
      </c>
      <c r="C24" s="46"/>
      <c r="D24" s="214" t="s">
        <v>33</v>
      </c>
      <c r="E24" s="32"/>
      <c r="F24" s="17">
        <v>2560</v>
      </c>
      <c r="G24" s="18">
        <f t="shared" si="0"/>
        <v>-11265</v>
      </c>
      <c r="H24" s="28"/>
      <c r="I24" s="7"/>
    </row>
    <row r="25" spans="1:9" ht="17.25" customHeight="1" x14ac:dyDescent="0.25">
      <c r="A25" s="14">
        <f t="shared" si="1"/>
        <v>17</v>
      </c>
      <c r="B25" s="8">
        <v>45891</v>
      </c>
      <c r="C25" s="46"/>
      <c r="D25" s="214" t="s">
        <v>33</v>
      </c>
      <c r="E25" s="32"/>
      <c r="F25" s="17">
        <v>1600</v>
      </c>
      <c r="G25" s="18">
        <f t="shared" si="0"/>
        <v>-12865</v>
      </c>
      <c r="H25" s="28"/>
      <c r="I25" s="7"/>
    </row>
    <row r="26" spans="1:9" ht="17.25" customHeight="1" x14ac:dyDescent="0.25">
      <c r="A26" s="14">
        <f t="shared" si="1"/>
        <v>18</v>
      </c>
      <c r="B26" s="8">
        <v>45892</v>
      </c>
      <c r="C26" s="46"/>
      <c r="D26" s="214" t="s">
        <v>33</v>
      </c>
      <c r="E26" s="32"/>
      <c r="F26" s="17">
        <v>591</v>
      </c>
      <c r="G26" s="18">
        <f t="shared" si="0"/>
        <v>-13456</v>
      </c>
      <c r="H26" s="28"/>
      <c r="I26" s="7"/>
    </row>
    <row r="27" spans="1:9" ht="17.25" customHeight="1" x14ac:dyDescent="0.25">
      <c r="A27" s="14">
        <f t="shared" si="1"/>
        <v>19</v>
      </c>
      <c r="B27" s="8">
        <v>45894</v>
      </c>
      <c r="C27" s="46"/>
      <c r="D27" s="214" t="s">
        <v>33</v>
      </c>
      <c r="E27" s="32"/>
      <c r="F27" s="17">
        <v>1749</v>
      </c>
      <c r="G27" s="18">
        <f t="shared" si="0"/>
        <v>-15205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-15205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-15205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-15205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-15205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-15205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-15205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-15205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-15205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-15205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-15205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-15205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-15205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-15205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-15205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-15205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-15205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-15205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-15205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-15205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-15205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-15205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-15205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-15205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-15205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-15205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-15205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-15205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-15205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-15205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-15205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-15205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-15205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-15205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-15205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-15205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-15205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-15205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-15205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-15205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-15205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-15205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-15205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-15205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-15205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-15205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-15205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-15205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-15205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-15205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-15205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-15205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-15205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-15205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-15205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-15205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-15205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-15205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-15205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-15205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-15205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-15205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-15205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-15205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-15205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-15205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-15205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-15205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-15205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-15205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10800</v>
      </c>
      <c r="F97" s="35">
        <f>SUM(F8:F96)</f>
        <v>26005</v>
      </c>
      <c r="G97" s="35">
        <f>+E97-F97+G8</f>
        <v>-15205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9C8E-1B6C-4B92-B0C4-E2CFACD322BB}">
  <sheetPr codeName="Sheet133"/>
  <dimension ref="A1:Q108"/>
  <sheetViews>
    <sheetView topLeftCell="A11" zoomScaleNormal="100" workbookViewId="0">
      <selection activeCell="F21" sqref="F21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4" spans="1:17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7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7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7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7" ht="17.25" customHeight="1" x14ac:dyDescent="0.25">
      <c r="A9" s="14">
        <v>1</v>
      </c>
      <c r="B9" s="8">
        <v>45748</v>
      </c>
      <c r="C9" s="46"/>
      <c r="D9" s="214" t="s">
        <v>33</v>
      </c>
      <c r="E9" s="11"/>
      <c r="F9" s="27">
        <v>456</v>
      </c>
      <c r="G9" s="18">
        <f t="shared" ref="G9:G72" si="0">+G8+E9-F9</f>
        <v>-456</v>
      </c>
      <c r="H9" s="28"/>
      <c r="I9" s="7"/>
      <c r="J9" t="s">
        <v>204</v>
      </c>
    </row>
    <row r="10" spans="1:17" ht="17.25" customHeight="1" x14ac:dyDescent="0.25">
      <c r="A10" s="14">
        <f t="shared" ref="A10:A73" si="1">+A9+1</f>
        <v>2</v>
      </c>
      <c r="B10" s="8">
        <v>45749</v>
      </c>
      <c r="C10" s="46"/>
      <c r="D10" s="214" t="s">
        <v>33</v>
      </c>
      <c r="E10" s="30"/>
      <c r="F10" s="27">
        <v>41</v>
      </c>
      <c r="G10" s="18">
        <f t="shared" si="0"/>
        <v>-497</v>
      </c>
      <c r="H10" s="28"/>
      <c r="I10" s="7"/>
    </row>
    <row r="11" spans="1:17" ht="17.25" customHeight="1" x14ac:dyDescent="0.25">
      <c r="A11" s="14">
        <f t="shared" si="1"/>
        <v>3</v>
      </c>
      <c r="B11" s="8">
        <v>45787</v>
      </c>
      <c r="C11" s="46"/>
      <c r="D11" s="214" t="s">
        <v>33</v>
      </c>
      <c r="E11" s="16"/>
      <c r="F11" s="27">
        <v>142</v>
      </c>
      <c r="G11" s="18">
        <f t="shared" si="0"/>
        <v>-639</v>
      </c>
      <c r="H11" s="28"/>
      <c r="I11" s="7"/>
      <c r="J11" s="26"/>
    </row>
    <row r="12" spans="1:17" ht="17.25" customHeight="1" x14ac:dyDescent="0.25">
      <c r="A12" s="14">
        <f t="shared" si="1"/>
        <v>4</v>
      </c>
      <c r="B12" s="8">
        <v>45791</v>
      </c>
      <c r="C12" s="46"/>
      <c r="D12" s="214" t="s">
        <v>33</v>
      </c>
      <c r="E12" s="16"/>
      <c r="F12" s="125">
        <v>141</v>
      </c>
      <c r="G12" s="18">
        <f t="shared" si="0"/>
        <v>-780</v>
      </c>
      <c r="H12" s="28"/>
      <c r="I12" s="7"/>
    </row>
    <row r="13" spans="1:17" ht="17.25" customHeight="1" x14ac:dyDescent="0.25">
      <c r="A13" s="14">
        <f t="shared" si="1"/>
        <v>5</v>
      </c>
      <c r="B13" s="205">
        <v>45845</v>
      </c>
      <c r="C13" s="46"/>
      <c r="D13" s="214" t="s">
        <v>33</v>
      </c>
      <c r="E13" s="16"/>
      <c r="F13" s="125">
        <v>156</v>
      </c>
      <c r="G13" s="18">
        <f t="shared" si="0"/>
        <v>-936</v>
      </c>
      <c r="H13" s="28"/>
      <c r="I13" s="7"/>
      <c r="J13" s="26"/>
    </row>
    <row r="14" spans="1:17" ht="17.25" customHeight="1" x14ac:dyDescent="0.25">
      <c r="A14" s="14">
        <f t="shared" si="1"/>
        <v>6</v>
      </c>
      <c r="B14" s="8">
        <v>45846</v>
      </c>
      <c r="C14" s="46"/>
      <c r="D14" s="214" t="s">
        <v>33</v>
      </c>
      <c r="E14" s="16"/>
      <c r="F14" s="118">
        <v>360</v>
      </c>
      <c r="G14" s="18">
        <f t="shared" si="0"/>
        <v>-1296</v>
      </c>
      <c r="H14" s="28"/>
      <c r="I14" s="7"/>
      <c r="Q14">
        <f>689*88</f>
        <v>60632</v>
      </c>
    </row>
    <row r="15" spans="1:17" ht="17.25" customHeight="1" x14ac:dyDescent="0.25">
      <c r="A15" s="14">
        <f t="shared" si="1"/>
        <v>7</v>
      </c>
      <c r="B15" s="8">
        <v>45847</v>
      </c>
      <c r="C15" s="46"/>
      <c r="D15" s="214" t="s">
        <v>33</v>
      </c>
      <c r="E15" s="16"/>
      <c r="F15" s="118">
        <v>312</v>
      </c>
      <c r="G15" s="18">
        <f t="shared" si="0"/>
        <v>-1608</v>
      </c>
      <c r="H15" s="28"/>
      <c r="I15" s="7"/>
      <c r="J15" s="26"/>
      <c r="Q15">
        <f>+Q14/2816</f>
        <v>21.53125</v>
      </c>
    </row>
    <row r="16" spans="1:17" ht="17.25" customHeight="1" x14ac:dyDescent="0.25">
      <c r="A16" s="14">
        <f t="shared" si="1"/>
        <v>8</v>
      </c>
      <c r="B16" s="8">
        <v>45848</v>
      </c>
      <c r="C16" s="46"/>
      <c r="D16" s="214" t="s">
        <v>33</v>
      </c>
      <c r="E16" s="16"/>
      <c r="F16" s="27">
        <v>343</v>
      </c>
      <c r="G16" s="18">
        <f t="shared" si="0"/>
        <v>-1951</v>
      </c>
      <c r="H16" s="28"/>
      <c r="I16" s="7"/>
    </row>
    <row r="17" spans="1:16" ht="17.25" customHeight="1" x14ac:dyDescent="0.25">
      <c r="A17" s="14">
        <f t="shared" si="1"/>
        <v>9</v>
      </c>
      <c r="B17" s="8">
        <v>45888</v>
      </c>
      <c r="C17" s="46"/>
      <c r="D17" s="214" t="s">
        <v>33</v>
      </c>
      <c r="E17" s="30"/>
      <c r="F17" s="27">
        <v>418</v>
      </c>
      <c r="G17" s="18">
        <f t="shared" si="0"/>
        <v>-2369</v>
      </c>
      <c r="H17" s="28"/>
      <c r="I17" s="7"/>
    </row>
    <row r="18" spans="1:16" s="221" customFormat="1" ht="17.25" customHeight="1" x14ac:dyDescent="0.25">
      <c r="A18" s="215">
        <f>+A17+1</f>
        <v>10</v>
      </c>
      <c r="B18" s="216">
        <v>45891</v>
      </c>
      <c r="C18" s="46"/>
      <c r="D18" s="214" t="s">
        <v>33</v>
      </c>
      <c r="E18" s="218"/>
      <c r="F18" s="219">
        <v>504</v>
      </c>
      <c r="G18" s="220">
        <f t="shared" si="0"/>
        <v>-2873</v>
      </c>
      <c r="H18" s="28"/>
      <c r="I18" s="7"/>
    </row>
    <row r="19" spans="1:16" s="221" customFormat="1" ht="17.25" customHeight="1" x14ac:dyDescent="0.25">
      <c r="A19" s="215">
        <f t="shared" si="1"/>
        <v>11</v>
      </c>
      <c r="B19" s="216">
        <v>45892</v>
      </c>
      <c r="C19" s="46"/>
      <c r="D19" s="214" t="s">
        <v>33</v>
      </c>
      <c r="E19" s="222"/>
      <c r="F19" s="219">
        <v>468</v>
      </c>
      <c r="G19" s="220">
        <f t="shared" si="0"/>
        <v>-3341</v>
      </c>
      <c r="H19" s="28"/>
      <c r="I19" s="7"/>
      <c r="N19" s="221">
        <f>430*10</f>
        <v>4300</v>
      </c>
    </row>
    <row r="20" spans="1:16" ht="17.25" customHeight="1" x14ac:dyDescent="0.25">
      <c r="A20" s="14">
        <f t="shared" si="1"/>
        <v>12</v>
      </c>
      <c r="B20" s="8" t="s">
        <v>432</v>
      </c>
      <c r="C20" s="46"/>
      <c r="D20" s="214" t="s">
        <v>33</v>
      </c>
      <c r="E20" s="32"/>
      <c r="F20" s="17">
        <v>492</v>
      </c>
      <c r="G20" s="18">
        <f t="shared" si="0"/>
        <v>-3833</v>
      </c>
      <c r="H20" s="28"/>
      <c r="I20" s="7"/>
      <c r="N20">
        <f>+N19*98</f>
        <v>421400</v>
      </c>
    </row>
    <row r="21" spans="1:16" ht="17.25" customHeight="1" x14ac:dyDescent="0.25">
      <c r="A21" s="14">
        <f t="shared" si="1"/>
        <v>13</v>
      </c>
      <c r="B21" s="8">
        <v>45895</v>
      </c>
      <c r="C21" s="46"/>
      <c r="D21" s="214" t="s">
        <v>33</v>
      </c>
      <c r="E21" s="32"/>
      <c r="F21" s="27">
        <v>177</v>
      </c>
      <c r="G21" s="18">
        <f t="shared" si="0"/>
        <v>-4010</v>
      </c>
      <c r="H21" s="28"/>
      <c r="I21" s="7"/>
      <c r="N21">
        <f>+N20/2842</f>
        <v>148.27586206896552</v>
      </c>
    </row>
    <row r="22" spans="1:16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-4010</v>
      </c>
      <c r="H22" s="28"/>
      <c r="I22" s="7"/>
      <c r="N22">
        <f>1180*88</f>
        <v>103840</v>
      </c>
      <c r="O22">
        <f>2880/88</f>
        <v>32.727272727272727</v>
      </c>
      <c r="P22">
        <f>32*88</f>
        <v>2816</v>
      </c>
    </row>
    <row r="23" spans="1:16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-4010</v>
      </c>
      <c r="H23" s="28"/>
      <c r="I23" s="7"/>
      <c r="N23">
        <f>+N22/2816</f>
        <v>36.875</v>
      </c>
    </row>
    <row r="24" spans="1:16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-4010</v>
      </c>
      <c r="H24" s="28"/>
      <c r="I24" s="7"/>
    </row>
    <row r="25" spans="1:16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-4010</v>
      </c>
      <c r="H25" s="28"/>
      <c r="I25" s="7"/>
    </row>
    <row r="26" spans="1:16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-4010</v>
      </c>
      <c r="H26" s="28"/>
      <c r="I26" s="7"/>
    </row>
    <row r="27" spans="1:16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-4010</v>
      </c>
      <c r="H27" s="28"/>
      <c r="I27" s="7"/>
    </row>
    <row r="28" spans="1:16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-4010</v>
      </c>
      <c r="H28" s="28"/>
      <c r="I28" s="7"/>
    </row>
    <row r="29" spans="1:16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-4010</v>
      </c>
      <c r="H29" s="28"/>
      <c r="I29" s="7"/>
    </row>
    <row r="30" spans="1:16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-4010</v>
      </c>
      <c r="H30" s="28"/>
      <c r="I30" s="7"/>
    </row>
    <row r="31" spans="1:16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-4010</v>
      </c>
      <c r="H31" s="28"/>
      <c r="I31" s="7"/>
    </row>
    <row r="32" spans="1:16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-4010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-4010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-4010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-4010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-4010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-4010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-4010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-4010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-4010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-4010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-4010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-4010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-4010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-4010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-4010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-4010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-4010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-4010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-4010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-4010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-4010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-4010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-4010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-4010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-4010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-4010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-4010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-4010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-4010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-4010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-4010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-4010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-4010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-4010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-4010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-4010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-4010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-4010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-4010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-4010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-4010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-4010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-4010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-4010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-4010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-4010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-4010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-4010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-4010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-4010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-4010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-4010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-4010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-4010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-4010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-4010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-4010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-4010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-4010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-4010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-4010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-4010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-4010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-4010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-4010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4010</v>
      </c>
      <c r="G97" s="35">
        <f>+E97-F97+G8</f>
        <v>-4010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69C5-15D4-4C11-B8DE-B7BA37EA4D0E}">
  <sheetPr codeName="Sheet134"/>
  <dimension ref="A1:Q108"/>
  <sheetViews>
    <sheetView zoomScaleNormal="100" workbookViewId="0">
      <selection activeCell="F27" sqref="F27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45751</v>
      </c>
      <c r="C9" s="46"/>
      <c r="D9" s="214" t="s">
        <v>33</v>
      </c>
      <c r="E9" s="11"/>
      <c r="F9" s="27">
        <v>140</v>
      </c>
      <c r="G9" s="18">
        <f t="shared" ref="G9:G72" si="0">+G8+E9-F9</f>
        <v>-140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45783</v>
      </c>
      <c r="C10" s="46"/>
      <c r="D10" s="214" t="s">
        <v>33</v>
      </c>
      <c r="E10" s="30"/>
      <c r="F10" s="27">
        <v>120</v>
      </c>
      <c r="G10" s="18">
        <f t="shared" si="0"/>
        <v>-260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45784</v>
      </c>
      <c r="C11" s="46"/>
      <c r="D11" s="214" t="s">
        <v>33</v>
      </c>
      <c r="E11" s="16"/>
      <c r="F11" s="27">
        <v>95</v>
      </c>
      <c r="G11" s="18">
        <f t="shared" si="0"/>
        <v>-355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45817</v>
      </c>
      <c r="C12" s="46"/>
      <c r="D12" s="214" t="s">
        <v>33</v>
      </c>
      <c r="E12" s="16"/>
      <c r="F12" s="125">
        <v>56</v>
      </c>
      <c r="G12" s="18">
        <f t="shared" si="0"/>
        <v>-411</v>
      </c>
      <c r="H12" s="28"/>
      <c r="I12" s="7"/>
    </row>
    <row r="13" spans="1:10" ht="17.25" customHeight="1" x14ac:dyDescent="0.25">
      <c r="A13" s="14">
        <f t="shared" si="1"/>
        <v>5</v>
      </c>
      <c r="B13" s="205">
        <v>45818</v>
      </c>
      <c r="C13" s="46"/>
      <c r="D13" s="214" t="s">
        <v>33</v>
      </c>
      <c r="E13" s="16"/>
      <c r="F13" s="125">
        <v>96</v>
      </c>
      <c r="G13" s="18">
        <f t="shared" si="0"/>
        <v>-507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>
        <v>45820</v>
      </c>
      <c r="C14" s="46"/>
      <c r="D14" s="214" t="s">
        <v>33</v>
      </c>
      <c r="E14" s="16"/>
      <c r="F14" s="118">
        <v>104</v>
      </c>
      <c r="G14" s="18">
        <f t="shared" si="0"/>
        <v>-611</v>
      </c>
      <c r="H14" s="28"/>
      <c r="I14" s="7"/>
    </row>
    <row r="15" spans="1:10" ht="17.25" customHeight="1" x14ac:dyDescent="0.25">
      <c r="A15" s="14">
        <f t="shared" si="1"/>
        <v>7</v>
      </c>
      <c r="B15" s="8">
        <v>45821</v>
      </c>
      <c r="C15" s="46"/>
      <c r="D15" s="214" t="s">
        <v>33</v>
      </c>
      <c r="E15" s="16"/>
      <c r="F15" s="118">
        <v>48</v>
      </c>
      <c r="G15" s="18">
        <f t="shared" si="0"/>
        <v>-659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>
        <v>45829</v>
      </c>
      <c r="C16" s="46"/>
      <c r="D16" s="214" t="s">
        <v>33</v>
      </c>
      <c r="E16" s="16"/>
      <c r="F16" s="27">
        <v>89</v>
      </c>
      <c r="G16" s="18">
        <f t="shared" si="0"/>
        <v>-748</v>
      </c>
      <c r="H16" s="28"/>
      <c r="I16" s="7"/>
    </row>
    <row r="17" spans="1:9" ht="17.25" customHeight="1" x14ac:dyDescent="0.25">
      <c r="A17" s="14">
        <f t="shared" si="1"/>
        <v>9</v>
      </c>
      <c r="B17" s="8">
        <v>45836</v>
      </c>
      <c r="C17" s="46"/>
      <c r="D17" s="214" t="s">
        <v>33</v>
      </c>
      <c r="E17" s="30"/>
      <c r="F17" s="27">
        <v>37</v>
      </c>
      <c r="G17" s="18">
        <f t="shared" si="0"/>
        <v>-785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>
        <v>45842</v>
      </c>
      <c r="C18" s="46"/>
      <c r="D18" s="214" t="s">
        <v>33</v>
      </c>
      <c r="E18" s="218"/>
      <c r="F18" s="219">
        <v>88</v>
      </c>
      <c r="G18" s="220">
        <f t="shared" si="0"/>
        <v>-873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>
        <v>45843</v>
      </c>
      <c r="C19" s="46"/>
      <c r="D19" s="214" t="s">
        <v>33</v>
      </c>
      <c r="E19" s="222"/>
      <c r="F19" s="219">
        <v>12</v>
      </c>
      <c r="G19" s="220">
        <f t="shared" si="0"/>
        <v>-885</v>
      </c>
      <c r="H19" s="28"/>
      <c r="I19" s="7"/>
    </row>
    <row r="20" spans="1:9" ht="17.25" customHeight="1" x14ac:dyDescent="0.25">
      <c r="A20" s="14">
        <f t="shared" si="1"/>
        <v>12</v>
      </c>
      <c r="B20" s="8">
        <v>45898</v>
      </c>
      <c r="C20" s="46"/>
      <c r="D20" s="214" t="s">
        <v>33</v>
      </c>
      <c r="E20" s="32"/>
      <c r="F20" s="17">
        <v>144</v>
      </c>
      <c r="G20" s="18">
        <f t="shared" si="0"/>
        <v>-1029</v>
      </c>
      <c r="H20" s="28"/>
      <c r="I20" s="7"/>
    </row>
    <row r="21" spans="1:9" ht="17.25" customHeight="1" x14ac:dyDescent="0.25">
      <c r="A21" s="14">
        <f t="shared" si="1"/>
        <v>13</v>
      </c>
      <c r="B21" s="8">
        <v>45924</v>
      </c>
      <c r="C21" s="46"/>
      <c r="D21" s="214" t="s">
        <v>33</v>
      </c>
      <c r="E21" s="32"/>
      <c r="F21" s="27">
        <v>60</v>
      </c>
      <c r="G21" s="18">
        <f t="shared" si="0"/>
        <v>-1089</v>
      </c>
      <c r="H21" s="28"/>
      <c r="I21" s="7"/>
    </row>
    <row r="22" spans="1:9" ht="17.25" customHeight="1" x14ac:dyDescent="0.25">
      <c r="A22" s="14">
        <f t="shared" si="1"/>
        <v>14</v>
      </c>
      <c r="B22" s="8">
        <v>45925</v>
      </c>
      <c r="C22" s="46"/>
      <c r="D22" s="214" t="s">
        <v>33</v>
      </c>
      <c r="E22" s="32"/>
      <c r="F22" s="17">
        <v>154</v>
      </c>
      <c r="G22" s="18">
        <f t="shared" si="0"/>
        <v>-1243</v>
      </c>
      <c r="H22" s="28"/>
      <c r="I22" s="7"/>
    </row>
    <row r="23" spans="1:9" ht="17.25" customHeight="1" x14ac:dyDescent="0.25">
      <c r="A23" s="14">
        <f t="shared" si="1"/>
        <v>15</v>
      </c>
      <c r="B23" s="8">
        <v>45926</v>
      </c>
      <c r="C23" s="46"/>
      <c r="D23" s="214" t="s">
        <v>33</v>
      </c>
      <c r="E23" s="32"/>
      <c r="F23" s="17">
        <v>96</v>
      </c>
      <c r="G23" s="18">
        <f t="shared" si="0"/>
        <v>-1339</v>
      </c>
      <c r="H23" s="28"/>
      <c r="I23" s="7"/>
    </row>
    <row r="24" spans="1:9" ht="17.25" customHeight="1" x14ac:dyDescent="0.25">
      <c r="A24" s="14">
        <f t="shared" si="1"/>
        <v>16</v>
      </c>
      <c r="B24" s="8">
        <v>45927</v>
      </c>
      <c r="C24" s="46"/>
      <c r="D24" s="214" t="s">
        <v>33</v>
      </c>
      <c r="E24" s="32"/>
      <c r="F24" s="17">
        <v>36</v>
      </c>
      <c r="G24" s="18">
        <f t="shared" si="0"/>
        <v>-1375</v>
      </c>
      <c r="H24" s="28"/>
      <c r="I24" s="7"/>
    </row>
    <row r="25" spans="1:9" ht="17.25" customHeight="1" x14ac:dyDescent="0.25">
      <c r="A25" s="14">
        <f t="shared" si="1"/>
        <v>17</v>
      </c>
      <c r="B25" s="8">
        <v>45929</v>
      </c>
      <c r="C25" s="46"/>
      <c r="D25" s="214" t="s">
        <v>33</v>
      </c>
      <c r="E25" s="32"/>
      <c r="F25" s="17">
        <v>96</v>
      </c>
      <c r="G25" s="18">
        <f t="shared" si="0"/>
        <v>-1471</v>
      </c>
      <c r="H25" s="28"/>
      <c r="I25" s="7"/>
    </row>
    <row r="26" spans="1:9" ht="17.25" customHeight="1" x14ac:dyDescent="0.25">
      <c r="A26" s="14">
        <f t="shared" si="1"/>
        <v>18</v>
      </c>
      <c r="B26" s="8">
        <v>45930</v>
      </c>
      <c r="C26" s="46"/>
      <c r="D26" s="214" t="s">
        <v>33</v>
      </c>
      <c r="E26" s="32"/>
      <c r="F26" s="17">
        <v>96</v>
      </c>
      <c r="G26" s="18">
        <f t="shared" si="0"/>
        <v>-1567</v>
      </c>
      <c r="H26" s="28"/>
      <c r="I26" s="7"/>
    </row>
    <row r="27" spans="1:9" ht="17.25" customHeight="1" x14ac:dyDescent="0.25">
      <c r="A27" s="14">
        <f t="shared" si="1"/>
        <v>19</v>
      </c>
      <c r="B27" s="8">
        <v>45931</v>
      </c>
      <c r="C27" s="46"/>
      <c r="D27" s="214" t="s">
        <v>33</v>
      </c>
      <c r="E27" s="32"/>
      <c r="F27" s="17">
        <v>48</v>
      </c>
      <c r="G27" s="18">
        <f t="shared" si="0"/>
        <v>-1615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-1615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-1615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-1615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-1615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-1615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-1615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-1615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-1615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-1615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-1615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-1615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-1615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-1615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-1615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-1615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-1615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-1615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-1615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-1615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-1615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-1615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-1615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-1615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-1615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-1615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-1615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-1615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-1615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-1615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-1615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-1615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-1615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-1615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-1615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-1615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-1615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-1615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-1615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-1615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-1615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-1615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-1615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-1615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-1615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-1615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-1615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-1615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-1615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-1615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-1615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-1615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-1615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-1615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-1615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-1615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-1615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-1615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-1615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-1615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-1615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-1615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-1615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-1615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-1615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-1615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-1615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-1615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-1615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-1615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1615</v>
      </c>
      <c r="G97" s="35">
        <f>+E97-F97+G8</f>
        <v>-1615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2F04-C015-4994-89F6-33C6D833932B}">
  <sheetPr codeName="Sheet135"/>
  <dimension ref="A1:Q108"/>
  <sheetViews>
    <sheetView zoomScaleNormal="100" workbookViewId="0">
      <selection activeCell="F10" sqref="F10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45835</v>
      </c>
      <c r="C9" s="46"/>
      <c r="D9" s="214" t="s">
        <v>33</v>
      </c>
      <c r="E9" s="11"/>
      <c r="F9" s="27">
        <v>120</v>
      </c>
      <c r="G9" s="18">
        <f t="shared" ref="G9:G72" si="0">+G8+E9-F9</f>
        <v>-120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45836</v>
      </c>
      <c r="C10" s="46"/>
      <c r="D10" s="214" t="s">
        <v>33</v>
      </c>
      <c r="E10" s="30"/>
      <c r="F10" s="27">
        <v>216</v>
      </c>
      <c r="G10" s="18">
        <f t="shared" si="0"/>
        <v>-336</v>
      </c>
      <c r="H10" s="28"/>
      <c r="I10" s="7"/>
    </row>
    <row r="11" spans="1:10" ht="17.25" customHeight="1" x14ac:dyDescent="0.25">
      <c r="A11" s="14">
        <f t="shared" si="1"/>
        <v>3</v>
      </c>
      <c r="B11" s="8"/>
      <c r="C11" s="46"/>
      <c r="D11" s="214" t="s">
        <v>33</v>
      </c>
      <c r="E11" s="16"/>
      <c r="F11" s="27"/>
      <c r="G11" s="18">
        <f t="shared" si="0"/>
        <v>-336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/>
      <c r="C12" s="46"/>
      <c r="D12" s="214" t="s">
        <v>33</v>
      </c>
      <c r="E12" s="16"/>
      <c r="F12" s="125"/>
      <c r="G12" s="18">
        <f t="shared" si="0"/>
        <v>-336</v>
      </c>
      <c r="H12" s="28"/>
      <c r="I12" s="7"/>
    </row>
    <row r="13" spans="1:10" ht="17.25" customHeight="1" x14ac:dyDescent="0.25">
      <c r="A13" s="14">
        <f t="shared" si="1"/>
        <v>5</v>
      </c>
      <c r="B13" s="205"/>
      <c r="C13" s="46"/>
      <c r="D13" s="214" t="s">
        <v>33</v>
      </c>
      <c r="E13" s="16"/>
      <c r="F13" s="125"/>
      <c r="G13" s="18">
        <f t="shared" si="0"/>
        <v>-336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/>
      <c r="C14" s="46"/>
      <c r="D14" s="214" t="s">
        <v>33</v>
      </c>
      <c r="E14" s="16"/>
      <c r="F14" s="118"/>
      <c r="G14" s="18">
        <f t="shared" si="0"/>
        <v>-336</v>
      </c>
      <c r="H14" s="28"/>
      <c r="I14" s="7"/>
    </row>
    <row r="15" spans="1:10" ht="17.25" customHeight="1" x14ac:dyDescent="0.25">
      <c r="A15" s="14">
        <f t="shared" si="1"/>
        <v>7</v>
      </c>
      <c r="B15" s="8"/>
      <c r="C15" s="46"/>
      <c r="D15" s="214" t="s">
        <v>33</v>
      </c>
      <c r="E15" s="16"/>
      <c r="F15" s="118"/>
      <c r="G15" s="18">
        <f t="shared" si="0"/>
        <v>-336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/>
      <c r="C16" s="46"/>
      <c r="D16" s="214" t="s">
        <v>33</v>
      </c>
      <c r="E16" s="16"/>
      <c r="F16" s="27"/>
      <c r="G16" s="18">
        <f t="shared" si="0"/>
        <v>-336</v>
      </c>
      <c r="H16" s="28"/>
      <c r="I16" s="7"/>
    </row>
    <row r="17" spans="1:9" ht="17.25" customHeight="1" x14ac:dyDescent="0.25">
      <c r="A17" s="14">
        <f t="shared" si="1"/>
        <v>9</v>
      </c>
      <c r="B17" s="8"/>
      <c r="C17" s="46"/>
      <c r="D17" s="214" t="s">
        <v>33</v>
      </c>
      <c r="E17" s="30"/>
      <c r="F17" s="27"/>
      <c r="G17" s="18">
        <f t="shared" si="0"/>
        <v>-336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-336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-336</v>
      </c>
      <c r="H19" s="28"/>
      <c r="I19" s="7"/>
    </row>
    <row r="20" spans="1:9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-336</v>
      </c>
      <c r="H20" s="28"/>
      <c r="I20" s="7"/>
    </row>
    <row r="21" spans="1:9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-336</v>
      </c>
      <c r="H21" s="28"/>
      <c r="I21" s="7"/>
    </row>
    <row r="22" spans="1:9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-336</v>
      </c>
      <c r="H22" s="28"/>
      <c r="I22" s="7"/>
    </row>
    <row r="23" spans="1:9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-336</v>
      </c>
      <c r="H23" s="28"/>
      <c r="I23" s="7"/>
    </row>
    <row r="24" spans="1:9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-336</v>
      </c>
      <c r="H24" s="28"/>
      <c r="I24" s="7"/>
    </row>
    <row r="25" spans="1:9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-336</v>
      </c>
      <c r="H25" s="28"/>
      <c r="I25" s="7"/>
    </row>
    <row r="26" spans="1:9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-336</v>
      </c>
      <c r="H26" s="28"/>
      <c r="I26" s="7"/>
    </row>
    <row r="27" spans="1:9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-336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-336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-336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-336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-336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-336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-336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-336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-336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-336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-336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-336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-336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-336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-336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-336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-336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-336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-336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-336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-336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-336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-336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-336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-336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-336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-336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-336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-336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-336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-336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-336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-336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-336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-336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-336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-336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-336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-336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-336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-336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-336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-336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-336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-336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-336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-336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-336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-336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-336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-336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-336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-336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-336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-336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-336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-336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-336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-336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-336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-336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-336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-336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-336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-336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-336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-336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-336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-336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-336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336</v>
      </c>
      <c r="G97" s="35">
        <f>+E97-F97+G8</f>
        <v>-336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AA15-5958-4365-A57C-A14ED46F2683}">
  <sheetPr codeName="Sheet136"/>
  <dimension ref="A1:Q108"/>
  <sheetViews>
    <sheetView zoomScaleNormal="100" workbookViewId="0">
      <selection activeCell="D29" sqref="D29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45849</v>
      </c>
      <c r="C9" s="46" t="s">
        <v>417</v>
      </c>
      <c r="D9" s="214" t="s">
        <v>33</v>
      </c>
      <c r="E9" s="11"/>
      <c r="F9" s="27">
        <v>180</v>
      </c>
      <c r="G9" s="18">
        <f t="shared" ref="G9:G72" si="0">+G8+E9-F9</f>
        <v>-180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45850</v>
      </c>
      <c r="C10" s="46"/>
      <c r="D10" s="214" t="s">
        <v>33</v>
      </c>
      <c r="E10" s="30"/>
      <c r="F10" s="27">
        <v>707</v>
      </c>
      <c r="G10" s="18">
        <f t="shared" si="0"/>
        <v>-887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45852</v>
      </c>
      <c r="C11" s="46"/>
      <c r="D11" s="214" t="s">
        <v>33</v>
      </c>
      <c r="E11" s="16"/>
      <c r="F11" s="27">
        <v>715</v>
      </c>
      <c r="G11" s="18">
        <f t="shared" si="0"/>
        <v>-1602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45853</v>
      </c>
      <c r="C12" s="46"/>
      <c r="D12" s="214" t="s">
        <v>33</v>
      </c>
      <c r="E12" s="16"/>
      <c r="F12" s="125">
        <v>198</v>
      </c>
      <c r="G12" s="18">
        <f t="shared" si="0"/>
        <v>-1800</v>
      </c>
      <c r="H12" s="28"/>
      <c r="I12" s="7"/>
    </row>
    <row r="13" spans="1:10" ht="17.25" customHeight="1" x14ac:dyDescent="0.25">
      <c r="A13" s="14">
        <f t="shared" si="1"/>
        <v>5</v>
      </c>
      <c r="B13" s="205"/>
      <c r="C13" s="46"/>
      <c r="D13" s="214" t="s">
        <v>33</v>
      </c>
      <c r="E13" s="16"/>
      <c r="F13" s="125"/>
      <c r="G13" s="18">
        <f t="shared" si="0"/>
        <v>-1800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/>
      <c r="C14" s="46"/>
      <c r="D14" s="214" t="s">
        <v>33</v>
      </c>
      <c r="E14" s="16"/>
      <c r="F14" s="118"/>
      <c r="G14" s="18">
        <f t="shared" si="0"/>
        <v>-1800</v>
      </c>
      <c r="H14" s="28"/>
      <c r="I14" s="7"/>
    </row>
    <row r="15" spans="1:10" ht="17.25" customHeight="1" x14ac:dyDescent="0.25">
      <c r="A15" s="14">
        <f t="shared" si="1"/>
        <v>7</v>
      </c>
      <c r="B15" s="8"/>
      <c r="C15" s="46"/>
      <c r="D15" s="214" t="s">
        <v>33</v>
      </c>
      <c r="E15" s="16"/>
      <c r="F15" s="118"/>
      <c r="G15" s="18">
        <f t="shared" si="0"/>
        <v>-1800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/>
      <c r="C16" s="46"/>
      <c r="D16" s="214" t="s">
        <v>33</v>
      </c>
      <c r="E16" s="16"/>
      <c r="F16" s="27"/>
      <c r="G16" s="18">
        <f t="shared" si="0"/>
        <v>-1800</v>
      </c>
      <c r="H16" s="28"/>
      <c r="I16" s="7"/>
    </row>
    <row r="17" spans="1:9" ht="17.25" customHeight="1" x14ac:dyDescent="0.25">
      <c r="A17" s="14">
        <f t="shared" si="1"/>
        <v>9</v>
      </c>
      <c r="B17" s="8"/>
      <c r="C17" s="46"/>
      <c r="D17" s="214" t="s">
        <v>33</v>
      </c>
      <c r="E17" s="30"/>
      <c r="F17" s="27"/>
      <c r="G17" s="18">
        <f t="shared" si="0"/>
        <v>-1800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-1800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-1800</v>
      </c>
      <c r="H19" s="28"/>
      <c r="I19" s="7"/>
    </row>
    <row r="20" spans="1:9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-1800</v>
      </c>
      <c r="H20" s="28"/>
      <c r="I20" s="7"/>
    </row>
    <row r="21" spans="1:9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-1800</v>
      </c>
      <c r="H21" s="28"/>
      <c r="I21" s="7"/>
    </row>
    <row r="22" spans="1:9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-1800</v>
      </c>
      <c r="H22" s="28"/>
      <c r="I22" s="7"/>
    </row>
    <row r="23" spans="1:9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-1800</v>
      </c>
      <c r="H23" s="28"/>
      <c r="I23" s="7"/>
    </row>
    <row r="24" spans="1:9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-1800</v>
      </c>
      <c r="H24" s="28"/>
      <c r="I24" s="7"/>
    </row>
    <row r="25" spans="1:9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-1800</v>
      </c>
      <c r="H25" s="28"/>
      <c r="I25" s="7"/>
    </row>
    <row r="26" spans="1:9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-1800</v>
      </c>
      <c r="H26" s="28"/>
      <c r="I26" s="7"/>
    </row>
    <row r="27" spans="1:9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-1800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-1800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-1800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-1800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-1800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-1800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-1800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-1800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-1800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-1800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-1800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-1800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-1800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-1800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-1800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-1800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-1800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-1800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-1800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-1800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-1800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-1800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-1800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-1800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-1800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-1800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-1800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-1800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-1800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-1800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-1800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-1800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-1800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-1800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-1800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-1800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-1800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-1800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-1800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-1800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-1800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-1800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-1800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-1800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-1800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-1800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-1800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-1800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-1800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-1800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-1800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-1800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-1800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-1800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-1800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-1800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-1800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-1800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-1800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-1800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-1800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-1800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-1800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-1800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-1800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-1800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-1800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-1800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-1800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-1800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1800</v>
      </c>
      <c r="G97" s="35">
        <f>+E97-F97+G8</f>
        <v>-1800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98BA-45CA-41E8-85BD-A8C7EAF8EC5E}">
  <sheetPr codeName="Sheet137"/>
  <dimension ref="A1:Q108"/>
  <sheetViews>
    <sheetView zoomScaleNormal="100" workbookViewId="0">
      <selection activeCell="F14" sqref="F14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45849</v>
      </c>
      <c r="C9" s="46" t="s">
        <v>418</v>
      </c>
      <c r="D9" s="214" t="s">
        <v>33</v>
      </c>
      <c r="E9" s="11"/>
      <c r="F9" s="27">
        <v>354</v>
      </c>
      <c r="G9" s="18">
        <f t="shared" ref="G9:G72" si="0">+G8+E9-F9</f>
        <v>-354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>
        <v>45853</v>
      </c>
      <c r="C10" s="46"/>
      <c r="D10" s="214" t="s">
        <v>33</v>
      </c>
      <c r="E10" s="30"/>
      <c r="F10" s="27">
        <v>684</v>
      </c>
      <c r="G10" s="18">
        <f t="shared" si="0"/>
        <v>-1038</v>
      </c>
      <c r="H10" s="28"/>
      <c r="I10" s="7"/>
    </row>
    <row r="11" spans="1:10" ht="17.25" customHeight="1" x14ac:dyDescent="0.25">
      <c r="A11" s="14">
        <f t="shared" si="1"/>
        <v>3</v>
      </c>
      <c r="B11" s="8">
        <v>45854</v>
      </c>
      <c r="C11" s="46"/>
      <c r="D11" s="214" t="s">
        <v>33</v>
      </c>
      <c r="E11" s="16"/>
      <c r="F11" s="27">
        <v>1044</v>
      </c>
      <c r="G11" s="18">
        <f t="shared" si="0"/>
        <v>-2082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>
        <v>45855</v>
      </c>
      <c r="C12" s="46"/>
      <c r="D12" s="214" t="s">
        <v>33</v>
      </c>
      <c r="E12" s="16"/>
      <c r="F12" s="125">
        <v>1008</v>
      </c>
      <c r="G12" s="18">
        <f t="shared" si="0"/>
        <v>-3090</v>
      </c>
      <c r="H12" s="28"/>
      <c r="I12" s="7"/>
    </row>
    <row r="13" spans="1:10" ht="17.25" customHeight="1" x14ac:dyDescent="0.25">
      <c r="A13" s="14">
        <f t="shared" si="1"/>
        <v>5</v>
      </c>
      <c r="B13" s="205">
        <v>45856</v>
      </c>
      <c r="C13" s="46"/>
      <c r="D13" s="214" t="s">
        <v>33</v>
      </c>
      <c r="E13" s="16"/>
      <c r="F13" s="125">
        <v>510</v>
      </c>
      <c r="G13" s="18">
        <f t="shared" si="0"/>
        <v>-3600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/>
      <c r="C14" s="46"/>
      <c r="D14" s="214" t="s">
        <v>33</v>
      </c>
      <c r="E14" s="16"/>
      <c r="F14" s="118"/>
      <c r="G14" s="18">
        <f t="shared" si="0"/>
        <v>-3600</v>
      </c>
      <c r="H14" s="28"/>
      <c r="I14" s="7"/>
    </row>
    <row r="15" spans="1:10" ht="17.25" customHeight="1" x14ac:dyDescent="0.25">
      <c r="A15" s="14">
        <f t="shared" si="1"/>
        <v>7</v>
      </c>
      <c r="B15" s="8"/>
      <c r="C15" s="46"/>
      <c r="D15" s="214" t="s">
        <v>33</v>
      </c>
      <c r="E15" s="16"/>
      <c r="F15" s="118"/>
      <c r="G15" s="18">
        <f t="shared" si="0"/>
        <v>-3600</v>
      </c>
      <c r="H15" s="28"/>
      <c r="I15" s="7"/>
      <c r="J15" s="26"/>
    </row>
    <row r="16" spans="1:10" ht="17.25" customHeight="1" x14ac:dyDescent="0.25">
      <c r="A16" s="14">
        <f t="shared" si="1"/>
        <v>8</v>
      </c>
      <c r="B16" s="8"/>
      <c r="C16" s="46"/>
      <c r="D16" s="214" t="s">
        <v>33</v>
      </c>
      <c r="E16" s="16"/>
      <c r="F16" s="27"/>
      <c r="G16" s="18">
        <f t="shared" si="0"/>
        <v>-3600</v>
      </c>
      <c r="H16" s="28"/>
      <c r="I16" s="7"/>
    </row>
    <row r="17" spans="1:9" ht="17.25" customHeight="1" x14ac:dyDescent="0.25">
      <c r="A17" s="14">
        <f t="shared" si="1"/>
        <v>9</v>
      </c>
      <c r="B17" s="8"/>
      <c r="C17" s="46"/>
      <c r="D17" s="214" t="s">
        <v>33</v>
      </c>
      <c r="E17" s="30"/>
      <c r="F17" s="27"/>
      <c r="G17" s="18">
        <f t="shared" si="0"/>
        <v>-3600</v>
      </c>
      <c r="H17" s="28"/>
      <c r="I17" s="7"/>
    </row>
    <row r="18" spans="1:9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-3600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-3600</v>
      </c>
      <c r="H19" s="28"/>
      <c r="I19" s="7"/>
    </row>
    <row r="20" spans="1:9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-3600</v>
      </c>
      <c r="H20" s="28"/>
      <c r="I20" s="7"/>
    </row>
    <row r="21" spans="1:9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-3600</v>
      </c>
      <c r="H21" s="28"/>
      <c r="I21" s="7"/>
    </row>
    <row r="22" spans="1:9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-3600</v>
      </c>
      <c r="H22" s="28"/>
      <c r="I22" s="7"/>
    </row>
    <row r="23" spans="1:9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/>
      <c r="G23" s="18">
        <f t="shared" si="0"/>
        <v>-3600</v>
      </c>
      <c r="H23" s="28"/>
      <c r="I23" s="7"/>
    </row>
    <row r="24" spans="1:9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/>
      <c r="G24" s="18">
        <f t="shared" si="0"/>
        <v>-3600</v>
      </c>
      <c r="H24" s="28"/>
      <c r="I24" s="7"/>
    </row>
    <row r="25" spans="1:9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/>
      <c r="G25" s="18">
        <f t="shared" si="0"/>
        <v>-3600</v>
      </c>
      <c r="H25" s="28"/>
      <c r="I25" s="7"/>
    </row>
    <row r="26" spans="1:9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-3600</v>
      </c>
      <c r="H26" s="28"/>
      <c r="I26" s="7"/>
    </row>
    <row r="27" spans="1:9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-3600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-3600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-3600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-3600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-3600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-3600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-3600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-3600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-3600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-3600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-3600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-3600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-3600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-3600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-3600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-3600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-3600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-3600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-3600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-3600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-3600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-3600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-3600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-3600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-3600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-3600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-3600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-3600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-3600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-3600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-3600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-3600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-3600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-3600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-3600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-3600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-3600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-3600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-3600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-3600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-3600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-3600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-3600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-3600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-3600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-3600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-3600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-3600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-3600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-3600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-3600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-3600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-3600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-3600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-3600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-3600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-3600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-3600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-3600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-3600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-3600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-3600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-3600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-3600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-3600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-3600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-3600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-3600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-3600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-3600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0</v>
      </c>
      <c r="F97" s="35">
        <f>SUM(F8:F96)</f>
        <v>3600</v>
      </c>
      <c r="G97" s="35">
        <f>+E97-F97+G8</f>
        <v>-3600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5D40-8F83-440E-991C-F45E84C7A383}">
  <sheetPr codeName="Sheet138"/>
  <dimension ref="A1:Q108"/>
  <sheetViews>
    <sheetView topLeftCell="A9" zoomScaleNormal="100" workbookViewId="0">
      <selection activeCell="F26" sqref="F26"/>
    </sheetView>
  </sheetViews>
  <sheetFormatPr defaultRowHeight="15" x14ac:dyDescent="0.25"/>
  <cols>
    <col min="1" max="1" width="6" customWidth="1"/>
    <col min="2" max="2" width="11.5703125" customWidth="1"/>
    <col min="3" max="3" width="26.140625" customWidth="1"/>
    <col min="4" max="4" width="6.5703125" customWidth="1"/>
    <col min="5" max="5" width="12.28515625" customWidth="1"/>
    <col min="6" max="6" width="12" customWidth="1"/>
    <col min="7" max="7" width="11.7109375" customWidth="1"/>
    <col min="8" max="8" width="19.5703125" customWidth="1"/>
    <col min="9" max="9" width="14.85546875" customWidth="1"/>
    <col min="12" max="12" width="11.28515625" bestFit="1" customWidth="1"/>
    <col min="17" max="17" width="11.7109375" bestFit="1" customWidth="1"/>
    <col min="257" max="257" width="6" customWidth="1"/>
    <col min="258" max="258" width="11.5703125" customWidth="1"/>
    <col min="259" max="259" width="42.7109375" customWidth="1"/>
    <col min="260" max="260" width="6.5703125" customWidth="1"/>
    <col min="261" max="261" width="12.28515625" customWidth="1"/>
    <col min="262" max="262" width="12" customWidth="1"/>
    <col min="263" max="263" width="11.7109375" customWidth="1"/>
    <col min="264" max="264" width="14.28515625" customWidth="1"/>
    <col min="265" max="265" width="14.85546875" customWidth="1"/>
    <col min="268" max="268" width="11.28515625" bestFit="1" customWidth="1"/>
    <col min="273" max="273" width="11.7109375" bestFit="1" customWidth="1"/>
    <col min="513" max="513" width="6" customWidth="1"/>
    <col min="514" max="514" width="11.5703125" customWidth="1"/>
    <col min="515" max="515" width="42.7109375" customWidth="1"/>
    <col min="516" max="516" width="6.5703125" customWidth="1"/>
    <col min="517" max="517" width="12.28515625" customWidth="1"/>
    <col min="518" max="518" width="12" customWidth="1"/>
    <col min="519" max="519" width="11.7109375" customWidth="1"/>
    <col min="520" max="520" width="14.28515625" customWidth="1"/>
    <col min="521" max="521" width="14.85546875" customWidth="1"/>
    <col min="524" max="524" width="11.28515625" bestFit="1" customWidth="1"/>
    <col min="529" max="529" width="11.7109375" bestFit="1" customWidth="1"/>
    <col min="769" max="769" width="6" customWidth="1"/>
    <col min="770" max="770" width="11.5703125" customWidth="1"/>
    <col min="771" max="771" width="42.7109375" customWidth="1"/>
    <col min="772" max="772" width="6.5703125" customWidth="1"/>
    <col min="773" max="773" width="12.28515625" customWidth="1"/>
    <col min="774" max="774" width="12" customWidth="1"/>
    <col min="775" max="775" width="11.7109375" customWidth="1"/>
    <col min="776" max="776" width="14.28515625" customWidth="1"/>
    <col min="777" max="777" width="14.85546875" customWidth="1"/>
    <col min="780" max="780" width="11.28515625" bestFit="1" customWidth="1"/>
    <col min="785" max="785" width="11.7109375" bestFit="1" customWidth="1"/>
    <col min="1025" max="1025" width="6" customWidth="1"/>
    <col min="1026" max="1026" width="11.5703125" customWidth="1"/>
    <col min="1027" max="1027" width="42.7109375" customWidth="1"/>
    <col min="1028" max="1028" width="6.5703125" customWidth="1"/>
    <col min="1029" max="1029" width="12.28515625" customWidth="1"/>
    <col min="1030" max="1030" width="12" customWidth="1"/>
    <col min="1031" max="1031" width="11.7109375" customWidth="1"/>
    <col min="1032" max="1032" width="14.28515625" customWidth="1"/>
    <col min="1033" max="1033" width="14.85546875" customWidth="1"/>
    <col min="1036" max="1036" width="11.28515625" bestFit="1" customWidth="1"/>
    <col min="1041" max="1041" width="11.7109375" bestFit="1" customWidth="1"/>
    <col min="1281" max="1281" width="6" customWidth="1"/>
    <col min="1282" max="1282" width="11.5703125" customWidth="1"/>
    <col min="1283" max="1283" width="42.7109375" customWidth="1"/>
    <col min="1284" max="1284" width="6.5703125" customWidth="1"/>
    <col min="1285" max="1285" width="12.28515625" customWidth="1"/>
    <col min="1286" max="1286" width="12" customWidth="1"/>
    <col min="1287" max="1287" width="11.7109375" customWidth="1"/>
    <col min="1288" max="1288" width="14.28515625" customWidth="1"/>
    <col min="1289" max="1289" width="14.85546875" customWidth="1"/>
    <col min="1292" max="1292" width="11.28515625" bestFit="1" customWidth="1"/>
    <col min="1297" max="1297" width="11.7109375" bestFit="1" customWidth="1"/>
    <col min="1537" max="1537" width="6" customWidth="1"/>
    <col min="1538" max="1538" width="11.5703125" customWidth="1"/>
    <col min="1539" max="1539" width="42.7109375" customWidth="1"/>
    <col min="1540" max="1540" width="6.5703125" customWidth="1"/>
    <col min="1541" max="1541" width="12.28515625" customWidth="1"/>
    <col min="1542" max="1542" width="12" customWidth="1"/>
    <col min="1543" max="1543" width="11.7109375" customWidth="1"/>
    <col min="1544" max="1544" width="14.28515625" customWidth="1"/>
    <col min="1545" max="1545" width="14.85546875" customWidth="1"/>
    <col min="1548" max="1548" width="11.28515625" bestFit="1" customWidth="1"/>
    <col min="1553" max="1553" width="11.7109375" bestFit="1" customWidth="1"/>
    <col min="1793" max="1793" width="6" customWidth="1"/>
    <col min="1794" max="1794" width="11.5703125" customWidth="1"/>
    <col min="1795" max="1795" width="42.7109375" customWidth="1"/>
    <col min="1796" max="1796" width="6.5703125" customWidth="1"/>
    <col min="1797" max="1797" width="12.28515625" customWidth="1"/>
    <col min="1798" max="1798" width="12" customWidth="1"/>
    <col min="1799" max="1799" width="11.7109375" customWidth="1"/>
    <col min="1800" max="1800" width="14.28515625" customWidth="1"/>
    <col min="1801" max="1801" width="14.85546875" customWidth="1"/>
    <col min="1804" max="1804" width="11.28515625" bestFit="1" customWidth="1"/>
    <col min="1809" max="1809" width="11.7109375" bestFit="1" customWidth="1"/>
    <col min="2049" max="2049" width="6" customWidth="1"/>
    <col min="2050" max="2050" width="11.5703125" customWidth="1"/>
    <col min="2051" max="2051" width="42.7109375" customWidth="1"/>
    <col min="2052" max="2052" width="6.5703125" customWidth="1"/>
    <col min="2053" max="2053" width="12.28515625" customWidth="1"/>
    <col min="2054" max="2054" width="12" customWidth="1"/>
    <col min="2055" max="2055" width="11.7109375" customWidth="1"/>
    <col min="2056" max="2056" width="14.28515625" customWidth="1"/>
    <col min="2057" max="2057" width="14.85546875" customWidth="1"/>
    <col min="2060" max="2060" width="11.28515625" bestFit="1" customWidth="1"/>
    <col min="2065" max="2065" width="11.7109375" bestFit="1" customWidth="1"/>
    <col min="2305" max="2305" width="6" customWidth="1"/>
    <col min="2306" max="2306" width="11.5703125" customWidth="1"/>
    <col min="2307" max="2307" width="42.7109375" customWidth="1"/>
    <col min="2308" max="2308" width="6.5703125" customWidth="1"/>
    <col min="2309" max="2309" width="12.28515625" customWidth="1"/>
    <col min="2310" max="2310" width="12" customWidth="1"/>
    <col min="2311" max="2311" width="11.7109375" customWidth="1"/>
    <col min="2312" max="2312" width="14.28515625" customWidth="1"/>
    <col min="2313" max="2313" width="14.85546875" customWidth="1"/>
    <col min="2316" max="2316" width="11.28515625" bestFit="1" customWidth="1"/>
    <col min="2321" max="2321" width="11.7109375" bestFit="1" customWidth="1"/>
    <col min="2561" max="2561" width="6" customWidth="1"/>
    <col min="2562" max="2562" width="11.5703125" customWidth="1"/>
    <col min="2563" max="2563" width="42.7109375" customWidth="1"/>
    <col min="2564" max="2564" width="6.5703125" customWidth="1"/>
    <col min="2565" max="2565" width="12.28515625" customWidth="1"/>
    <col min="2566" max="2566" width="12" customWidth="1"/>
    <col min="2567" max="2567" width="11.7109375" customWidth="1"/>
    <col min="2568" max="2568" width="14.28515625" customWidth="1"/>
    <col min="2569" max="2569" width="14.85546875" customWidth="1"/>
    <col min="2572" max="2572" width="11.28515625" bestFit="1" customWidth="1"/>
    <col min="2577" max="2577" width="11.7109375" bestFit="1" customWidth="1"/>
    <col min="2817" max="2817" width="6" customWidth="1"/>
    <col min="2818" max="2818" width="11.5703125" customWidth="1"/>
    <col min="2819" max="2819" width="42.7109375" customWidth="1"/>
    <col min="2820" max="2820" width="6.5703125" customWidth="1"/>
    <col min="2821" max="2821" width="12.28515625" customWidth="1"/>
    <col min="2822" max="2822" width="12" customWidth="1"/>
    <col min="2823" max="2823" width="11.7109375" customWidth="1"/>
    <col min="2824" max="2824" width="14.28515625" customWidth="1"/>
    <col min="2825" max="2825" width="14.85546875" customWidth="1"/>
    <col min="2828" max="2828" width="11.28515625" bestFit="1" customWidth="1"/>
    <col min="2833" max="2833" width="11.7109375" bestFit="1" customWidth="1"/>
    <col min="3073" max="3073" width="6" customWidth="1"/>
    <col min="3074" max="3074" width="11.5703125" customWidth="1"/>
    <col min="3075" max="3075" width="42.7109375" customWidth="1"/>
    <col min="3076" max="3076" width="6.5703125" customWidth="1"/>
    <col min="3077" max="3077" width="12.28515625" customWidth="1"/>
    <col min="3078" max="3078" width="12" customWidth="1"/>
    <col min="3079" max="3079" width="11.7109375" customWidth="1"/>
    <col min="3080" max="3080" width="14.28515625" customWidth="1"/>
    <col min="3081" max="3081" width="14.85546875" customWidth="1"/>
    <col min="3084" max="3084" width="11.28515625" bestFit="1" customWidth="1"/>
    <col min="3089" max="3089" width="11.7109375" bestFit="1" customWidth="1"/>
    <col min="3329" max="3329" width="6" customWidth="1"/>
    <col min="3330" max="3330" width="11.5703125" customWidth="1"/>
    <col min="3331" max="3331" width="42.7109375" customWidth="1"/>
    <col min="3332" max="3332" width="6.5703125" customWidth="1"/>
    <col min="3333" max="3333" width="12.28515625" customWidth="1"/>
    <col min="3334" max="3334" width="12" customWidth="1"/>
    <col min="3335" max="3335" width="11.7109375" customWidth="1"/>
    <col min="3336" max="3336" width="14.28515625" customWidth="1"/>
    <col min="3337" max="3337" width="14.85546875" customWidth="1"/>
    <col min="3340" max="3340" width="11.28515625" bestFit="1" customWidth="1"/>
    <col min="3345" max="3345" width="11.7109375" bestFit="1" customWidth="1"/>
    <col min="3585" max="3585" width="6" customWidth="1"/>
    <col min="3586" max="3586" width="11.5703125" customWidth="1"/>
    <col min="3587" max="3587" width="42.7109375" customWidth="1"/>
    <col min="3588" max="3588" width="6.5703125" customWidth="1"/>
    <col min="3589" max="3589" width="12.28515625" customWidth="1"/>
    <col min="3590" max="3590" width="12" customWidth="1"/>
    <col min="3591" max="3591" width="11.7109375" customWidth="1"/>
    <col min="3592" max="3592" width="14.28515625" customWidth="1"/>
    <col min="3593" max="3593" width="14.85546875" customWidth="1"/>
    <col min="3596" max="3596" width="11.28515625" bestFit="1" customWidth="1"/>
    <col min="3601" max="3601" width="11.7109375" bestFit="1" customWidth="1"/>
    <col min="3841" max="3841" width="6" customWidth="1"/>
    <col min="3842" max="3842" width="11.5703125" customWidth="1"/>
    <col min="3843" max="3843" width="42.7109375" customWidth="1"/>
    <col min="3844" max="3844" width="6.5703125" customWidth="1"/>
    <col min="3845" max="3845" width="12.28515625" customWidth="1"/>
    <col min="3846" max="3846" width="12" customWidth="1"/>
    <col min="3847" max="3847" width="11.7109375" customWidth="1"/>
    <col min="3848" max="3848" width="14.28515625" customWidth="1"/>
    <col min="3849" max="3849" width="14.85546875" customWidth="1"/>
    <col min="3852" max="3852" width="11.28515625" bestFit="1" customWidth="1"/>
    <col min="3857" max="3857" width="11.7109375" bestFit="1" customWidth="1"/>
    <col min="4097" max="4097" width="6" customWidth="1"/>
    <col min="4098" max="4098" width="11.5703125" customWidth="1"/>
    <col min="4099" max="4099" width="42.7109375" customWidth="1"/>
    <col min="4100" max="4100" width="6.5703125" customWidth="1"/>
    <col min="4101" max="4101" width="12.28515625" customWidth="1"/>
    <col min="4102" max="4102" width="12" customWidth="1"/>
    <col min="4103" max="4103" width="11.7109375" customWidth="1"/>
    <col min="4104" max="4104" width="14.28515625" customWidth="1"/>
    <col min="4105" max="4105" width="14.85546875" customWidth="1"/>
    <col min="4108" max="4108" width="11.28515625" bestFit="1" customWidth="1"/>
    <col min="4113" max="4113" width="11.7109375" bestFit="1" customWidth="1"/>
    <col min="4353" max="4353" width="6" customWidth="1"/>
    <col min="4354" max="4354" width="11.5703125" customWidth="1"/>
    <col min="4355" max="4355" width="42.7109375" customWidth="1"/>
    <col min="4356" max="4356" width="6.5703125" customWidth="1"/>
    <col min="4357" max="4357" width="12.28515625" customWidth="1"/>
    <col min="4358" max="4358" width="12" customWidth="1"/>
    <col min="4359" max="4359" width="11.7109375" customWidth="1"/>
    <col min="4360" max="4360" width="14.28515625" customWidth="1"/>
    <col min="4361" max="4361" width="14.85546875" customWidth="1"/>
    <col min="4364" max="4364" width="11.28515625" bestFit="1" customWidth="1"/>
    <col min="4369" max="4369" width="11.7109375" bestFit="1" customWidth="1"/>
    <col min="4609" max="4609" width="6" customWidth="1"/>
    <col min="4610" max="4610" width="11.5703125" customWidth="1"/>
    <col min="4611" max="4611" width="42.7109375" customWidth="1"/>
    <col min="4612" max="4612" width="6.5703125" customWidth="1"/>
    <col min="4613" max="4613" width="12.28515625" customWidth="1"/>
    <col min="4614" max="4614" width="12" customWidth="1"/>
    <col min="4615" max="4615" width="11.7109375" customWidth="1"/>
    <col min="4616" max="4616" width="14.28515625" customWidth="1"/>
    <col min="4617" max="4617" width="14.85546875" customWidth="1"/>
    <col min="4620" max="4620" width="11.28515625" bestFit="1" customWidth="1"/>
    <col min="4625" max="4625" width="11.7109375" bestFit="1" customWidth="1"/>
    <col min="4865" max="4865" width="6" customWidth="1"/>
    <col min="4866" max="4866" width="11.5703125" customWidth="1"/>
    <col min="4867" max="4867" width="42.7109375" customWidth="1"/>
    <col min="4868" max="4868" width="6.5703125" customWidth="1"/>
    <col min="4869" max="4869" width="12.28515625" customWidth="1"/>
    <col min="4870" max="4870" width="12" customWidth="1"/>
    <col min="4871" max="4871" width="11.7109375" customWidth="1"/>
    <col min="4872" max="4872" width="14.28515625" customWidth="1"/>
    <col min="4873" max="4873" width="14.85546875" customWidth="1"/>
    <col min="4876" max="4876" width="11.28515625" bestFit="1" customWidth="1"/>
    <col min="4881" max="4881" width="11.7109375" bestFit="1" customWidth="1"/>
    <col min="5121" max="5121" width="6" customWidth="1"/>
    <col min="5122" max="5122" width="11.5703125" customWidth="1"/>
    <col min="5123" max="5123" width="42.7109375" customWidth="1"/>
    <col min="5124" max="5124" width="6.5703125" customWidth="1"/>
    <col min="5125" max="5125" width="12.28515625" customWidth="1"/>
    <col min="5126" max="5126" width="12" customWidth="1"/>
    <col min="5127" max="5127" width="11.7109375" customWidth="1"/>
    <col min="5128" max="5128" width="14.28515625" customWidth="1"/>
    <col min="5129" max="5129" width="14.85546875" customWidth="1"/>
    <col min="5132" max="5132" width="11.28515625" bestFit="1" customWidth="1"/>
    <col min="5137" max="5137" width="11.7109375" bestFit="1" customWidth="1"/>
    <col min="5377" max="5377" width="6" customWidth="1"/>
    <col min="5378" max="5378" width="11.5703125" customWidth="1"/>
    <col min="5379" max="5379" width="42.7109375" customWidth="1"/>
    <col min="5380" max="5380" width="6.5703125" customWidth="1"/>
    <col min="5381" max="5381" width="12.28515625" customWidth="1"/>
    <col min="5382" max="5382" width="12" customWidth="1"/>
    <col min="5383" max="5383" width="11.7109375" customWidth="1"/>
    <col min="5384" max="5384" width="14.28515625" customWidth="1"/>
    <col min="5385" max="5385" width="14.85546875" customWidth="1"/>
    <col min="5388" max="5388" width="11.28515625" bestFit="1" customWidth="1"/>
    <col min="5393" max="5393" width="11.7109375" bestFit="1" customWidth="1"/>
    <col min="5633" max="5633" width="6" customWidth="1"/>
    <col min="5634" max="5634" width="11.5703125" customWidth="1"/>
    <col min="5635" max="5635" width="42.7109375" customWidth="1"/>
    <col min="5636" max="5636" width="6.5703125" customWidth="1"/>
    <col min="5637" max="5637" width="12.28515625" customWidth="1"/>
    <col min="5638" max="5638" width="12" customWidth="1"/>
    <col min="5639" max="5639" width="11.7109375" customWidth="1"/>
    <col min="5640" max="5640" width="14.28515625" customWidth="1"/>
    <col min="5641" max="5641" width="14.85546875" customWidth="1"/>
    <col min="5644" max="5644" width="11.28515625" bestFit="1" customWidth="1"/>
    <col min="5649" max="5649" width="11.7109375" bestFit="1" customWidth="1"/>
    <col min="5889" max="5889" width="6" customWidth="1"/>
    <col min="5890" max="5890" width="11.5703125" customWidth="1"/>
    <col min="5891" max="5891" width="42.7109375" customWidth="1"/>
    <col min="5892" max="5892" width="6.5703125" customWidth="1"/>
    <col min="5893" max="5893" width="12.28515625" customWidth="1"/>
    <col min="5894" max="5894" width="12" customWidth="1"/>
    <col min="5895" max="5895" width="11.7109375" customWidth="1"/>
    <col min="5896" max="5896" width="14.28515625" customWidth="1"/>
    <col min="5897" max="5897" width="14.85546875" customWidth="1"/>
    <col min="5900" max="5900" width="11.28515625" bestFit="1" customWidth="1"/>
    <col min="5905" max="5905" width="11.7109375" bestFit="1" customWidth="1"/>
    <col min="6145" max="6145" width="6" customWidth="1"/>
    <col min="6146" max="6146" width="11.5703125" customWidth="1"/>
    <col min="6147" max="6147" width="42.7109375" customWidth="1"/>
    <col min="6148" max="6148" width="6.5703125" customWidth="1"/>
    <col min="6149" max="6149" width="12.28515625" customWidth="1"/>
    <col min="6150" max="6150" width="12" customWidth="1"/>
    <col min="6151" max="6151" width="11.7109375" customWidth="1"/>
    <col min="6152" max="6152" width="14.28515625" customWidth="1"/>
    <col min="6153" max="6153" width="14.85546875" customWidth="1"/>
    <col min="6156" max="6156" width="11.28515625" bestFit="1" customWidth="1"/>
    <col min="6161" max="6161" width="11.7109375" bestFit="1" customWidth="1"/>
    <col min="6401" max="6401" width="6" customWidth="1"/>
    <col min="6402" max="6402" width="11.5703125" customWidth="1"/>
    <col min="6403" max="6403" width="42.7109375" customWidth="1"/>
    <col min="6404" max="6404" width="6.5703125" customWidth="1"/>
    <col min="6405" max="6405" width="12.28515625" customWidth="1"/>
    <col min="6406" max="6406" width="12" customWidth="1"/>
    <col min="6407" max="6407" width="11.7109375" customWidth="1"/>
    <col min="6408" max="6408" width="14.28515625" customWidth="1"/>
    <col min="6409" max="6409" width="14.85546875" customWidth="1"/>
    <col min="6412" max="6412" width="11.28515625" bestFit="1" customWidth="1"/>
    <col min="6417" max="6417" width="11.7109375" bestFit="1" customWidth="1"/>
    <col min="6657" max="6657" width="6" customWidth="1"/>
    <col min="6658" max="6658" width="11.5703125" customWidth="1"/>
    <col min="6659" max="6659" width="42.7109375" customWidth="1"/>
    <col min="6660" max="6660" width="6.5703125" customWidth="1"/>
    <col min="6661" max="6661" width="12.28515625" customWidth="1"/>
    <col min="6662" max="6662" width="12" customWidth="1"/>
    <col min="6663" max="6663" width="11.7109375" customWidth="1"/>
    <col min="6664" max="6664" width="14.28515625" customWidth="1"/>
    <col min="6665" max="6665" width="14.85546875" customWidth="1"/>
    <col min="6668" max="6668" width="11.28515625" bestFit="1" customWidth="1"/>
    <col min="6673" max="6673" width="11.7109375" bestFit="1" customWidth="1"/>
    <col min="6913" max="6913" width="6" customWidth="1"/>
    <col min="6914" max="6914" width="11.5703125" customWidth="1"/>
    <col min="6915" max="6915" width="42.7109375" customWidth="1"/>
    <col min="6916" max="6916" width="6.5703125" customWidth="1"/>
    <col min="6917" max="6917" width="12.28515625" customWidth="1"/>
    <col min="6918" max="6918" width="12" customWidth="1"/>
    <col min="6919" max="6919" width="11.7109375" customWidth="1"/>
    <col min="6920" max="6920" width="14.28515625" customWidth="1"/>
    <col min="6921" max="6921" width="14.85546875" customWidth="1"/>
    <col min="6924" max="6924" width="11.28515625" bestFit="1" customWidth="1"/>
    <col min="6929" max="6929" width="11.7109375" bestFit="1" customWidth="1"/>
    <col min="7169" max="7169" width="6" customWidth="1"/>
    <col min="7170" max="7170" width="11.5703125" customWidth="1"/>
    <col min="7171" max="7171" width="42.7109375" customWidth="1"/>
    <col min="7172" max="7172" width="6.5703125" customWidth="1"/>
    <col min="7173" max="7173" width="12.28515625" customWidth="1"/>
    <col min="7174" max="7174" width="12" customWidth="1"/>
    <col min="7175" max="7175" width="11.7109375" customWidth="1"/>
    <col min="7176" max="7176" width="14.28515625" customWidth="1"/>
    <col min="7177" max="7177" width="14.85546875" customWidth="1"/>
    <col min="7180" max="7180" width="11.28515625" bestFit="1" customWidth="1"/>
    <col min="7185" max="7185" width="11.7109375" bestFit="1" customWidth="1"/>
    <col min="7425" max="7425" width="6" customWidth="1"/>
    <col min="7426" max="7426" width="11.5703125" customWidth="1"/>
    <col min="7427" max="7427" width="42.7109375" customWidth="1"/>
    <col min="7428" max="7428" width="6.5703125" customWidth="1"/>
    <col min="7429" max="7429" width="12.28515625" customWidth="1"/>
    <col min="7430" max="7430" width="12" customWidth="1"/>
    <col min="7431" max="7431" width="11.7109375" customWidth="1"/>
    <col min="7432" max="7432" width="14.28515625" customWidth="1"/>
    <col min="7433" max="7433" width="14.85546875" customWidth="1"/>
    <col min="7436" max="7436" width="11.28515625" bestFit="1" customWidth="1"/>
    <col min="7441" max="7441" width="11.7109375" bestFit="1" customWidth="1"/>
    <col min="7681" max="7681" width="6" customWidth="1"/>
    <col min="7682" max="7682" width="11.5703125" customWidth="1"/>
    <col min="7683" max="7683" width="42.7109375" customWidth="1"/>
    <col min="7684" max="7684" width="6.5703125" customWidth="1"/>
    <col min="7685" max="7685" width="12.28515625" customWidth="1"/>
    <col min="7686" max="7686" width="12" customWidth="1"/>
    <col min="7687" max="7687" width="11.7109375" customWidth="1"/>
    <col min="7688" max="7688" width="14.28515625" customWidth="1"/>
    <col min="7689" max="7689" width="14.85546875" customWidth="1"/>
    <col min="7692" max="7692" width="11.28515625" bestFit="1" customWidth="1"/>
    <col min="7697" max="7697" width="11.7109375" bestFit="1" customWidth="1"/>
    <col min="7937" max="7937" width="6" customWidth="1"/>
    <col min="7938" max="7938" width="11.5703125" customWidth="1"/>
    <col min="7939" max="7939" width="42.7109375" customWidth="1"/>
    <col min="7940" max="7940" width="6.5703125" customWidth="1"/>
    <col min="7941" max="7941" width="12.28515625" customWidth="1"/>
    <col min="7942" max="7942" width="12" customWidth="1"/>
    <col min="7943" max="7943" width="11.7109375" customWidth="1"/>
    <col min="7944" max="7944" width="14.28515625" customWidth="1"/>
    <col min="7945" max="7945" width="14.85546875" customWidth="1"/>
    <col min="7948" max="7948" width="11.28515625" bestFit="1" customWidth="1"/>
    <col min="7953" max="7953" width="11.7109375" bestFit="1" customWidth="1"/>
    <col min="8193" max="8193" width="6" customWidth="1"/>
    <col min="8194" max="8194" width="11.5703125" customWidth="1"/>
    <col min="8195" max="8195" width="42.7109375" customWidth="1"/>
    <col min="8196" max="8196" width="6.5703125" customWidth="1"/>
    <col min="8197" max="8197" width="12.28515625" customWidth="1"/>
    <col min="8198" max="8198" width="12" customWidth="1"/>
    <col min="8199" max="8199" width="11.7109375" customWidth="1"/>
    <col min="8200" max="8200" width="14.28515625" customWidth="1"/>
    <col min="8201" max="8201" width="14.85546875" customWidth="1"/>
    <col min="8204" max="8204" width="11.28515625" bestFit="1" customWidth="1"/>
    <col min="8209" max="8209" width="11.7109375" bestFit="1" customWidth="1"/>
    <col min="8449" max="8449" width="6" customWidth="1"/>
    <col min="8450" max="8450" width="11.5703125" customWidth="1"/>
    <col min="8451" max="8451" width="42.7109375" customWidth="1"/>
    <col min="8452" max="8452" width="6.5703125" customWidth="1"/>
    <col min="8453" max="8453" width="12.28515625" customWidth="1"/>
    <col min="8454" max="8454" width="12" customWidth="1"/>
    <col min="8455" max="8455" width="11.7109375" customWidth="1"/>
    <col min="8456" max="8456" width="14.28515625" customWidth="1"/>
    <col min="8457" max="8457" width="14.85546875" customWidth="1"/>
    <col min="8460" max="8460" width="11.28515625" bestFit="1" customWidth="1"/>
    <col min="8465" max="8465" width="11.7109375" bestFit="1" customWidth="1"/>
    <col min="8705" max="8705" width="6" customWidth="1"/>
    <col min="8706" max="8706" width="11.5703125" customWidth="1"/>
    <col min="8707" max="8707" width="42.7109375" customWidth="1"/>
    <col min="8708" max="8708" width="6.5703125" customWidth="1"/>
    <col min="8709" max="8709" width="12.28515625" customWidth="1"/>
    <col min="8710" max="8710" width="12" customWidth="1"/>
    <col min="8711" max="8711" width="11.7109375" customWidth="1"/>
    <col min="8712" max="8712" width="14.28515625" customWidth="1"/>
    <col min="8713" max="8713" width="14.85546875" customWidth="1"/>
    <col min="8716" max="8716" width="11.28515625" bestFit="1" customWidth="1"/>
    <col min="8721" max="8721" width="11.7109375" bestFit="1" customWidth="1"/>
    <col min="8961" max="8961" width="6" customWidth="1"/>
    <col min="8962" max="8962" width="11.5703125" customWidth="1"/>
    <col min="8963" max="8963" width="42.7109375" customWidth="1"/>
    <col min="8964" max="8964" width="6.5703125" customWidth="1"/>
    <col min="8965" max="8965" width="12.28515625" customWidth="1"/>
    <col min="8966" max="8966" width="12" customWidth="1"/>
    <col min="8967" max="8967" width="11.7109375" customWidth="1"/>
    <col min="8968" max="8968" width="14.28515625" customWidth="1"/>
    <col min="8969" max="8969" width="14.85546875" customWidth="1"/>
    <col min="8972" max="8972" width="11.28515625" bestFit="1" customWidth="1"/>
    <col min="8977" max="8977" width="11.7109375" bestFit="1" customWidth="1"/>
    <col min="9217" max="9217" width="6" customWidth="1"/>
    <col min="9218" max="9218" width="11.5703125" customWidth="1"/>
    <col min="9219" max="9219" width="42.7109375" customWidth="1"/>
    <col min="9220" max="9220" width="6.5703125" customWidth="1"/>
    <col min="9221" max="9221" width="12.28515625" customWidth="1"/>
    <col min="9222" max="9222" width="12" customWidth="1"/>
    <col min="9223" max="9223" width="11.7109375" customWidth="1"/>
    <col min="9224" max="9224" width="14.28515625" customWidth="1"/>
    <col min="9225" max="9225" width="14.85546875" customWidth="1"/>
    <col min="9228" max="9228" width="11.28515625" bestFit="1" customWidth="1"/>
    <col min="9233" max="9233" width="11.7109375" bestFit="1" customWidth="1"/>
    <col min="9473" max="9473" width="6" customWidth="1"/>
    <col min="9474" max="9474" width="11.5703125" customWidth="1"/>
    <col min="9475" max="9475" width="42.7109375" customWidth="1"/>
    <col min="9476" max="9476" width="6.5703125" customWidth="1"/>
    <col min="9477" max="9477" width="12.28515625" customWidth="1"/>
    <col min="9478" max="9478" width="12" customWidth="1"/>
    <col min="9479" max="9479" width="11.7109375" customWidth="1"/>
    <col min="9480" max="9480" width="14.28515625" customWidth="1"/>
    <col min="9481" max="9481" width="14.85546875" customWidth="1"/>
    <col min="9484" max="9484" width="11.28515625" bestFit="1" customWidth="1"/>
    <col min="9489" max="9489" width="11.7109375" bestFit="1" customWidth="1"/>
    <col min="9729" max="9729" width="6" customWidth="1"/>
    <col min="9730" max="9730" width="11.5703125" customWidth="1"/>
    <col min="9731" max="9731" width="42.7109375" customWidth="1"/>
    <col min="9732" max="9732" width="6.5703125" customWidth="1"/>
    <col min="9733" max="9733" width="12.28515625" customWidth="1"/>
    <col min="9734" max="9734" width="12" customWidth="1"/>
    <col min="9735" max="9735" width="11.7109375" customWidth="1"/>
    <col min="9736" max="9736" width="14.28515625" customWidth="1"/>
    <col min="9737" max="9737" width="14.85546875" customWidth="1"/>
    <col min="9740" max="9740" width="11.28515625" bestFit="1" customWidth="1"/>
    <col min="9745" max="9745" width="11.7109375" bestFit="1" customWidth="1"/>
    <col min="9985" max="9985" width="6" customWidth="1"/>
    <col min="9986" max="9986" width="11.5703125" customWidth="1"/>
    <col min="9987" max="9987" width="42.7109375" customWidth="1"/>
    <col min="9988" max="9988" width="6.5703125" customWidth="1"/>
    <col min="9989" max="9989" width="12.28515625" customWidth="1"/>
    <col min="9990" max="9990" width="12" customWidth="1"/>
    <col min="9991" max="9991" width="11.7109375" customWidth="1"/>
    <col min="9992" max="9992" width="14.28515625" customWidth="1"/>
    <col min="9993" max="9993" width="14.85546875" customWidth="1"/>
    <col min="9996" max="9996" width="11.28515625" bestFit="1" customWidth="1"/>
    <col min="10001" max="10001" width="11.7109375" bestFit="1" customWidth="1"/>
    <col min="10241" max="10241" width="6" customWidth="1"/>
    <col min="10242" max="10242" width="11.5703125" customWidth="1"/>
    <col min="10243" max="10243" width="42.7109375" customWidth="1"/>
    <col min="10244" max="10244" width="6.5703125" customWidth="1"/>
    <col min="10245" max="10245" width="12.28515625" customWidth="1"/>
    <col min="10246" max="10246" width="12" customWidth="1"/>
    <col min="10247" max="10247" width="11.7109375" customWidth="1"/>
    <col min="10248" max="10248" width="14.28515625" customWidth="1"/>
    <col min="10249" max="10249" width="14.85546875" customWidth="1"/>
    <col min="10252" max="10252" width="11.28515625" bestFit="1" customWidth="1"/>
    <col min="10257" max="10257" width="11.7109375" bestFit="1" customWidth="1"/>
    <col min="10497" max="10497" width="6" customWidth="1"/>
    <col min="10498" max="10498" width="11.5703125" customWidth="1"/>
    <col min="10499" max="10499" width="42.7109375" customWidth="1"/>
    <col min="10500" max="10500" width="6.5703125" customWidth="1"/>
    <col min="10501" max="10501" width="12.28515625" customWidth="1"/>
    <col min="10502" max="10502" width="12" customWidth="1"/>
    <col min="10503" max="10503" width="11.7109375" customWidth="1"/>
    <col min="10504" max="10504" width="14.28515625" customWidth="1"/>
    <col min="10505" max="10505" width="14.85546875" customWidth="1"/>
    <col min="10508" max="10508" width="11.28515625" bestFit="1" customWidth="1"/>
    <col min="10513" max="10513" width="11.7109375" bestFit="1" customWidth="1"/>
    <col min="10753" max="10753" width="6" customWidth="1"/>
    <col min="10754" max="10754" width="11.5703125" customWidth="1"/>
    <col min="10755" max="10755" width="42.7109375" customWidth="1"/>
    <col min="10756" max="10756" width="6.5703125" customWidth="1"/>
    <col min="10757" max="10757" width="12.28515625" customWidth="1"/>
    <col min="10758" max="10758" width="12" customWidth="1"/>
    <col min="10759" max="10759" width="11.7109375" customWidth="1"/>
    <col min="10760" max="10760" width="14.28515625" customWidth="1"/>
    <col min="10761" max="10761" width="14.85546875" customWidth="1"/>
    <col min="10764" max="10764" width="11.28515625" bestFit="1" customWidth="1"/>
    <col min="10769" max="10769" width="11.7109375" bestFit="1" customWidth="1"/>
    <col min="11009" max="11009" width="6" customWidth="1"/>
    <col min="11010" max="11010" width="11.5703125" customWidth="1"/>
    <col min="11011" max="11011" width="42.7109375" customWidth="1"/>
    <col min="11012" max="11012" width="6.5703125" customWidth="1"/>
    <col min="11013" max="11013" width="12.28515625" customWidth="1"/>
    <col min="11014" max="11014" width="12" customWidth="1"/>
    <col min="11015" max="11015" width="11.7109375" customWidth="1"/>
    <col min="11016" max="11016" width="14.28515625" customWidth="1"/>
    <col min="11017" max="11017" width="14.85546875" customWidth="1"/>
    <col min="11020" max="11020" width="11.28515625" bestFit="1" customWidth="1"/>
    <col min="11025" max="11025" width="11.7109375" bestFit="1" customWidth="1"/>
    <col min="11265" max="11265" width="6" customWidth="1"/>
    <col min="11266" max="11266" width="11.5703125" customWidth="1"/>
    <col min="11267" max="11267" width="42.7109375" customWidth="1"/>
    <col min="11268" max="11268" width="6.5703125" customWidth="1"/>
    <col min="11269" max="11269" width="12.28515625" customWidth="1"/>
    <col min="11270" max="11270" width="12" customWidth="1"/>
    <col min="11271" max="11271" width="11.7109375" customWidth="1"/>
    <col min="11272" max="11272" width="14.28515625" customWidth="1"/>
    <col min="11273" max="11273" width="14.85546875" customWidth="1"/>
    <col min="11276" max="11276" width="11.28515625" bestFit="1" customWidth="1"/>
    <col min="11281" max="11281" width="11.7109375" bestFit="1" customWidth="1"/>
    <col min="11521" max="11521" width="6" customWidth="1"/>
    <col min="11522" max="11522" width="11.5703125" customWidth="1"/>
    <col min="11523" max="11523" width="42.7109375" customWidth="1"/>
    <col min="11524" max="11524" width="6.5703125" customWidth="1"/>
    <col min="11525" max="11525" width="12.28515625" customWidth="1"/>
    <col min="11526" max="11526" width="12" customWidth="1"/>
    <col min="11527" max="11527" width="11.7109375" customWidth="1"/>
    <col min="11528" max="11528" width="14.28515625" customWidth="1"/>
    <col min="11529" max="11529" width="14.85546875" customWidth="1"/>
    <col min="11532" max="11532" width="11.28515625" bestFit="1" customWidth="1"/>
    <col min="11537" max="11537" width="11.7109375" bestFit="1" customWidth="1"/>
    <col min="11777" max="11777" width="6" customWidth="1"/>
    <col min="11778" max="11778" width="11.5703125" customWidth="1"/>
    <col min="11779" max="11779" width="42.7109375" customWidth="1"/>
    <col min="11780" max="11780" width="6.5703125" customWidth="1"/>
    <col min="11781" max="11781" width="12.28515625" customWidth="1"/>
    <col min="11782" max="11782" width="12" customWidth="1"/>
    <col min="11783" max="11783" width="11.7109375" customWidth="1"/>
    <col min="11784" max="11784" width="14.28515625" customWidth="1"/>
    <col min="11785" max="11785" width="14.85546875" customWidth="1"/>
    <col min="11788" max="11788" width="11.28515625" bestFit="1" customWidth="1"/>
    <col min="11793" max="11793" width="11.7109375" bestFit="1" customWidth="1"/>
    <col min="12033" max="12033" width="6" customWidth="1"/>
    <col min="12034" max="12034" width="11.5703125" customWidth="1"/>
    <col min="12035" max="12035" width="42.7109375" customWidth="1"/>
    <col min="12036" max="12036" width="6.5703125" customWidth="1"/>
    <col min="12037" max="12037" width="12.28515625" customWidth="1"/>
    <col min="12038" max="12038" width="12" customWidth="1"/>
    <col min="12039" max="12039" width="11.7109375" customWidth="1"/>
    <col min="12040" max="12040" width="14.28515625" customWidth="1"/>
    <col min="12041" max="12041" width="14.85546875" customWidth="1"/>
    <col min="12044" max="12044" width="11.28515625" bestFit="1" customWidth="1"/>
    <col min="12049" max="12049" width="11.7109375" bestFit="1" customWidth="1"/>
    <col min="12289" max="12289" width="6" customWidth="1"/>
    <col min="12290" max="12290" width="11.5703125" customWidth="1"/>
    <col min="12291" max="12291" width="42.7109375" customWidth="1"/>
    <col min="12292" max="12292" width="6.5703125" customWidth="1"/>
    <col min="12293" max="12293" width="12.28515625" customWidth="1"/>
    <col min="12294" max="12294" width="12" customWidth="1"/>
    <col min="12295" max="12295" width="11.7109375" customWidth="1"/>
    <col min="12296" max="12296" width="14.28515625" customWidth="1"/>
    <col min="12297" max="12297" width="14.85546875" customWidth="1"/>
    <col min="12300" max="12300" width="11.28515625" bestFit="1" customWidth="1"/>
    <col min="12305" max="12305" width="11.7109375" bestFit="1" customWidth="1"/>
    <col min="12545" max="12545" width="6" customWidth="1"/>
    <col min="12546" max="12546" width="11.5703125" customWidth="1"/>
    <col min="12547" max="12547" width="42.7109375" customWidth="1"/>
    <col min="12548" max="12548" width="6.5703125" customWidth="1"/>
    <col min="12549" max="12549" width="12.28515625" customWidth="1"/>
    <col min="12550" max="12550" width="12" customWidth="1"/>
    <col min="12551" max="12551" width="11.7109375" customWidth="1"/>
    <col min="12552" max="12552" width="14.28515625" customWidth="1"/>
    <col min="12553" max="12553" width="14.85546875" customWidth="1"/>
    <col min="12556" max="12556" width="11.28515625" bestFit="1" customWidth="1"/>
    <col min="12561" max="12561" width="11.7109375" bestFit="1" customWidth="1"/>
    <col min="12801" max="12801" width="6" customWidth="1"/>
    <col min="12802" max="12802" width="11.5703125" customWidth="1"/>
    <col min="12803" max="12803" width="42.7109375" customWidth="1"/>
    <col min="12804" max="12804" width="6.5703125" customWidth="1"/>
    <col min="12805" max="12805" width="12.28515625" customWidth="1"/>
    <col min="12806" max="12806" width="12" customWidth="1"/>
    <col min="12807" max="12807" width="11.7109375" customWidth="1"/>
    <col min="12808" max="12808" width="14.28515625" customWidth="1"/>
    <col min="12809" max="12809" width="14.85546875" customWidth="1"/>
    <col min="12812" max="12812" width="11.28515625" bestFit="1" customWidth="1"/>
    <col min="12817" max="12817" width="11.7109375" bestFit="1" customWidth="1"/>
    <col min="13057" max="13057" width="6" customWidth="1"/>
    <col min="13058" max="13058" width="11.5703125" customWidth="1"/>
    <col min="13059" max="13059" width="42.7109375" customWidth="1"/>
    <col min="13060" max="13060" width="6.5703125" customWidth="1"/>
    <col min="13061" max="13061" width="12.28515625" customWidth="1"/>
    <col min="13062" max="13062" width="12" customWidth="1"/>
    <col min="13063" max="13063" width="11.7109375" customWidth="1"/>
    <col min="13064" max="13064" width="14.28515625" customWidth="1"/>
    <col min="13065" max="13065" width="14.85546875" customWidth="1"/>
    <col min="13068" max="13068" width="11.28515625" bestFit="1" customWidth="1"/>
    <col min="13073" max="13073" width="11.7109375" bestFit="1" customWidth="1"/>
    <col min="13313" max="13313" width="6" customWidth="1"/>
    <col min="13314" max="13314" width="11.5703125" customWidth="1"/>
    <col min="13315" max="13315" width="42.7109375" customWidth="1"/>
    <col min="13316" max="13316" width="6.5703125" customWidth="1"/>
    <col min="13317" max="13317" width="12.28515625" customWidth="1"/>
    <col min="13318" max="13318" width="12" customWidth="1"/>
    <col min="13319" max="13319" width="11.7109375" customWidth="1"/>
    <col min="13320" max="13320" width="14.28515625" customWidth="1"/>
    <col min="13321" max="13321" width="14.85546875" customWidth="1"/>
    <col min="13324" max="13324" width="11.28515625" bestFit="1" customWidth="1"/>
    <col min="13329" max="13329" width="11.7109375" bestFit="1" customWidth="1"/>
    <col min="13569" max="13569" width="6" customWidth="1"/>
    <col min="13570" max="13570" width="11.5703125" customWidth="1"/>
    <col min="13571" max="13571" width="42.7109375" customWidth="1"/>
    <col min="13572" max="13572" width="6.5703125" customWidth="1"/>
    <col min="13573" max="13573" width="12.28515625" customWidth="1"/>
    <col min="13574" max="13574" width="12" customWidth="1"/>
    <col min="13575" max="13575" width="11.7109375" customWidth="1"/>
    <col min="13576" max="13576" width="14.28515625" customWidth="1"/>
    <col min="13577" max="13577" width="14.85546875" customWidth="1"/>
    <col min="13580" max="13580" width="11.28515625" bestFit="1" customWidth="1"/>
    <col min="13585" max="13585" width="11.7109375" bestFit="1" customWidth="1"/>
    <col min="13825" max="13825" width="6" customWidth="1"/>
    <col min="13826" max="13826" width="11.5703125" customWidth="1"/>
    <col min="13827" max="13827" width="42.7109375" customWidth="1"/>
    <col min="13828" max="13828" width="6.5703125" customWidth="1"/>
    <col min="13829" max="13829" width="12.28515625" customWidth="1"/>
    <col min="13830" max="13830" width="12" customWidth="1"/>
    <col min="13831" max="13831" width="11.7109375" customWidth="1"/>
    <col min="13832" max="13832" width="14.28515625" customWidth="1"/>
    <col min="13833" max="13833" width="14.85546875" customWidth="1"/>
    <col min="13836" max="13836" width="11.28515625" bestFit="1" customWidth="1"/>
    <col min="13841" max="13841" width="11.7109375" bestFit="1" customWidth="1"/>
    <col min="14081" max="14081" width="6" customWidth="1"/>
    <col min="14082" max="14082" width="11.5703125" customWidth="1"/>
    <col min="14083" max="14083" width="42.7109375" customWidth="1"/>
    <col min="14084" max="14084" width="6.5703125" customWidth="1"/>
    <col min="14085" max="14085" width="12.28515625" customWidth="1"/>
    <col min="14086" max="14086" width="12" customWidth="1"/>
    <col min="14087" max="14087" width="11.7109375" customWidth="1"/>
    <col min="14088" max="14088" width="14.28515625" customWidth="1"/>
    <col min="14089" max="14089" width="14.85546875" customWidth="1"/>
    <col min="14092" max="14092" width="11.28515625" bestFit="1" customWidth="1"/>
    <col min="14097" max="14097" width="11.7109375" bestFit="1" customWidth="1"/>
    <col min="14337" max="14337" width="6" customWidth="1"/>
    <col min="14338" max="14338" width="11.5703125" customWidth="1"/>
    <col min="14339" max="14339" width="42.7109375" customWidth="1"/>
    <col min="14340" max="14340" width="6.5703125" customWidth="1"/>
    <col min="14341" max="14341" width="12.28515625" customWidth="1"/>
    <col min="14342" max="14342" width="12" customWidth="1"/>
    <col min="14343" max="14343" width="11.7109375" customWidth="1"/>
    <col min="14344" max="14344" width="14.28515625" customWidth="1"/>
    <col min="14345" max="14345" width="14.85546875" customWidth="1"/>
    <col min="14348" max="14348" width="11.28515625" bestFit="1" customWidth="1"/>
    <col min="14353" max="14353" width="11.7109375" bestFit="1" customWidth="1"/>
    <col min="14593" max="14593" width="6" customWidth="1"/>
    <col min="14594" max="14594" width="11.5703125" customWidth="1"/>
    <col min="14595" max="14595" width="42.7109375" customWidth="1"/>
    <col min="14596" max="14596" width="6.5703125" customWidth="1"/>
    <col min="14597" max="14597" width="12.28515625" customWidth="1"/>
    <col min="14598" max="14598" width="12" customWidth="1"/>
    <col min="14599" max="14599" width="11.7109375" customWidth="1"/>
    <col min="14600" max="14600" width="14.28515625" customWidth="1"/>
    <col min="14601" max="14601" width="14.85546875" customWidth="1"/>
    <col min="14604" max="14604" width="11.28515625" bestFit="1" customWidth="1"/>
    <col min="14609" max="14609" width="11.7109375" bestFit="1" customWidth="1"/>
    <col min="14849" max="14849" width="6" customWidth="1"/>
    <col min="14850" max="14850" width="11.5703125" customWidth="1"/>
    <col min="14851" max="14851" width="42.7109375" customWidth="1"/>
    <col min="14852" max="14852" width="6.5703125" customWidth="1"/>
    <col min="14853" max="14853" width="12.28515625" customWidth="1"/>
    <col min="14854" max="14854" width="12" customWidth="1"/>
    <col min="14855" max="14855" width="11.7109375" customWidth="1"/>
    <col min="14856" max="14856" width="14.28515625" customWidth="1"/>
    <col min="14857" max="14857" width="14.85546875" customWidth="1"/>
    <col min="14860" max="14860" width="11.28515625" bestFit="1" customWidth="1"/>
    <col min="14865" max="14865" width="11.7109375" bestFit="1" customWidth="1"/>
    <col min="15105" max="15105" width="6" customWidth="1"/>
    <col min="15106" max="15106" width="11.5703125" customWidth="1"/>
    <col min="15107" max="15107" width="42.7109375" customWidth="1"/>
    <col min="15108" max="15108" width="6.5703125" customWidth="1"/>
    <col min="15109" max="15109" width="12.28515625" customWidth="1"/>
    <col min="15110" max="15110" width="12" customWidth="1"/>
    <col min="15111" max="15111" width="11.7109375" customWidth="1"/>
    <col min="15112" max="15112" width="14.28515625" customWidth="1"/>
    <col min="15113" max="15113" width="14.85546875" customWidth="1"/>
    <col min="15116" max="15116" width="11.28515625" bestFit="1" customWidth="1"/>
    <col min="15121" max="15121" width="11.7109375" bestFit="1" customWidth="1"/>
    <col min="15361" max="15361" width="6" customWidth="1"/>
    <col min="15362" max="15362" width="11.5703125" customWidth="1"/>
    <col min="15363" max="15363" width="42.7109375" customWidth="1"/>
    <col min="15364" max="15364" width="6.5703125" customWidth="1"/>
    <col min="15365" max="15365" width="12.28515625" customWidth="1"/>
    <col min="15366" max="15366" width="12" customWidth="1"/>
    <col min="15367" max="15367" width="11.7109375" customWidth="1"/>
    <col min="15368" max="15368" width="14.28515625" customWidth="1"/>
    <col min="15369" max="15369" width="14.85546875" customWidth="1"/>
    <col min="15372" max="15372" width="11.28515625" bestFit="1" customWidth="1"/>
    <col min="15377" max="15377" width="11.7109375" bestFit="1" customWidth="1"/>
    <col min="15617" max="15617" width="6" customWidth="1"/>
    <col min="15618" max="15618" width="11.5703125" customWidth="1"/>
    <col min="15619" max="15619" width="42.7109375" customWidth="1"/>
    <col min="15620" max="15620" width="6.5703125" customWidth="1"/>
    <col min="15621" max="15621" width="12.28515625" customWidth="1"/>
    <col min="15622" max="15622" width="12" customWidth="1"/>
    <col min="15623" max="15623" width="11.7109375" customWidth="1"/>
    <col min="15624" max="15624" width="14.28515625" customWidth="1"/>
    <col min="15625" max="15625" width="14.85546875" customWidth="1"/>
    <col min="15628" max="15628" width="11.28515625" bestFit="1" customWidth="1"/>
    <col min="15633" max="15633" width="11.7109375" bestFit="1" customWidth="1"/>
    <col min="15873" max="15873" width="6" customWidth="1"/>
    <col min="15874" max="15874" width="11.5703125" customWidth="1"/>
    <col min="15875" max="15875" width="42.7109375" customWidth="1"/>
    <col min="15876" max="15876" width="6.5703125" customWidth="1"/>
    <col min="15877" max="15877" width="12.28515625" customWidth="1"/>
    <col min="15878" max="15878" width="12" customWidth="1"/>
    <col min="15879" max="15879" width="11.7109375" customWidth="1"/>
    <col min="15880" max="15880" width="14.28515625" customWidth="1"/>
    <col min="15881" max="15881" width="14.85546875" customWidth="1"/>
    <col min="15884" max="15884" width="11.28515625" bestFit="1" customWidth="1"/>
    <col min="15889" max="15889" width="11.7109375" bestFit="1" customWidth="1"/>
    <col min="16129" max="16129" width="6" customWidth="1"/>
    <col min="16130" max="16130" width="11.5703125" customWidth="1"/>
    <col min="16131" max="16131" width="42.7109375" customWidth="1"/>
    <col min="16132" max="16132" width="6.5703125" customWidth="1"/>
    <col min="16133" max="16133" width="12.28515625" customWidth="1"/>
    <col min="16134" max="16134" width="12" customWidth="1"/>
    <col min="16135" max="16135" width="11.7109375" customWidth="1"/>
    <col min="16136" max="16136" width="14.28515625" customWidth="1"/>
    <col min="16137" max="16137" width="14.85546875" customWidth="1"/>
    <col min="16140" max="16140" width="11.28515625" bestFit="1" customWidth="1"/>
    <col min="16145" max="16145" width="11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s="457" t="str">
        <f>+'[1]Túi bóng trắng đựng hộp giấy'!A4:I5</f>
        <v>THẺ KHO NGUYÊN VẬT LIỆU</v>
      </c>
      <c r="B4" s="457"/>
      <c r="C4" s="457"/>
      <c r="D4" s="457"/>
      <c r="E4" s="457"/>
      <c r="F4" s="457"/>
      <c r="G4" s="457"/>
      <c r="H4" s="457"/>
      <c r="I4" s="457"/>
    </row>
    <row r="5" spans="1:10" x14ac:dyDescent="0.25">
      <c r="A5" s="457"/>
      <c r="B5" s="457"/>
      <c r="C5" s="457"/>
      <c r="D5" s="457"/>
      <c r="E5" s="457"/>
      <c r="F5" s="457"/>
      <c r="G5" s="457"/>
      <c r="H5" s="457"/>
      <c r="I5" s="457"/>
    </row>
    <row r="7" spans="1:10" ht="26.25" x14ac:dyDescent="0.25">
      <c r="A7" s="4" t="s">
        <v>3</v>
      </c>
      <c r="B7" s="4" t="s">
        <v>4</v>
      </c>
      <c r="C7" s="4" t="s">
        <v>117</v>
      </c>
      <c r="D7" s="4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4" t="s">
        <v>10</v>
      </c>
    </row>
    <row r="8" spans="1:10" ht="17.25" customHeight="1" x14ac:dyDescent="0.25">
      <c r="A8" s="7"/>
      <c r="B8" s="8"/>
      <c r="C8" s="9" t="s">
        <v>15</v>
      </c>
      <c r="D8" s="10"/>
      <c r="E8" s="11"/>
      <c r="F8" s="12"/>
      <c r="G8" s="13"/>
      <c r="H8" s="7"/>
      <c r="I8" s="7"/>
    </row>
    <row r="9" spans="1:10" ht="17.25" customHeight="1" x14ac:dyDescent="0.25">
      <c r="A9" s="14">
        <v>1</v>
      </c>
      <c r="B9" s="8">
        <v>45603</v>
      </c>
      <c r="C9" s="46" t="s">
        <v>240</v>
      </c>
      <c r="D9" s="214" t="s">
        <v>33</v>
      </c>
      <c r="E9" s="11">
        <v>2000</v>
      </c>
      <c r="F9" s="27"/>
      <c r="G9" s="18">
        <f t="shared" ref="G9:G72" si="0">+G8+E9-F9</f>
        <v>2000</v>
      </c>
      <c r="H9" s="28"/>
      <c r="I9" s="7"/>
      <c r="J9" t="s">
        <v>204</v>
      </c>
    </row>
    <row r="10" spans="1:10" ht="17.25" customHeight="1" x14ac:dyDescent="0.25">
      <c r="A10" s="14">
        <f t="shared" ref="A10:A73" si="1">+A9+1</f>
        <v>2</v>
      </c>
      <c r="B10" s="8" t="s">
        <v>232</v>
      </c>
      <c r="C10" s="46" t="s">
        <v>240</v>
      </c>
      <c r="D10" s="214" t="s">
        <v>33</v>
      </c>
      <c r="E10" s="30"/>
      <c r="F10" s="27">
        <v>465</v>
      </c>
      <c r="G10" s="18">
        <f t="shared" si="0"/>
        <v>1535</v>
      </c>
      <c r="H10" s="28"/>
      <c r="I10" s="7"/>
    </row>
    <row r="11" spans="1:10" ht="17.25" customHeight="1" x14ac:dyDescent="0.25">
      <c r="A11" s="14">
        <f t="shared" si="1"/>
        <v>3</v>
      </c>
      <c r="B11" s="8" t="s">
        <v>239</v>
      </c>
      <c r="C11" s="46" t="s">
        <v>240</v>
      </c>
      <c r="D11" s="214" t="s">
        <v>33</v>
      </c>
      <c r="E11" s="16"/>
      <c r="F11" s="27">
        <v>300</v>
      </c>
      <c r="G11" s="18">
        <f t="shared" si="0"/>
        <v>1235</v>
      </c>
      <c r="H11" s="28"/>
      <c r="I11" s="7"/>
      <c r="J11" s="26"/>
    </row>
    <row r="12" spans="1:10" ht="17.25" customHeight="1" x14ac:dyDescent="0.25">
      <c r="A12" s="14">
        <f t="shared" si="1"/>
        <v>4</v>
      </c>
      <c r="B12" s="8" t="s">
        <v>238</v>
      </c>
      <c r="C12" s="46" t="s">
        <v>240</v>
      </c>
      <c r="D12" s="214" t="s">
        <v>33</v>
      </c>
      <c r="E12" s="16"/>
      <c r="F12" s="125">
        <v>417</v>
      </c>
      <c r="G12" s="18">
        <f t="shared" si="0"/>
        <v>818</v>
      </c>
      <c r="H12" s="28"/>
      <c r="I12" s="7"/>
    </row>
    <row r="13" spans="1:10" ht="17.25" customHeight="1" x14ac:dyDescent="0.25">
      <c r="A13" s="14">
        <f t="shared" si="1"/>
        <v>5</v>
      </c>
      <c r="B13" s="205" t="s">
        <v>243</v>
      </c>
      <c r="C13" s="46" t="s">
        <v>240</v>
      </c>
      <c r="D13" s="214" t="s">
        <v>33</v>
      </c>
      <c r="E13" s="16"/>
      <c r="F13" s="125">
        <v>570</v>
      </c>
      <c r="G13" s="18">
        <f t="shared" si="0"/>
        <v>248</v>
      </c>
      <c r="H13" s="28"/>
      <c r="I13" s="7"/>
      <c r="J13" s="26"/>
    </row>
    <row r="14" spans="1:10" ht="17.25" customHeight="1" x14ac:dyDescent="0.25">
      <c r="A14" s="14">
        <f t="shared" si="1"/>
        <v>6</v>
      </c>
      <c r="B14" s="8" t="s">
        <v>244</v>
      </c>
      <c r="C14" s="46" t="s">
        <v>240</v>
      </c>
      <c r="D14" s="214" t="s">
        <v>33</v>
      </c>
      <c r="E14" s="16"/>
      <c r="F14" s="118">
        <v>93</v>
      </c>
      <c r="G14" s="18">
        <f t="shared" si="0"/>
        <v>155</v>
      </c>
      <c r="H14" s="28"/>
      <c r="I14" s="7"/>
    </row>
    <row r="15" spans="1:10" ht="17.25" customHeight="1" x14ac:dyDescent="0.25">
      <c r="A15" s="14">
        <f t="shared" si="1"/>
        <v>7</v>
      </c>
      <c r="B15" s="8" t="s">
        <v>244</v>
      </c>
      <c r="C15" s="46" t="s">
        <v>240</v>
      </c>
      <c r="D15" s="214" t="s">
        <v>33</v>
      </c>
      <c r="E15" s="16"/>
      <c r="F15" s="118">
        <f>4+3</f>
        <v>7</v>
      </c>
      <c r="G15" s="18">
        <f t="shared" si="0"/>
        <v>148</v>
      </c>
      <c r="H15" s="28"/>
      <c r="I15" s="7" t="s">
        <v>245</v>
      </c>
      <c r="J15" s="26"/>
    </row>
    <row r="16" spans="1:10" ht="17.25" customHeight="1" x14ac:dyDescent="0.25">
      <c r="A16" s="14">
        <f t="shared" si="1"/>
        <v>8</v>
      </c>
      <c r="B16" s="8">
        <v>45510</v>
      </c>
      <c r="C16" s="46" t="s">
        <v>240</v>
      </c>
      <c r="D16" s="214" t="s">
        <v>33</v>
      </c>
      <c r="E16" s="16"/>
      <c r="F16" s="27">
        <v>30</v>
      </c>
      <c r="G16" s="18">
        <f t="shared" si="0"/>
        <v>118</v>
      </c>
      <c r="H16" s="28"/>
      <c r="I16" s="7" t="s">
        <v>254</v>
      </c>
    </row>
    <row r="17" spans="1:9" ht="17.25" customHeight="1" x14ac:dyDescent="0.25">
      <c r="A17" s="14">
        <f t="shared" si="1"/>
        <v>9</v>
      </c>
      <c r="B17" s="8">
        <v>45527</v>
      </c>
      <c r="C17" s="46" t="s">
        <v>240</v>
      </c>
      <c r="D17" s="214" t="s">
        <v>33</v>
      </c>
      <c r="E17" s="30">
        <v>4935</v>
      </c>
      <c r="F17" s="27">
        <v>500</v>
      </c>
      <c r="G17" s="18">
        <f t="shared" si="0"/>
        <v>4553</v>
      </c>
      <c r="H17" s="28" t="s">
        <v>90</v>
      </c>
      <c r="I17" s="7"/>
    </row>
    <row r="18" spans="1:9" s="221" customFormat="1" ht="17.25" customHeight="1" x14ac:dyDescent="0.25">
      <c r="A18" s="215">
        <f>+A17+1</f>
        <v>10</v>
      </c>
      <c r="B18" s="216"/>
      <c r="C18" s="46"/>
      <c r="D18" s="214" t="s">
        <v>33</v>
      </c>
      <c r="E18" s="218"/>
      <c r="F18" s="219"/>
      <c r="G18" s="220">
        <f t="shared" si="0"/>
        <v>4553</v>
      </c>
      <c r="H18" s="28"/>
      <c r="I18" s="7"/>
    </row>
    <row r="19" spans="1:9" s="221" customFormat="1" ht="17.25" customHeight="1" x14ac:dyDescent="0.25">
      <c r="A19" s="215">
        <f t="shared" si="1"/>
        <v>11</v>
      </c>
      <c r="B19" s="216"/>
      <c r="C19" s="46"/>
      <c r="D19" s="214" t="s">
        <v>33</v>
      </c>
      <c r="E19" s="222"/>
      <c r="F19" s="219"/>
      <c r="G19" s="220">
        <f t="shared" si="0"/>
        <v>4553</v>
      </c>
      <c r="H19" s="28"/>
      <c r="I19" s="7"/>
    </row>
    <row r="20" spans="1:9" ht="17.25" customHeight="1" x14ac:dyDescent="0.25">
      <c r="A20" s="14">
        <f t="shared" si="1"/>
        <v>12</v>
      </c>
      <c r="B20" s="8"/>
      <c r="C20" s="46"/>
      <c r="D20" s="214" t="s">
        <v>33</v>
      </c>
      <c r="E20" s="32"/>
      <c r="F20" s="17"/>
      <c r="G20" s="18">
        <f t="shared" si="0"/>
        <v>4553</v>
      </c>
      <c r="H20" s="28"/>
      <c r="I20" s="7"/>
    </row>
    <row r="21" spans="1:9" ht="17.25" customHeight="1" x14ac:dyDescent="0.25">
      <c r="A21" s="14">
        <f t="shared" si="1"/>
        <v>13</v>
      </c>
      <c r="B21" s="8"/>
      <c r="C21" s="46"/>
      <c r="D21" s="214" t="s">
        <v>33</v>
      </c>
      <c r="E21" s="32"/>
      <c r="F21" s="27"/>
      <c r="G21" s="18">
        <f t="shared" si="0"/>
        <v>4553</v>
      </c>
      <c r="H21" s="28"/>
      <c r="I21" s="7"/>
    </row>
    <row r="22" spans="1:9" ht="17.25" customHeight="1" x14ac:dyDescent="0.25">
      <c r="A22" s="14">
        <f t="shared" si="1"/>
        <v>14</v>
      </c>
      <c r="B22" s="8"/>
      <c r="C22" s="46"/>
      <c r="D22" s="214" t="s">
        <v>33</v>
      </c>
      <c r="E22" s="32"/>
      <c r="F22" s="17"/>
      <c r="G22" s="18">
        <f t="shared" si="0"/>
        <v>4553</v>
      </c>
      <c r="H22" s="28"/>
      <c r="I22" s="7"/>
    </row>
    <row r="23" spans="1:9" ht="17.25" customHeight="1" x14ac:dyDescent="0.25">
      <c r="A23" s="14">
        <f t="shared" si="1"/>
        <v>15</v>
      </c>
      <c r="B23" s="8"/>
      <c r="C23" s="46"/>
      <c r="D23" s="214" t="s">
        <v>33</v>
      </c>
      <c r="E23" s="32"/>
      <c r="F23" s="17">
        <v>231</v>
      </c>
      <c r="G23" s="18">
        <f t="shared" si="0"/>
        <v>4322</v>
      </c>
      <c r="H23" s="28"/>
      <c r="I23" s="7"/>
    </row>
    <row r="24" spans="1:9" ht="17.25" customHeight="1" x14ac:dyDescent="0.25">
      <c r="A24" s="14">
        <f t="shared" si="1"/>
        <v>16</v>
      </c>
      <c r="B24" s="8"/>
      <c r="C24" s="46"/>
      <c r="D24" s="214" t="s">
        <v>33</v>
      </c>
      <c r="E24" s="32"/>
      <c r="F24" s="17">
        <v>363</v>
      </c>
      <c r="G24" s="18">
        <f t="shared" si="0"/>
        <v>3959</v>
      </c>
      <c r="H24" s="28"/>
      <c r="I24" s="7"/>
    </row>
    <row r="25" spans="1:9" ht="17.25" customHeight="1" x14ac:dyDescent="0.25">
      <c r="A25" s="14">
        <f t="shared" si="1"/>
        <v>17</v>
      </c>
      <c r="B25" s="8"/>
      <c r="C25" s="46"/>
      <c r="D25" s="214" t="s">
        <v>33</v>
      </c>
      <c r="E25" s="32"/>
      <c r="F25" s="17">
        <v>24</v>
      </c>
      <c r="G25" s="18">
        <f t="shared" si="0"/>
        <v>3935</v>
      </c>
      <c r="H25" s="28"/>
      <c r="I25" s="7"/>
    </row>
    <row r="26" spans="1:9" ht="17.25" customHeight="1" x14ac:dyDescent="0.25">
      <c r="A26" s="14">
        <f t="shared" si="1"/>
        <v>18</v>
      </c>
      <c r="B26" s="8"/>
      <c r="C26" s="46"/>
      <c r="D26" s="214" t="s">
        <v>33</v>
      </c>
      <c r="E26" s="32"/>
      <c r="F26" s="17"/>
      <c r="G26" s="18">
        <f t="shared" si="0"/>
        <v>3935</v>
      </c>
      <c r="H26" s="28"/>
      <c r="I26" s="7"/>
    </row>
    <row r="27" spans="1:9" ht="17.25" customHeight="1" x14ac:dyDescent="0.25">
      <c r="A27" s="14">
        <f t="shared" si="1"/>
        <v>19</v>
      </c>
      <c r="B27" s="8"/>
      <c r="C27" s="46"/>
      <c r="D27" s="214" t="s">
        <v>33</v>
      </c>
      <c r="E27" s="32"/>
      <c r="F27" s="17"/>
      <c r="G27" s="18">
        <f t="shared" si="0"/>
        <v>3935</v>
      </c>
      <c r="H27" s="28"/>
      <c r="I27" s="7"/>
    </row>
    <row r="28" spans="1:9" ht="17.25" customHeight="1" x14ac:dyDescent="0.25">
      <c r="A28" s="14">
        <f t="shared" si="1"/>
        <v>20</v>
      </c>
      <c r="B28" s="8"/>
      <c r="C28" s="46"/>
      <c r="D28" s="214" t="s">
        <v>33</v>
      </c>
      <c r="E28" s="32"/>
      <c r="F28" s="17"/>
      <c r="G28" s="18">
        <f t="shared" si="0"/>
        <v>3935</v>
      </c>
      <c r="H28" s="28"/>
      <c r="I28" s="7"/>
    </row>
    <row r="29" spans="1:9" ht="17.25" customHeight="1" x14ac:dyDescent="0.25">
      <c r="A29" s="14">
        <f t="shared" si="1"/>
        <v>21</v>
      </c>
      <c r="B29" s="8"/>
      <c r="C29" s="46"/>
      <c r="D29" s="214" t="s">
        <v>33</v>
      </c>
      <c r="E29" s="129"/>
      <c r="F29" s="17"/>
      <c r="G29" s="18">
        <f t="shared" si="0"/>
        <v>3935</v>
      </c>
      <c r="H29" s="28"/>
      <c r="I29" s="7"/>
    </row>
    <row r="30" spans="1:9" ht="17.25" customHeight="1" x14ac:dyDescent="0.25">
      <c r="A30" s="14">
        <f t="shared" si="1"/>
        <v>22</v>
      </c>
      <c r="B30" s="8"/>
      <c r="C30" s="46"/>
      <c r="D30" s="214" t="s">
        <v>33</v>
      </c>
      <c r="E30" s="32"/>
      <c r="F30" s="17"/>
      <c r="G30" s="18">
        <f t="shared" si="0"/>
        <v>3935</v>
      </c>
      <c r="H30" s="28"/>
      <c r="I30" s="7"/>
    </row>
    <row r="31" spans="1:9" ht="17.25" customHeight="1" x14ac:dyDescent="0.25">
      <c r="A31" s="14">
        <f t="shared" si="1"/>
        <v>23</v>
      </c>
      <c r="B31" s="8"/>
      <c r="C31" s="46"/>
      <c r="D31" s="214" t="s">
        <v>33</v>
      </c>
      <c r="E31" s="32"/>
      <c r="F31" s="17"/>
      <c r="G31" s="18">
        <f t="shared" si="0"/>
        <v>3935</v>
      </c>
      <c r="H31" s="28"/>
      <c r="I31" s="7"/>
    </row>
    <row r="32" spans="1:9" ht="17.25" customHeight="1" x14ac:dyDescent="0.25">
      <c r="A32" s="14">
        <f t="shared" si="1"/>
        <v>24</v>
      </c>
      <c r="B32" s="8"/>
      <c r="C32" s="46"/>
      <c r="D32" s="214" t="s">
        <v>33</v>
      </c>
      <c r="E32" s="32"/>
      <c r="F32" s="17"/>
      <c r="G32" s="18">
        <f t="shared" si="0"/>
        <v>3935</v>
      </c>
      <c r="H32" s="28"/>
      <c r="I32" s="7"/>
    </row>
    <row r="33" spans="1:9" ht="17.25" customHeight="1" x14ac:dyDescent="0.25">
      <c r="A33" s="14">
        <f t="shared" si="1"/>
        <v>25</v>
      </c>
      <c r="B33" s="8"/>
      <c r="C33" s="46"/>
      <c r="D33" s="214" t="s">
        <v>19</v>
      </c>
      <c r="E33" s="13"/>
      <c r="F33" s="17"/>
      <c r="G33" s="18">
        <f t="shared" si="0"/>
        <v>3935</v>
      </c>
      <c r="H33" s="28"/>
      <c r="I33" s="7"/>
    </row>
    <row r="34" spans="1:9" ht="17.25" customHeight="1" x14ac:dyDescent="0.25">
      <c r="A34" s="14">
        <f t="shared" si="1"/>
        <v>26</v>
      </c>
      <c r="B34" s="44"/>
      <c r="C34" s="46"/>
      <c r="D34" s="214" t="s">
        <v>19</v>
      </c>
      <c r="E34" s="13"/>
      <c r="F34" s="17"/>
      <c r="G34" s="18">
        <f t="shared" si="0"/>
        <v>3935</v>
      </c>
      <c r="H34" s="28"/>
      <c r="I34" s="7"/>
    </row>
    <row r="35" spans="1:9" ht="17.25" customHeight="1" x14ac:dyDescent="0.25">
      <c r="A35" s="14">
        <f t="shared" si="1"/>
        <v>27</v>
      </c>
      <c r="B35" s="8"/>
      <c r="C35" s="46"/>
      <c r="D35" s="214" t="s">
        <v>19</v>
      </c>
      <c r="E35" s="32"/>
      <c r="F35" s="40"/>
      <c r="G35" s="18">
        <f t="shared" si="0"/>
        <v>3935</v>
      </c>
      <c r="H35" s="28"/>
      <c r="I35" s="7"/>
    </row>
    <row r="36" spans="1:9" ht="17.25" customHeight="1" x14ac:dyDescent="0.25">
      <c r="A36" s="14">
        <f t="shared" si="1"/>
        <v>28</v>
      </c>
      <c r="B36" s="45"/>
      <c r="C36" s="46"/>
      <c r="D36" s="214" t="s">
        <v>19</v>
      </c>
      <c r="E36" s="32"/>
      <c r="F36" s="40"/>
      <c r="G36" s="18">
        <f t="shared" si="0"/>
        <v>3935</v>
      </c>
      <c r="H36" s="28"/>
      <c r="I36" s="7"/>
    </row>
    <row r="37" spans="1:9" ht="17.25" customHeight="1" x14ac:dyDescent="0.25">
      <c r="A37" s="14">
        <f t="shared" si="1"/>
        <v>29</v>
      </c>
      <c r="B37" s="8"/>
      <c r="C37" s="46"/>
      <c r="D37" s="214" t="s">
        <v>19</v>
      </c>
      <c r="E37" s="32"/>
      <c r="F37" s="40"/>
      <c r="G37" s="18">
        <f t="shared" si="0"/>
        <v>3935</v>
      </c>
      <c r="H37" s="28"/>
      <c r="I37" s="7"/>
    </row>
    <row r="38" spans="1:9" ht="17.25" customHeight="1" x14ac:dyDescent="0.25">
      <c r="A38" s="14">
        <f t="shared" si="1"/>
        <v>30</v>
      </c>
      <c r="B38" s="8"/>
      <c r="C38" s="46"/>
      <c r="D38" s="214" t="s">
        <v>19</v>
      </c>
      <c r="E38" s="32"/>
      <c r="F38" s="17"/>
      <c r="G38" s="18">
        <f t="shared" si="0"/>
        <v>3935</v>
      </c>
      <c r="H38" s="28"/>
      <c r="I38" s="7"/>
    </row>
    <row r="39" spans="1:9" ht="17.25" customHeight="1" x14ac:dyDescent="0.25">
      <c r="A39" s="14">
        <f t="shared" si="1"/>
        <v>31</v>
      </c>
      <c r="B39" s="8"/>
      <c r="C39" s="46"/>
      <c r="D39" s="214" t="s">
        <v>19</v>
      </c>
      <c r="E39" s="32"/>
      <c r="F39" s="17"/>
      <c r="G39" s="18">
        <f t="shared" si="0"/>
        <v>3935</v>
      </c>
      <c r="H39" s="28"/>
      <c r="I39" s="7"/>
    </row>
    <row r="40" spans="1:9" ht="17.25" customHeight="1" x14ac:dyDescent="0.25">
      <c r="A40" s="14">
        <f t="shared" si="1"/>
        <v>32</v>
      </c>
      <c r="B40" s="8"/>
      <c r="C40" s="46"/>
      <c r="D40" s="214" t="s">
        <v>19</v>
      </c>
      <c r="E40" s="32"/>
      <c r="F40" s="17"/>
      <c r="G40" s="18">
        <f t="shared" si="0"/>
        <v>3935</v>
      </c>
      <c r="H40" s="28"/>
      <c r="I40" s="7"/>
    </row>
    <row r="41" spans="1:9" ht="17.25" customHeight="1" x14ac:dyDescent="0.25">
      <c r="A41" s="14">
        <f t="shared" si="1"/>
        <v>33</v>
      </c>
      <c r="B41" s="8"/>
      <c r="C41" s="46"/>
      <c r="D41" s="214" t="s">
        <v>19</v>
      </c>
      <c r="E41" s="32"/>
      <c r="F41" s="17"/>
      <c r="G41" s="18">
        <f t="shared" si="0"/>
        <v>3935</v>
      </c>
      <c r="H41" s="28"/>
      <c r="I41" s="7"/>
    </row>
    <row r="42" spans="1:9" ht="17.25" customHeight="1" x14ac:dyDescent="0.25">
      <c r="A42" s="14">
        <f t="shared" si="1"/>
        <v>34</v>
      </c>
      <c r="B42" s="8"/>
      <c r="C42" s="46"/>
      <c r="D42" s="214" t="s">
        <v>19</v>
      </c>
      <c r="E42" s="32"/>
      <c r="F42" s="17"/>
      <c r="G42" s="18">
        <f t="shared" si="0"/>
        <v>3935</v>
      </c>
      <c r="H42" s="28"/>
      <c r="I42" s="7"/>
    </row>
    <row r="43" spans="1:9" ht="17.25" customHeight="1" x14ac:dyDescent="0.25">
      <c r="A43" s="14">
        <f t="shared" si="1"/>
        <v>35</v>
      </c>
      <c r="B43" s="8"/>
      <c r="C43" s="46"/>
      <c r="D43" s="214" t="s">
        <v>19</v>
      </c>
      <c r="E43" s="32"/>
      <c r="F43" s="17"/>
      <c r="G43" s="18">
        <f t="shared" si="0"/>
        <v>3935</v>
      </c>
      <c r="H43" s="28"/>
      <c r="I43" s="7"/>
    </row>
    <row r="44" spans="1:9" ht="17.25" customHeight="1" x14ac:dyDescent="0.25">
      <c r="A44" s="14">
        <f t="shared" si="1"/>
        <v>36</v>
      </c>
      <c r="B44" s="8"/>
      <c r="C44" s="46"/>
      <c r="D44" s="214" t="s">
        <v>19</v>
      </c>
      <c r="E44" s="32"/>
      <c r="F44" s="17"/>
      <c r="G44" s="18">
        <f t="shared" si="0"/>
        <v>3935</v>
      </c>
      <c r="H44" s="28"/>
      <c r="I44" s="7"/>
    </row>
    <row r="45" spans="1:9" ht="17.25" customHeight="1" x14ac:dyDescent="0.25">
      <c r="A45" s="14">
        <f t="shared" si="1"/>
        <v>37</v>
      </c>
      <c r="B45" s="8"/>
      <c r="C45" s="46"/>
      <c r="D45" s="214" t="s">
        <v>19</v>
      </c>
      <c r="E45" s="32"/>
      <c r="F45" s="17"/>
      <c r="G45" s="18">
        <f t="shared" si="0"/>
        <v>3935</v>
      </c>
      <c r="H45" s="28"/>
      <c r="I45" s="7"/>
    </row>
    <row r="46" spans="1:9" ht="17.25" customHeight="1" x14ac:dyDescent="0.25">
      <c r="A46" s="14">
        <f t="shared" si="1"/>
        <v>38</v>
      </c>
      <c r="B46" s="8"/>
      <c r="C46" s="46"/>
      <c r="D46" s="214" t="s">
        <v>19</v>
      </c>
      <c r="E46" s="32"/>
      <c r="F46" s="17"/>
      <c r="G46" s="18">
        <f t="shared" si="0"/>
        <v>3935</v>
      </c>
      <c r="H46" s="28"/>
      <c r="I46" s="7"/>
    </row>
    <row r="47" spans="1:9" ht="17.25" customHeight="1" x14ac:dyDescent="0.25">
      <c r="A47" s="14">
        <f t="shared" si="1"/>
        <v>39</v>
      </c>
      <c r="B47" s="8"/>
      <c r="C47" s="46"/>
      <c r="D47" s="214" t="s">
        <v>19</v>
      </c>
      <c r="E47" s="32"/>
      <c r="F47" s="17"/>
      <c r="G47" s="18">
        <f t="shared" si="0"/>
        <v>3935</v>
      </c>
      <c r="H47" s="28"/>
      <c r="I47" s="7"/>
    </row>
    <row r="48" spans="1:9" ht="17.25" customHeight="1" x14ac:dyDescent="0.25">
      <c r="A48" s="14">
        <f t="shared" si="1"/>
        <v>40</v>
      </c>
      <c r="B48" s="8"/>
      <c r="C48" s="46"/>
      <c r="D48" s="214" t="s">
        <v>19</v>
      </c>
      <c r="E48" s="32"/>
      <c r="F48" s="17"/>
      <c r="G48" s="18">
        <f t="shared" si="0"/>
        <v>3935</v>
      </c>
      <c r="H48" s="28"/>
      <c r="I48" s="7"/>
    </row>
    <row r="49" spans="1:9" ht="17.25" customHeight="1" x14ac:dyDescent="0.25">
      <c r="A49" s="14">
        <f t="shared" si="1"/>
        <v>41</v>
      </c>
      <c r="B49" s="8"/>
      <c r="C49" s="46"/>
      <c r="D49" s="214" t="s">
        <v>19</v>
      </c>
      <c r="E49" s="32"/>
      <c r="F49" s="17"/>
      <c r="G49" s="18">
        <f t="shared" si="0"/>
        <v>3935</v>
      </c>
      <c r="H49" s="28"/>
      <c r="I49" s="7"/>
    </row>
    <row r="50" spans="1:9" ht="17.25" customHeight="1" x14ac:dyDescent="0.25">
      <c r="A50" s="14">
        <f t="shared" si="1"/>
        <v>42</v>
      </c>
      <c r="B50" s="8"/>
      <c r="C50" s="46"/>
      <c r="D50" s="214" t="s">
        <v>19</v>
      </c>
      <c r="E50" s="32"/>
      <c r="F50" s="17"/>
      <c r="G50" s="18">
        <f t="shared" si="0"/>
        <v>3935</v>
      </c>
      <c r="H50" s="28"/>
      <c r="I50" s="7"/>
    </row>
    <row r="51" spans="1:9" ht="17.25" customHeight="1" x14ac:dyDescent="0.25">
      <c r="A51" s="14">
        <f t="shared" si="1"/>
        <v>43</v>
      </c>
      <c r="B51" s="8"/>
      <c r="C51" s="46"/>
      <c r="D51" s="214" t="s">
        <v>19</v>
      </c>
      <c r="E51" s="32"/>
      <c r="F51" s="17"/>
      <c r="G51" s="18">
        <f t="shared" si="0"/>
        <v>3935</v>
      </c>
      <c r="H51" s="28"/>
      <c r="I51" s="7"/>
    </row>
    <row r="52" spans="1:9" ht="17.25" customHeight="1" x14ac:dyDescent="0.25">
      <c r="A52" s="14">
        <f t="shared" si="1"/>
        <v>44</v>
      </c>
      <c r="B52" s="8"/>
      <c r="C52" s="46"/>
      <c r="D52" s="214" t="s">
        <v>19</v>
      </c>
      <c r="E52" s="32"/>
      <c r="F52" s="17"/>
      <c r="G52" s="18">
        <f t="shared" si="0"/>
        <v>3935</v>
      </c>
      <c r="H52" s="28"/>
      <c r="I52" s="7"/>
    </row>
    <row r="53" spans="1:9" ht="17.25" customHeight="1" x14ac:dyDescent="0.25">
      <c r="A53" s="14">
        <f t="shared" si="1"/>
        <v>45</v>
      </c>
      <c r="B53" s="8"/>
      <c r="C53" s="46"/>
      <c r="D53" s="214" t="s">
        <v>19</v>
      </c>
      <c r="E53" s="32"/>
      <c r="F53" s="17"/>
      <c r="G53" s="18">
        <f t="shared" si="0"/>
        <v>3935</v>
      </c>
      <c r="H53" s="28"/>
      <c r="I53" s="7"/>
    </row>
    <row r="54" spans="1:9" ht="17.25" customHeight="1" x14ac:dyDescent="0.25">
      <c r="A54" s="14">
        <f t="shared" si="1"/>
        <v>46</v>
      </c>
      <c r="B54" s="8"/>
      <c r="C54" s="46"/>
      <c r="D54" s="214" t="s">
        <v>19</v>
      </c>
      <c r="E54" s="32"/>
      <c r="F54" s="17"/>
      <c r="G54" s="18">
        <f t="shared" si="0"/>
        <v>3935</v>
      </c>
      <c r="H54" s="28"/>
      <c r="I54" s="7"/>
    </row>
    <row r="55" spans="1:9" ht="17.25" customHeight="1" x14ac:dyDescent="0.25">
      <c r="A55" s="14">
        <f t="shared" si="1"/>
        <v>47</v>
      </c>
      <c r="B55" s="8"/>
      <c r="C55" s="46"/>
      <c r="D55" s="214" t="s">
        <v>19</v>
      </c>
      <c r="E55" s="32"/>
      <c r="F55" s="17"/>
      <c r="G55" s="18">
        <f t="shared" si="0"/>
        <v>3935</v>
      </c>
      <c r="H55" s="28"/>
      <c r="I55" s="7"/>
    </row>
    <row r="56" spans="1:9" ht="17.25" customHeight="1" x14ac:dyDescent="0.25">
      <c r="A56" s="14">
        <f t="shared" si="1"/>
        <v>48</v>
      </c>
      <c r="B56" s="8"/>
      <c r="C56" s="46"/>
      <c r="D56" s="214"/>
      <c r="E56" s="32"/>
      <c r="F56" s="17"/>
      <c r="G56" s="18">
        <f t="shared" si="0"/>
        <v>3935</v>
      </c>
      <c r="H56" s="28"/>
      <c r="I56" s="7"/>
    </row>
    <row r="57" spans="1:9" ht="17.25" customHeight="1" x14ac:dyDescent="0.25">
      <c r="A57" s="14">
        <f t="shared" si="1"/>
        <v>49</v>
      </c>
      <c r="B57" s="8"/>
      <c r="C57" s="46"/>
      <c r="D57" s="214"/>
      <c r="E57" s="32"/>
      <c r="F57" s="17"/>
      <c r="G57" s="18">
        <f t="shared" si="0"/>
        <v>3935</v>
      </c>
      <c r="H57" s="28"/>
      <c r="I57" s="7"/>
    </row>
    <row r="58" spans="1:9" ht="17.25" customHeight="1" x14ac:dyDescent="0.25">
      <c r="A58" s="14">
        <f t="shared" si="1"/>
        <v>50</v>
      </c>
      <c r="B58" s="8"/>
      <c r="C58" s="46"/>
      <c r="D58" s="214"/>
      <c r="E58" s="32"/>
      <c r="F58" s="17"/>
      <c r="G58" s="18">
        <f t="shared" si="0"/>
        <v>3935</v>
      </c>
      <c r="H58" s="28"/>
      <c r="I58" s="7"/>
    </row>
    <row r="59" spans="1:9" ht="17.25" customHeight="1" x14ac:dyDescent="0.25">
      <c r="A59" s="14">
        <f t="shared" si="1"/>
        <v>51</v>
      </c>
      <c r="B59" s="8"/>
      <c r="C59" s="46"/>
      <c r="D59" s="214"/>
      <c r="E59" s="32"/>
      <c r="F59" s="17"/>
      <c r="G59" s="18">
        <f t="shared" si="0"/>
        <v>3935</v>
      </c>
      <c r="H59" s="28"/>
      <c r="I59" s="7"/>
    </row>
    <row r="60" spans="1:9" ht="17.25" customHeight="1" x14ac:dyDescent="0.25">
      <c r="A60" s="14">
        <f t="shared" si="1"/>
        <v>52</v>
      </c>
      <c r="B60" s="8"/>
      <c r="C60" s="46"/>
      <c r="D60" s="214"/>
      <c r="E60" s="32"/>
      <c r="F60" s="17"/>
      <c r="G60" s="18">
        <f t="shared" si="0"/>
        <v>3935</v>
      </c>
      <c r="H60" s="28"/>
      <c r="I60" s="7"/>
    </row>
    <row r="61" spans="1:9" ht="17.25" customHeight="1" x14ac:dyDescent="0.25">
      <c r="A61" s="14">
        <f t="shared" si="1"/>
        <v>53</v>
      </c>
      <c r="B61" s="8"/>
      <c r="C61" s="46"/>
      <c r="D61" s="214"/>
      <c r="E61" s="32"/>
      <c r="F61" s="17"/>
      <c r="G61" s="18">
        <f t="shared" si="0"/>
        <v>3935</v>
      </c>
      <c r="H61" s="28"/>
      <c r="I61" s="7"/>
    </row>
    <row r="62" spans="1:9" ht="17.25" customHeight="1" x14ac:dyDescent="0.25">
      <c r="A62" s="14">
        <f t="shared" si="1"/>
        <v>54</v>
      </c>
      <c r="B62" s="8"/>
      <c r="C62" s="46"/>
      <c r="D62" s="214"/>
      <c r="E62" s="32"/>
      <c r="F62" s="17"/>
      <c r="G62" s="18">
        <f t="shared" si="0"/>
        <v>3935</v>
      </c>
      <c r="H62" s="28"/>
      <c r="I62" s="7"/>
    </row>
    <row r="63" spans="1:9" ht="17.25" customHeight="1" x14ac:dyDescent="0.25">
      <c r="A63" s="14">
        <f t="shared" si="1"/>
        <v>55</v>
      </c>
      <c r="B63" s="8"/>
      <c r="C63" s="46"/>
      <c r="D63" s="214"/>
      <c r="E63" s="32"/>
      <c r="F63" s="17"/>
      <c r="G63" s="18">
        <f t="shared" si="0"/>
        <v>3935</v>
      </c>
      <c r="H63" s="28"/>
      <c r="I63" s="7"/>
    </row>
    <row r="64" spans="1:9" ht="17.25" customHeight="1" x14ac:dyDescent="0.25">
      <c r="A64" s="14">
        <f t="shared" si="1"/>
        <v>56</v>
      </c>
      <c r="B64" s="8"/>
      <c r="C64" s="46"/>
      <c r="D64" s="214"/>
      <c r="E64" s="32"/>
      <c r="F64" s="17"/>
      <c r="G64" s="18">
        <f t="shared" si="0"/>
        <v>3935</v>
      </c>
      <c r="H64" s="28"/>
      <c r="I64" s="7"/>
    </row>
    <row r="65" spans="1:10" ht="17.25" customHeight="1" x14ac:dyDescent="0.25">
      <c r="A65" s="14">
        <f t="shared" si="1"/>
        <v>57</v>
      </c>
      <c r="B65" s="8"/>
      <c r="C65" s="46"/>
      <c r="D65" s="214"/>
      <c r="E65" s="32"/>
      <c r="F65" s="17"/>
      <c r="G65" s="18">
        <f t="shared" si="0"/>
        <v>3935</v>
      </c>
      <c r="H65" s="28"/>
      <c r="I65" s="7"/>
      <c r="J65" s="26"/>
    </row>
    <row r="66" spans="1:10" ht="17.25" customHeight="1" x14ac:dyDescent="0.25">
      <c r="A66" s="14">
        <f t="shared" si="1"/>
        <v>58</v>
      </c>
      <c r="B66" s="8"/>
      <c r="C66" s="46"/>
      <c r="D66" s="214"/>
      <c r="E66" s="32"/>
      <c r="F66" s="17"/>
      <c r="G66" s="18">
        <f t="shared" si="0"/>
        <v>3935</v>
      </c>
      <c r="H66" s="28"/>
      <c r="I66" s="7"/>
    </row>
    <row r="67" spans="1:10" ht="17.25" customHeight="1" x14ac:dyDescent="0.25">
      <c r="A67" s="14">
        <f t="shared" si="1"/>
        <v>59</v>
      </c>
      <c r="B67" s="8"/>
      <c r="C67" s="46"/>
      <c r="D67" s="214"/>
      <c r="E67" s="32"/>
      <c r="F67" s="17"/>
      <c r="G67" s="18">
        <f t="shared" si="0"/>
        <v>3935</v>
      </c>
      <c r="H67" s="28"/>
      <c r="I67" s="7"/>
    </row>
    <row r="68" spans="1:10" ht="17.25" customHeight="1" x14ac:dyDescent="0.25">
      <c r="A68" s="14">
        <f t="shared" si="1"/>
        <v>60</v>
      </c>
      <c r="B68" s="8"/>
      <c r="C68" s="46"/>
      <c r="D68" s="214"/>
      <c r="E68" s="32"/>
      <c r="F68" s="17"/>
      <c r="G68" s="18">
        <f t="shared" si="0"/>
        <v>3935</v>
      </c>
      <c r="H68" s="28"/>
      <c r="I68" s="7"/>
    </row>
    <row r="69" spans="1:10" ht="17.25" customHeight="1" x14ac:dyDescent="0.25">
      <c r="A69" s="14">
        <f t="shared" si="1"/>
        <v>61</v>
      </c>
      <c r="B69" s="8"/>
      <c r="C69" s="46"/>
      <c r="D69" s="214"/>
      <c r="E69" s="32"/>
      <c r="F69" s="17"/>
      <c r="G69" s="18">
        <f t="shared" si="0"/>
        <v>3935</v>
      </c>
      <c r="H69" s="28"/>
      <c r="I69" s="7"/>
    </row>
    <row r="70" spans="1:10" ht="17.25" customHeight="1" x14ac:dyDescent="0.25">
      <c r="A70" s="14">
        <f t="shared" si="1"/>
        <v>62</v>
      </c>
      <c r="B70" s="8"/>
      <c r="C70" s="46"/>
      <c r="D70" s="214"/>
      <c r="E70" s="32"/>
      <c r="F70" s="17"/>
      <c r="G70" s="18">
        <f t="shared" si="0"/>
        <v>3935</v>
      </c>
      <c r="H70" s="28"/>
      <c r="I70" s="7"/>
    </row>
    <row r="71" spans="1:10" ht="17.25" customHeight="1" x14ac:dyDescent="0.25">
      <c r="A71" s="14">
        <f t="shared" si="1"/>
        <v>63</v>
      </c>
      <c r="B71" s="8"/>
      <c r="C71" s="46"/>
      <c r="D71" s="214"/>
      <c r="E71" s="32"/>
      <c r="F71" s="17"/>
      <c r="G71" s="18">
        <f t="shared" si="0"/>
        <v>3935</v>
      </c>
      <c r="H71" s="28"/>
      <c r="I71" s="7"/>
    </row>
    <row r="72" spans="1:10" ht="17.25" customHeight="1" x14ac:dyDescent="0.25">
      <c r="A72" s="14">
        <f t="shared" si="1"/>
        <v>64</v>
      </c>
      <c r="B72" s="8"/>
      <c r="C72" s="46"/>
      <c r="D72" s="214"/>
      <c r="E72" s="32"/>
      <c r="F72" s="17"/>
      <c r="G72" s="18">
        <f t="shared" si="0"/>
        <v>3935</v>
      </c>
      <c r="H72" s="28"/>
      <c r="I72" s="7"/>
    </row>
    <row r="73" spans="1:10" ht="17.25" customHeight="1" x14ac:dyDescent="0.25">
      <c r="A73" s="14">
        <f t="shared" si="1"/>
        <v>65</v>
      </c>
      <c r="B73" s="8"/>
      <c r="C73" s="46"/>
      <c r="D73" s="214"/>
      <c r="E73" s="32"/>
      <c r="F73" s="17"/>
      <c r="G73" s="18">
        <f t="shared" ref="G73:G96" si="2">+G72+E73-F73</f>
        <v>3935</v>
      </c>
      <c r="H73" s="28"/>
      <c r="I73" s="7"/>
    </row>
    <row r="74" spans="1:10" ht="17.25" customHeight="1" x14ac:dyDescent="0.25">
      <c r="A74" s="14">
        <f t="shared" ref="A74:A97" si="3">+A73+1</f>
        <v>66</v>
      </c>
      <c r="B74" s="8"/>
      <c r="C74" s="46"/>
      <c r="D74" s="214"/>
      <c r="E74" s="32"/>
      <c r="F74" s="17"/>
      <c r="G74" s="18">
        <f t="shared" si="2"/>
        <v>3935</v>
      </c>
      <c r="H74" s="28"/>
      <c r="I74" s="7"/>
    </row>
    <row r="75" spans="1:10" ht="17.25" customHeight="1" x14ac:dyDescent="0.25">
      <c r="A75" s="14">
        <f t="shared" si="3"/>
        <v>67</v>
      </c>
      <c r="B75" s="8"/>
      <c r="C75" s="46"/>
      <c r="D75" s="214"/>
      <c r="E75" s="32"/>
      <c r="F75" s="17"/>
      <c r="G75" s="18">
        <f t="shared" si="2"/>
        <v>3935</v>
      </c>
      <c r="H75" s="28"/>
      <c r="I75" s="7"/>
    </row>
    <row r="76" spans="1:10" ht="17.25" customHeight="1" x14ac:dyDescent="0.25">
      <c r="A76" s="14">
        <f t="shared" si="3"/>
        <v>68</v>
      </c>
      <c r="B76" s="8"/>
      <c r="C76" s="46"/>
      <c r="D76" s="214"/>
      <c r="E76" s="32"/>
      <c r="F76" s="17"/>
      <c r="G76" s="18">
        <f t="shared" si="2"/>
        <v>3935</v>
      </c>
      <c r="H76" s="28"/>
      <c r="I76" s="7"/>
    </row>
    <row r="77" spans="1:10" ht="17.25" customHeight="1" x14ac:dyDescent="0.25">
      <c r="A77" s="14">
        <f t="shared" si="3"/>
        <v>69</v>
      </c>
      <c r="B77" s="8"/>
      <c r="C77" s="46"/>
      <c r="D77" s="214"/>
      <c r="E77" s="32"/>
      <c r="F77" s="17"/>
      <c r="G77" s="18">
        <f t="shared" si="2"/>
        <v>3935</v>
      </c>
      <c r="H77" s="28"/>
      <c r="I77" s="7"/>
    </row>
    <row r="78" spans="1:10" ht="17.25" customHeight="1" x14ac:dyDescent="0.25">
      <c r="A78" s="14">
        <f t="shared" si="3"/>
        <v>70</v>
      </c>
      <c r="B78" s="8"/>
      <c r="C78" s="46"/>
      <c r="D78" s="214"/>
      <c r="E78" s="32"/>
      <c r="F78" s="17"/>
      <c r="G78" s="18">
        <f t="shared" si="2"/>
        <v>3935</v>
      </c>
      <c r="H78" s="28"/>
      <c r="I78" s="7"/>
    </row>
    <row r="79" spans="1:10" ht="17.25" customHeight="1" x14ac:dyDescent="0.25">
      <c r="A79" s="14">
        <f t="shared" si="3"/>
        <v>71</v>
      </c>
      <c r="B79" s="8"/>
      <c r="C79" s="46"/>
      <c r="D79" s="214"/>
      <c r="E79" s="32"/>
      <c r="F79" s="17"/>
      <c r="G79" s="18">
        <f t="shared" si="2"/>
        <v>3935</v>
      </c>
      <c r="H79" s="28"/>
      <c r="I79" s="7"/>
    </row>
    <row r="80" spans="1:10" ht="17.25" customHeight="1" x14ac:dyDescent="0.25">
      <c r="A80" s="14">
        <f t="shared" si="3"/>
        <v>72</v>
      </c>
      <c r="B80" s="8"/>
      <c r="C80" s="46"/>
      <c r="D80" s="214"/>
      <c r="E80" s="32"/>
      <c r="F80" s="17"/>
      <c r="G80" s="18">
        <f t="shared" si="2"/>
        <v>3935</v>
      </c>
      <c r="H80" s="28"/>
      <c r="I80" s="7"/>
    </row>
    <row r="81" spans="1:17" ht="17.25" customHeight="1" x14ac:dyDescent="0.25">
      <c r="A81" s="14">
        <f t="shared" si="3"/>
        <v>73</v>
      </c>
      <c r="B81" s="8"/>
      <c r="C81" s="46"/>
      <c r="D81" s="214"/>
      <c r="E81" s="32"/>
      <c r="F81" s="17"/>
      <c r="G81" s="18">
        <f t="shared" si="2"/>
        <v>3935</v>
      </c>
      <c r="H81" s="28"/>
      <c r="I81" s="7"/>
    </row>
    <row r="82" spans="1:17" ht="17.25" customHeight="1" x14ac:dyDescent="0.25">
      <c r="A82" s="14">
        <f t="shared" si="3"/>
        <v>74</v>
      </c>
      <c r="B82" s="8"/>
      <c r="C82" s="46"/>
      <c r="D82" s="214"/>
      <c r="E82" s="32"/>
      <c r="F82" s="17"/>
      <c r="G82" s="18">
        <f t="shared" si="2"/>
        <v>3935</v>
      </c>
      <c r="H82" s="28"/>
      <c r="I82" s="7"/>
    </row>
    <row r="83" spans="1:17" ht="17.25" customHeight="1" x14ac:dyDescent="0.25">
      <c r="A83" s="14">
        <f t="shared" si="3"/>
        <v>75</v>
      </c>
      <c r="B83" s="8"/>
      <c r="C83" s="46"/>
      <c r="D83" s="214"/>
      <c r="E83" s="32"/>
      <c r="F83" s="27"/>
      <c r="G83" s="18">
        <f t="shared" si="2"/>
        <v>3935</v>
      </c>
      <c r="H83" s="28"/>
      <c r="I83" s="7"/>
    </row>
    <row r="84" spans="1:17" ht="17.25" customHeight="1" x14ac:dyDescent="0.25">
      <c r="A84" s="14">
        <f t="shared" si="3"/>
        <v>76</v>
      </c>
      <c r="B84" s="8"/>
      <c r="C84" s="46"/>
      <c r="D84" s="214"/>
      <c r="E84" s="32"/>
      <c r="F84" s="17"/>
      <c r="G84" s="18">
        <f t="shared" si="2"/>
        <v>3935</v>
      </c>
      <c r="H84" s="28"/>
      <c r="I84" s="7"/>
    </row>
    <row r="85" spans="1:17" ht="17.25" customHeight="1" x14ac:dyDescent="0.25">
      <c r="A85" s="14">
        <f t="shared" si="3"/>
        <v>77</v>
      </c>
      <c r="B85" s="8"/>
      <c r="C85" s="46"/>
      <c r="D85" s="214"/>
      <c r="E85" s="32"/>
      <c r="F85" s="17"/>
      <c r="G85" s="18">
        <f t="shared" si="2"/>
        <v>3935</v>
      </c>
      <c r="H85" s="28"/>
      <c r="I85" s="7"/>
    </row>
    <row r="86" spans="1:17" ht="17.25" customHeight="1" x14ac:dyDescent="0.25">
      <c r="A86" s="14">
        <f t="shared" si="3"/>
        <v>78</v>
      </c>
      <c r="B86" s="8"/>
      <c r="C86" s="46"/>
      <c r="D86" s="214"/>
      <c r="E86" s="32"/>
      <c r="F86" s="17"/>
      <c r="G86" s="18">
        <f t="shared" si="2"/>
        <v>3935</v>
      </c>
      <c r="H86" s="28"/>
      <c r="I86" s="7"/>
    </row>
    <row r="87" spans="1:17" ht="17.25" customHeight="1" x14ac:dyDescent="0.25">
      <c r="A87" s="14">
        <f t="shared" si="3"/>
        <v>79</v>
      </c>
      <c r="B87" s="8"/>
      <c r="C87" s="46"/>
      <c r="D87" s="214"/>
      <c r="E87" s="32"/>
      <c r="F87" s="17"/>
      <c r="G87" s="18">
        <f t="shared" si="2"/>
        <v>3935</v>
      </c>
      <c r="H87" s="28"/>
      <c r="I87" s="7"/>
    </row>
    <row r="88" spans="1:17" ht="17.25" customHeight="1" x14ac:dyDescent="0.25">
      <c r="A88" s="14">
        <f t="shared" si="3"/>
        <v>80</v>
      </c>
      <c r="B88" s="8"/>
      <c r="C88" s="46"/>
      <c r="D88" s="214"/>
      <c r="E88" s="32"/>
      <c r="F88" s="17"/>
      <c r="G88" s="18">
        <f t="shared" si="2"/>
        <v>3935</v>
      </c>
      <c r="H88" s="28"/>
      <c r="I88" s="7"/>
    </row>
    <row r="89" spans="1:17" ht="17.25" customHeight="1" x14ac:dyDescent="0.25">
      <c r="A89" s="14">
        <f t="shared" si="3"/>
        <v>81</v>
      </c>
      <c r="B89" s="8"/>
      <c r="C89" s="46"/>
      <c r="D89" s="214"/>
      <c r="E89" s="32"/>
      <c r="F89" s="17"/>
      <c r="G89" s="18">
        <f t="shared" si="2"/>
        <v>3935</v>
      </c>
      <c r="H89" s="28"/>
      <c r="I89" s="7"/>
    </row>
    <row r="90" spans="1:17" ht="17.25" customHeight="1" x14ac:dyDescent="0.25">
      <c r="A90" s="14">
        <f t="shared" si="3"/>
        <v>82</v>
      </c>
      <c r="B90" s="8"/>
      <c r="C90" s="46"/>
      <c r="D90" s="214"/>
      <c r="E90" s="32"/>
      <c r="F90" s="17"/>
      <c r="G90" s="18">
        <f t="shared" si="2"/>
        <v>3935</v>
      </c>
      <c r="H90" s="28"/>
      <c r="I90" s="7"/>
      <c r="L90" s="199"/>
      <c r="Q90" s="199"/>
    </row>
    <row r="91" spans="1:17" ht="17.25" customHeight="1" x14ac:dyDescent="0.25">
      <c r="A91" s="14">
        <f t="shared" si="3"/>
        <v>83</v>
      </c>
      <c r="B91" s="8"/>
      <c r="C91" s="46"/>
      <c r="D91" s="214"/>
      <c r="E91" s="32"/>
      <c r="F91" s="27"/>
      <c r="G91" s="18">
        <f t="shared" si="2"/>
        <v>3935</v>
      </c>
      <c r="H91" s="28"/>
      <c r="I91" s="7"/>
      <c r="L91" s="199"/>
      <c r="Q91" s="199"/>
    </row>
    <row r="92" spans="1:17" ht="17.25" customHeight="1" x14ac:dyDescent="0.25">
      <c r="A92" s="14">
        <f t="shared" si="3"/>
        <v>84</v>
      </c>
      <c r="B92" s="8"/>
      <c r="C92" s="46"/>
      <c r="D92" s="214"/>
      <c r="E92" s="32"/>
      <c r="F92" s="27"/>
      <c r="G92" s="18">
        <f t="shared" si="2"/>
        <v>3935</v>
      </c>
      <c r="H92" s="28"/>
      <c r="I92" s="7"/>
      <c r="L92" s="199"/>
      <c r="Q92" s="199"/>
    </row>
    <row r="93" spans="1:17" ht="17.25" customHeight="1" x14ac:dyDescent="0.25">
      <c r="A93" s="14">
        <f t="shared" si="3"/>
        <v>85</v>
      </c>
      <c r="B93" s="8"/>
      <c r="C93" s="46"/>
      <c r="D93" s="214"/>
      <c r="E93" s="32"/>
      <c r="F93" s="27"/>
      <c r="G93" s="18">
        <f t="shared" si="2"/>
        <v>3935</v>
      </c>
      <c r="H93" s="28"/>
      <c r="I93" s="7"/>
      <c r="L93" s="199"/>
      <c r="Q93" s="199"/>
    </row>
    <row r="94" spans="1:17" ht="17.25" customHeight="1" x14ac:dyDescent="0.25">
      <c r="A94" s="14">
        <f t="shared" si="3"/>
        <v>86</v>
      </c>
      <c r="B94" s="8"/>
      <c r="C94" s="46"/>
      <c r="D94" s="214"/>
      <c r="E94" s="32"/>
      <c r="F94" s="27"/>
      <c r="G94" s="18">
        <f t="shared" si="2"/>
        <v>3935</v>
      </c>
      <c r="H94" s="28"/>
      <c r="I94" s="7"/>
      <c r="L94" s="199"/>
      <c r="Q94" s="199"/>
    </row>
    <row r="95" spans="1:17" ht="17.25" customHeight="1" x14ac:dyDescent="0.25">
      <c r="A95" s="14">
        <f t="shared" si="3"/>
        <v>87</v>
      </c>
      <c r="B95" s="8"/>
      <c r="C95" s="46"/>
      <c r="D95" s="214"/>
      <c r="E95" s="32"/>
      <c r="F95" s="27"/>
      <c r="G95" s="18">
        <f t="shared" si="2"/>
        <v>3935</v>
      </c>
      <c r="H95" s="28"/>
      <c r="I95" s="7"/>
      <c r="L95" s="199"/>
      <c r="Q95" s="199"/>
    </row>
    <row r="96" spans="1:17" ht="17.25" customHeight="1" x14ac:dyDescent="0.25">
      <c r="A96" s="14">
        <f t="shared" si="3"/>
        <v>88</v>
      </c>
      <c r="B96" s="37"/>
      <c r="C96" s="46"/>
      <c r="D96" s="10"/>
      <c r="E96" s="32"/>
      <c r="F96" s="27"/>
      <c r="G96" s="18">
        <f t="shared" si="2"/>
        <v>3935</v>
      </c>
      <c r="H96" s="28"/>
      <c r="I96" s="7"/>
      <c r="L96" s="199"/>
      <c r="Q96" s="199"/>
    </row>
    <row r="97" spans="1:9" ht="17.25" customHeight="1" x14ac:dyDescent="0.25">
      <c r="A97" s="14">
        <f t="shared" si="3"/>
        <v>89</v>
      </c>
      <c r="B97" s="7"/>
      <c r="C97" s="34" t="s">
        <v>13</v>
      </c>
      <c r="D97" s="14"/>
      <c r="E97" s="35">
        <f>SUM(E8:E96)</f>
        <v>6935</v>
      </c>
      <c r="F97" s="35">
        <f>SUM(F8:F96)</f>
        <v>3000</v>
      </c>
      <c r="G97" s="35">
        <f>+E97-F97+G8</f>
        <v>3935</v>
      </c>
      <c r="H97" s="35"/>
      <c r="I97" s="36"/>
    </row>
    <row r="101" spans="1:9" x14ac:dyDescent="0.25">
      <c r="E101" s="201"/>
      <c r="F101" s="201"/>
      <c r="G101" s="201"/>
      <c r="H101" s="201"/>
    </row>
    <row r="102" spans="1:9" x14ac:dyDescent="0.25">
      <c r="F102" s="26"/>
    </row>
    <row r="103" spans="1:9" x14ac:dyDescent="0.25">
      <c r="E103" s="26"/>
      <c r="F103" s="26"/>
      <c r="G103" s="26"/>
      <c r="H103" s="26"/>
      <c r="I103" s="26"/>
    </row>
    <row r="104" spans="1:9" x14ac:dyDescent="0.25">
      <c r="I104" s="202"/>
    </row>
    <row r="105" spans="1:9" x14ac:dyDescent="0.25">
      <c r="E105" s="199"/>
    </row>
    <row r="106" spans="1:9" x14ac:dyDescent="0.25">
      <c r="E106" s="26"/>
      <c r="F106" s="26"/>
    </row>
    <row r="107" spans="1:9" x14ac:dyDescent="0.25">
      <c r="E107" s="203"/>
      <c r="F107" s="204"/>
      <c r="G107" s="203"/>
      <c r="H107" s="203"/>
    </row>
    <row r="108" spans="1:9" x14ac:dyDescent="0.25">
      <c r="F108" s="26"/>
    </row>
  </sheetData>
  <mergeCells count="1">
    <mergeCell ref="A4:I5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39"/>
  <dimension ref="A1:AE35"/>
  <sheetViews>
    <sheetView workbookViewId="0">
      <selection activeCell="AF28" sqref="AF28"/>
    </sheetView>
  </sheetViews>
  <sheetFormatPr defaultRowHeight="15" x14ac:dyDescent="0.25"/>
  <cols>
    <col min="1" max="1" width="6" customWidth="1"/>
    <col min="2" max="2" width="11.5703125" style="1" customWidth="1"/>
    <col min="3" max="3" width="45.42578125" customWidth="1"/>
    <col min="4" max="4" width="6" customWidth="1"/>
    <col min="5" max="5" width="8.7109375" customWidth="1"/>
    <col min="6" max="6" width="12.28515625" customWidth="1"/>
    <col min="7" max="10" width="12.28515625" hidden="1" customWidth="1"/>
    <col min="11" max="11" width="12.28515625" style="149" customWidth="1"/>
    <col min="12" max="14" width="12" customWidth="1"/>
    <col min="15" max="15" width="12" hidden="1" customWidth="1"/>
    <col min="16" max="20" width="12.7109375" hidden="1" customWidth="1"/>
    <col min="21" max="22" width="11.28515625" hidden="1" customWidth="1"/>
    <col min="23" max="23" width="10.28515625" hidden="1" customWidth="1"/>
    <col min="24" max="24" width="10.42578125" hidden="1" customWidth="1"/>
    <col min="25" max="29" width="9.140625" hidden="1" customWidth="1"/>
    <col min="31" max="31" width="11.28515625" bestFit="1" customWidth="1"/>
    <col min="36" max="36" width="11.7109375" bestFit="1" customWidth="1"/>
    <col min="265" max="265" width="6" customWidth="1"/>
    <col min="266" max="266" width="11.5703125" customWidth="1"/>
    <col min="267" max="267" width="45.42578125" customWidth="1"/>
    <col min="268" max="268" width="6" customWidth="1"/>
    <col min="269" max="269" width="8.7109375" customWidth="1"/>
    <col min="270" max="272" width="12.28515625" customWidth="1"/>
    <col min="273" max="274" width="12" customWidth="1"/>
    <col min="275" max="278" width="12.7109375" customWidth="1"/>
    <col min="279" max="279" width="11.28515625" customWidth="1"/>
    <col min="287" max="287" width="11.28515625" bestFit="1" customWidth="1"/>
    <col min="292" max="292" width="11.7109375" bestFit="1" customWidth="1"/>
    <col min="521" max="521" width="6" customWidth="1"/>
    <col min="522" max="522" width="11.5703125" customWidth="1"/>
    <col min="523" max="523" width="45.42578125" customWidth="1"/>
    <col min="524" max="524" width="6" customWidth="1"/>
    <col min="525" max="525" width="8.7109375" customWidth="1"/>
    <col min="526" max="528" width="12.28515625" customWidth="1"/>
    <col min="529" max="530" width="12" customWidth="1"/>
    <col min="531" max="534" width="12.7109375" customWidth="1"/>
    <col min="535" max="535" width="11.28515625" customWidth="1"/>
    <col min="543" max="543" width="11.28515625" bestFit="1" customWidth="1"/>
    <col min="548" max="548" width="11.7109375" bestFit="1" customWidth="1"/>
    <col min="777" max="777" width="6" customWidth="1"/>
    <col min="778" max="778" width="11.5703125" customWidth="1"/>
    <col min="779" max="779" width="45.42578125" customWidth="1"/>
    <col min="780" max="780" width="6" customWidth="1"/>
    <col min="781" max="781" width="8.7109375" customWidth="1"/>
    <col min="782" max="784" width="12.28515625" customWidth="1"/>
    <col min="785" max="786" width="12" customWidth="1"/>
    <col min="787" max="790" width="12.7109375" customWidth="1"/>
    <col min="791" max="791" width="11.28515625" customWidth="1"/>
    <col min="799" max="799" width="11.28515625" bestFit="1" customWidth="1"/>
    <col min="804" max="804" width="11.7109375" bestFit="1" customWidth="1"/>
    <col min="1033" max="1033" width="6" customWidth="1"/>
    <col min="1034" max="1034" width="11.5703125" customWidth="1"/>
    <col min="1035" max="1035" width="45.42578125" customWidth="1"/>
    <col min="1036" max="1036" width="6" customWidth="1"/>
    <col min="1037" max="1037" width="8.7109375" customWidth="1"/>
    <col min="1038" max="1040" width="12.28515625" customWidth="1"/>
    <col min="1041" max="1042" width="12" customWidth="1"/>
    <col min="1043" max="1046" width="12.7109375" customWidth="1"/>
    <col min="1047" max="1047" width="11.28515625" customWidth="1"/>
    <col min="1055" max="1055" width="11.28515625" bestFit="1" customWidth="1"/>
    <col min="1060" max="1060" width="11.7109375" bestFit="1" customWidth="1"/>
    <col min="1289" max="1289" width="6" customWidth="1"/>
    <col min="1290" max="1290" width="11.5703125" customWidth="1"/>
    <col min="1291" max="1291" width="45.42578125" customWidth="1"/>
    <col min="1292" max="1292" width="6" customWidth="1"/>
    <col min="1293" max="1293" width="8.7109375" customWidth="1"/>
    <col min="1294" max="1296" width="12.28515625" customWidth="1"/>
    <col min="1297" max="1298" width="12" customWidth="1"/>
    <col min="1299" max="1302" width="12.7109375" customWidth="1"/>
    <col min="1303" max="1303" width="11.28515625" customWidth="1"/>
    <col min="1311" max="1311" width="11.28515625" bestFit="1" customWidth="1"/>
    <col min="1316" max="1316" width="11.7109375" bestFit="1" customWidth="1"/>
    <col min="1545" max="1545" width="6" customWidth="1"/>
    <col min="1546" max="1546" width="11.5703125" customWidth="1"/>
    <col min="1547" max="1547" width="45.42578125" customWidth="1"/>
    <col min="1548" max="1548" width="6" customWidth="1"/>
    <col min="1549" max="1549" width="8.7109375" customWidth="1"/>
    <col min="1550" max="1552" width="12.28515625" customWidth="1"/>
    <col min="1553" max="1554" width="12" customWidth="1"/>
    <col min="1555" max="1558" width="12.7109375" customWidth="1"/>
    <col min="1559" max="1559" width="11.28515625" customWidth="1"/>
    <col min="1567" max="1567" width="11.28515625" bestFit="1" customWidth="1"/>
    <col min="1572" max="1572" width="11.7109375" bestFit="1" customWidth="1"/>
    <col min="1801" max="1801" width="6" customWidth="1"/>
    <col min="1802" max="1802" width="11.5703125" customWidth="1"/>
    <col min="1803" max="1803" width="45.42578125" customWidth="1"/>
    <col min="1804" max="1804" width="6" customWidth="1"/>
    <col min="1805" max="1805" width="8.7109375" customWidth="1"/>
    <col min="1806" max="1808" width="12.28515625" customWidth="1"/>
    <col min="1809" max="1810" width="12" customWidth="1"/>
    <col min="1811" max="1814" width="12.7109375" customWidth="1"/>
    <col min="1815" max="1815" width="11.28515625" customWidth="1"/>
    <col min="1823" max="1823" width="11.28515625" bestFit="1" customWidth="1"/>
    <col min="1828" max="1828" width="11.7109375" bestFit="1" customWidth="1"/>
    <col min="2057" max="2057" width="6" customWidth="1"/>
    <col min="2058" max="2058" width="11.5703125" customWidth="1"/>
    <col min="2059" max="2059" width="45.42578125" customWidth="1"/>
    <col min="2060" max="2060" width="6" customWidth="1"/>
    <col min="2061" max="2061" width="8.7109375" customWidth="1"/>
    <col min="2062" max="2064" width="12.28515625" customWidth="1"/>
    <col min="2065" max="2066" width="12" customWidth="1"/>
    <col min="2067" max="2070" width="12.7109375" customWidth="1"/>
    <col min="2071" max="2071" width="11.28515625" customWidth="1"/>
    <col min="2079" max="2079" width="11.28515625" bestFit="1" customWidth="1"/>
    <col min="2084" max="2084" width="11.7109375" bestFit="1" customWidth="1"/>
    <col min="2313" max="2313" width="6" customWidth="1"/>
    <col min="2314" max="2314" width="11.5703125" customWidth="1"/>
    <col min="2315" max="2315" width="45.42578125" customWidth="1"/>
    <col min="2316" max="2316" width="6" customWidth="1"/>
    <col min="2317" max="2317" width="8.7109375" customWidth="1"/>
    <col min="2318" max="2320" width="12.28515625" customWidth="1"/>
    <col min="2321" max="2322" width="12" customWidth="1"/>
    <col min="2323" max="2326" width="12.7109375" customWidth="1"/>
    <col min="2327" max="2327" width="11.28515625" customWidth="1"/>
    <col min="2335" max="2335" width="11.28515625" bestFit="1" customWidth="1"/>
    <col min="2340" max="2340" width="11.7109375" bestFit="1" customWidth="1"/>
    <col min="2569" max="2569" width="6" customWidth="1"/>
    <col min="2570" max="2570" width="11.5703125" customWidth="1"/>
    <col min="2571" max="2571" width="45.42578125" customWidth="1"/>
    <col min="2572" max="2572" width="6" customWidth="1"/>
    <col min="2573" max="2573" width="8.7109375" customWidth="1"/>
    <col min="2574" max="2576" width="12.28515625" customWidth="1"/>
    <col min="2577" max="2578" width="12" customWidth="1"/>
    <col min="2579" max="2582" width="12.7109375" customWidth="1"/>
    <col min="2583" max="2583" width="11.28515625" customWidth="1"/>
    <col min="2591" max="2591" width="11.28515625" bestFit="1" customWidth="1"/>
    <col min="2596" max="2596" width="11.7109375" bestFit="1" customWidth="1"/>
    <col min="2825" max="2825" width="6" customWidth="1"/>
    <col min="2826" max="2826" width="11.5703125" customWidth="1"/>
    <col min="2827" max="2827" width="45.42578125" customWidth="1"/>
    <col min="2828" max="2828" width="6" customWidth="1"/>
    <col min="2829" max="2829" width="8.7109375" customWidth="1"/>
    <col min="2830" max="2832" width="12.28515625" customWidth="1"/>
    <col min="2833" max="2834" width="12" customWidth="1"/>
    <col min="2835" max="2838" width="12.7109375" customWidth="1"/>
    <col min="2839" max="2839" width="11.28515625" customWidth="1"/>
    <col min="2847" max="2847" width="11.28515625" bestFit="1" customWidth="1"/>
    <col min="2852" max="2852" width="11.7109375" bestFit="1" customWidth="1"/>
    <col min="3081" max="3081" width="6" customWidth="1"/>
    <col min="3082" max="3082" width="11.5703125" customWidth="1"/>
    <col min="3083" max="3083" width="45.42578125" customWidth="1"/>
    <col min="3084" max="3084" width="6" customWidth="1"/>
    <col min="3085" max="3085" width="8.7109375" customWidth="1"/>
    <col min="3086" max="3088" width="12.28515625" customWidth="1"/>
    <col min="3089" max="3090" width="12" customWidth="1"/>
    <col min="3091" max="3094" width="12.7109375" customWidth="1"/>
    <col min="3095" max="3095" width="11.28515625" customWidth="1"/>
    <col min="3103" max="3103" width="11.28515625" bestFit="1" customWidth="1"/>
    <col min="3108" max="3108" width="11.7109375" bestFit="1" customWidth="1"/>
    <col min="3337" max="3337" width="6" customWidth="1"/>
    <col min="3338" max="3338" width="11.5703125" customWidth="1"/>
    <col min="3339" max="3339" width="45.42578125" customWidth="1"/>
    <col min="3340" max="3340" width="6" customWidth="1"/>
    <col min="3341" max="3341" width="8.7109375" customWidth="1"/>
    <col min="3342" max="3344" width="12.28515625" customWidth="1"/>
    <col min="3345" max="3346" width="12" customWidth="1"/>
    <col min="3347" max="3350" width="12.7109375" customWidth="1"/>
    <col min="3351" max="3351" width="11.28515625" customWidth="1"/>
    <col min="3359" max="3359" width="11.28515625" bestFit="1" customWidth="1"/>
    <col min="3364" max="3364" width="11.7109375" bestFit="1" customWidth="1"/>
    <col min="3593" max="3593" width="6" customWidth="1"/>
    <col min="3594" max="3594" width="11.5703125" customWidth="1"/>
    <col min="3595" max="3595" width="45.42578125" customWidth="1"/>
    <col min="3596" max="3596" width="6" customWidth="1"/>
    <col min="3597" max="3597" width="8.7109375" customWidth="1"/>
    <col min="3598" max="3600" width="12.28515625" customWidth="1"/>
    <col min="3601" max="3602" width="12" customWidth="1"/>
    <col min="3603" max="3606" width="12.7109375" customWidth="1"/>
    <col min="3607" max="3607" width="11.28515625" customWidth="1"/>
    <col min="3615" max="3615" width="11.28515625" bestFit="1" customWidth="1"/>
    <col min="3620" max="3620" width="11.7109375" bestFit="1" customWidth="1"/>
    <col min="3849" max="3849" width="6" customWidth="1"/>
    <col min="3850" max="3850" width="11.5703125" customWidth="1"/>
    <col min="3851" max="3851" width="45.42578125" customWidth="1"/>
    <col min="3852" max="3852" width="6" customWidth="1"/>
    <col min="3853" max="3853" width="8.7109375" customWidth="1"/>
    <col min="3854" max="3856" width="12.28515625" customWidth="1"/>
    <col min="3857" max="3858" width="12" customWidth="1"/>
    <col min="3859" max="3862" width="12.7109375" customWidth="1"/>
    <col min="3863" max="3863" width="11.28515625" customWidth="1"/>
    <col min="3871" max="3871" width="11.28515625" bestFit="1" customWidth="1"/>
    <col min="3876" max="3876" width="11.7109375" bestFit="1" customWidth="1"/>
    <col min="4105" max="4105" width="6" customWidth="1"/>
    <col min="4106" max="4106" width="11.5703125" customWidth="1"/>
    <col min="4107" max="4107" width="45.42578125" customWidth="1"/>
    <col min="4108" max="4108" width="6" customWidth="1"/>
    <col min="4109" max="4109" width="8.7109375" customWidth="1"/>
    <col min="4110" max="4112" width="12.28515625" customWidth="1"/>
    <col min="4113" max="4114" width="12" customWidth="1"/>
    <col min="4115" max="4118" width="12.7109375" customWidth="1"/>
    <col min="4119" max="4119" width="11.28515625" customWidth="1"/>
    <col min="4127" max="4127" width="11.28515625" bestFit="1" customWidth="1"/>
    <col min="4132" max="4132" width="11.7109375" bestFit="1" customWidth="1"/>
    <col min="4361" max="4361" width="6" customWidth="1"/>
    <col min="4362" max="4362" width="11.5703125" customWidth="1"/>
    <col min="4363" max="4363" width="45.42578125" customWidth="1"/>
    <col min="4364" max="4364" width="6" customWidth="1"/>
    <col min="4365" max="4365" width="8.7109375" customWidth="1"/>
    <col min="4366" max="4368" width="12.28515625" customWidth="1"/>
    <col min="4369" max="4370" width="12" customWidth="1"/>
    <col min="4371" max="4374" width="12.7109375" customWidth="1"/>
    <col min="4375" max="4375" width="11.28515625" customWidth="1"/>
    <col min="4383" max="4383" width="11.28515625" bestFit="1" customWidth="1"/>
    <col min="4388" max="4388" width="11.7109375" bestFit="1" customWidth="1"/>
    <col min="4617" max="4617" width="6" customWidth="1"/>
    <col min="4618" max="4618" width="11.5703125" customWidth="1"/>
    <col min="4619" max="4619" width="45.42578125" customWidth="1"/>
    <col min="4620" max="4620" width="6" customWidth="1"/>
    <col min="4621" max="4621" width="8.7109375" customWidth="1"/>
    <col min="4622" max="4624" width="12.28515625" customWidth="1"/>
    <col min="4625" max="4626" width="12" customWidth="1"/>
    <col min="4627" max="4630" width="12.7109375" customWidth="1"/>
    <col min="4631" max="4631" width="11.28515625" customWidth="1"/>
    <col min="4639" max="4639" width="11.28515625" bestFit="1" customWidth="1"/>
    <col min="4644" max="4644" width="11.7109375" bestFit="1" customWidth="1"/>
    <col min="4873" max="4873" width="6" customWidth="1"/>
    <col min="4874" max="4874" width="11.5703125" customWidth="1"/>
    <col min="4875" max="4875" width="45.42578125" customWidth="1"/>
    <col min="4876" max="4876" width="6" customWidth="1"/>
    <col min="4877" max="4877" width="8.7109375" customWidth="1"/>
    <col min="4878" max="4880" width="12.28515625" customWidth="1"/>
    <col min="4881" max="4882" width="12" customWidth="1"/>
    <col min="4883" max="4886" width="12.7109375" customWidth="1"/>
    <col min="4887" max="4887" width="11.28515625" customWidth="1"/>
    <col min="4895" max="4895" width="11.28515625" bestFit="1" customWidth="1"/>
    <col min="4900" max="4900" width="11.7109375" bestFit="1" customWidth="1"/>
    <col min="5129" max="5129" width="6" customWidth="1"/>
    <col min="5130" max="5130" width="11.5703125" customWidth="1"/>
    <col min="5131" max="5131" width="45.42578125" customWidth="1"/>
    <col min="5132" max="5132" width="6" customWidth="1"/>
    <col min="5133" max="5133" width="8.7109375" customWidth="1"/>
    <col min="5134" max="5136" width="12.28515625" customWidth="1"/>
    <col min="5137" max="5138" width="12" customWidth="1"/>
    <col min="5139" max="5142" width="12.7109375" customWidth="1"/>
    <col min="5143" max="5143" width="11.28515625" customWidth="1"/>
    <col min="5151" max="5151" width="11.28515625" bestFit="1" customWidth="1"/>
    <col min="5156" max="5156" width="11.7109375" bestFit="1" customWidth="1"/>
    <col min="5385" max="5385" width="6" customWidth="1"/>
    <col min="5386" max="5386" width="11.5703125" customWidth="1"/>
    <col min="5387" max="5387" width="45.42578125" customWidth="1"/>
    <col min="5388" max="5388" width="6" customWidth="1"/>
    <col min="5389" max="5389" width="8.7109375" customWidth="1"/>
    <col min="5390" max="5392" width="12.28515625" customWidth="1"/>
    <col min="5393" max="5394" width="12" customWidth="1"/>
    <col min="5395" max="5398" width="12.7109375" customWidth="1"/>
    <col min="5399" max="5399" width="11.28515625" customWidth="1"/>
    <col min="5407" max="5407" width="11.28515625" bestFit="1" customWidth="1"/>
    <col min="5412" max="5412" width="11.7109375" bestFit="1" customWidth="1"/>
    <col min="5641" max="5641" width="6" customWidth="1"/>
    <col min="5642" max="5642" width="11.5703125" customWidth="1"/>
    <col min="5643" max="5643" width="45.42578125" customWidth="1"/>
    <col min="5644" max="5644" width="6" customWidth="1"/>
    <col min="5645" max="5645" width="8.7109375" customWidth="1"/>
    <col min="5646" max="5648" width="12.28515625" customWidth="1"/>
    <col min="5649" max="5650" width="12" customWidth="1"/>
    <col min="5651" max="5654" width="12.7109375" customWidth="1"/>
    <col min="5655" max="5655" width="11.28515625" customWidth="1"/>
    <col min="5663" max="5663" width="11.28515625" bestFit="1" customWidth="1"/>
    <col min="5668" max="5668" width="11.7109375" bestFit="1" customWidth="1"/>
    <col min="5897" max="5897" width="6" customWidth="1"/>
    <col min="5898" max="5898" width="11.5703125" customWidth="1"/>
    <col min="5899" max="5899" width="45.42578125" customWidth="1"/>
    <col min="5900" max="5900" width="6" customWidth="1"/>
    <col min="5901" max="5901" width="8.7109375" customWidth="1"/>
    <col min="5902" max="5904" width="12.28515625" customWidth="1"/>
    <col min="5905" max="5906" width="12" customWidth="1"/>
    <col min="5907" max="5910" width="12.7109375" customWidth="1"/>
    <col min="5911" max="5911" width="11.28515625" customWidth="1"/>
    <col min="5919" max="5919" width="11.28515625" bestFit="1" customWidth="1"/>
    <col min="5924" max="5924" width="11.7109375" bestFit="1" customWidth="1"/>
    <col min="6153" max="6153" width="6" customWidth="1"/>
    <col min="6154" max="6154" width="11.5703125" customWidth="1"/>
    <col min="6155" max="6155" width="45.42578125" customWidth="1"/>
    <col min="6156" max="6156" width="6" customWidth="1"/>
    <col min="6157" max="6157" width="8.7109375" customWidth="1"/>
    <col min="6158" max="6160" width="12.28515625" customWidth="1"/>
    <col min="6161" max="6162" width="12" customWidth="1"/>
    <col min="6163" max="6166" width="12.7109375" customWidth="1"/>
    <col min="6167" max="6167" width="11.28515625" customWidth="1"/>
    <col min="6175" max="6175" width="11.28515625" bestFit="1" customWidth="1"/>
    <col min="6180" max="6180" width="11.7109375" bestFit="1" customWidth="1"/>
    <col min="6409" max="6409" width="6" customWidth="1"/>
    <col min="6410" max="6410" width="11.5703125" customWidth="1"/>
    <col min="6411" max="6411" width="45.42578125" customWidth="1"/>
    <col min="6412" max="6412" width="6" customWidth="1"/>
    <col min="6413" max="6413" width="8.7109375" customWidth="1"/>
    <col min="6414" max="6416" width="12.28515625" customWidth="1"/>
    <col min="6417" max="6418" width="12" customWidth="1"/>
    <col min="6419" max="6422" width="12.7109375" customWidth="1"/>
    <col min="6423" max="6423" width="11.28515625" customWidth="1"/>
    <col min="6431" max="6431" width="11.28515625" bestFit="1" customWidth="1"/>
    <col min="6436" max="6436" width="11.7109375" bestFit="1" customWidth="1"/>
    <col min="6665" max="6665" width="6" customWidth="1"/>
    <col min="6666" max="6666" width="11.5703125" customWidth="1"/>
    <col min="6667" max="6667" width="45.42578125" customWidth="1"/>
    <col min="6668" max="6668" width="6" customWidth="1"/>
    <col min="6669" max="6669" width="8.7109375" customWidth="1"/>
    <col min="6670" max="6672" width="12.28515625" customWidth="1"/>
    <col min="6673" max="6674" width="12" customWidth="1"/>
    <col min="6675" max="6678" width="12.7109375" customWidth="1"/>
    <col min="6679" max="6679" width="11.28515625" customWidth="1"/>
    <col min="6687" max="6687" width="11.28515625" bestFit="1" customWidth="1"/>
    <col min="6692" max="6692" width="11.7109375" bestFit="1" customWidth="1"/>
    <col min="6921" max="6921" width="6" customWidth="1"/>
    <col min="6922" max="6922" width="11.5703125" customWidth="1"/>
    <col min="6923" max="6923" width="45.42578125" customWidth="1"/>
    <col min="6924" max="6924" width="6" customWidth="1"/>
    <col min="6925" max="6925" width="8.7109375" customWidth="1"/>
    <col min="6926" max="6928" width="12.28515625" customWidth="1"/>
    <col min="6929" max="6930" width="12" customWidth="1"/>
    <col min="6931" max="6934" width="12.7109375" customWidth="1"/>
    <col min="6935" max="6935" width="11.28515625" customWidth="1"/>
    <col min="6943" max="6943" width="11.28515625" bestFit="1" customWidth="1"/>
    <col min="6948" max="6948" width="11.7109375" bestFit="1" customWidth="1"/>
    <col min="7177" max="7177" width="6" customWidth="1"/>
    <col min="7178" max="7178" width="11.5703125" customWidth="1"/>
    <col min="7179" max="7179" width="45.42578125" customWidth="1"/>
    <col min="7180" max="7180" width="6" customWidth="1"/>
    <col min="7181" max="7181" width="8.7109375" customWidth="1"/>
    <col min="7182" max="7184" width="12.28515625" customWidth="1"/>
    <col min="7185" max="7186" width="12" customWidth="1"/>
    <col min="7187" max="7190" width="12.7109375" customWidth="1"/>
    <col min="7191" max="7191" width="11.28515625" customWidth="1"/>
    <col min="7199" max="7199" width="11.28515625" bestFit="1" customWidth="1"/>
    <col min="7204" max="7204" width="11.7109375" bestFit="1" customWidth="1"/>
    <col min="7433" max="7433" width="6" customWidth="1"/>
    <col min="7434" max="7434" width="11.5703125" customWidth="1"/>
    <col min="7435" max="7435" width="45.42578125" customWidth="1"/>
    <col min="7436" max="7436" width="6" customWidth="1"/>
    <col min="7437" max="7437" width="8.7109375" customWidth="1"/>
    <col min="7438" max="7440" width="12.28515625" customWidth="1"/>
    <col min="7441" max="7442" width="12" customWidth="1"/>
    <col min="7443" max="7446" width="12.7109375" customWidth="1"/>
    <col min="7447" max="7447" width="11.28515625" customWidth="1"/>
    <col min="7455" max="7455" width="11.28515625" bestFit="1" customWidth="1"/>
    <col min="7460" max="7460" width="11.7109375" bestFit="1" customWidth="1"/>
    <col min="7689" max="7689" width="6" customWidth="1"/>
    <col min="7690" max="7690" width="11.5703125" customWidth="1"/>
    <col min="7691" max="7691" width="45.42578125" customWidth="1"/>
    <col min="7692" max="7692" width="6" customWidth="1"/>
    <col min="7693" max="7693" width="8.7109375" customWidth="1"/>
    <col min="7694" max="7696" width="12.28515625" customWidth="1"/>
    <col min="7697" max="7698" width="12" customWidth="1"/>
    <col min="7699" max="7702" width="12.7109375" customWidth="1"/>
    <col min="7703" max="7703" width="11.28515625" customWidth="1"/>
    <col min="7711" max="7711" width="11.28515625" bestFit="1" customWidth="1"/>
    <col min="7716" max="7716" width="11.7109375" bestFit="1" customWidth="1"/>
    <col min="7945" max="7945" width="6" customWidth="1"/>
    <col min="7946" max="7946" width="11.5703125" customWidth="1"/>
    <col min="7947" max="7947" width="45.42578125" customWidth="1"/>
    <col min="7948" max="7948" width="6" customWidth="1"/>
    <col min="7949" max="7949" width="8.7109375" customWidth="1"/>
    <col min="7950" max="7952" width="12.28515625" customWidth="1"/>
    <col min="7953" max="7954" width="12" customWidth="1"/>
    <col min="7955" max="7958" width="12.7109375" customWidth="1"/>
    <col min="7959" max="7959" width="11.28515625" customWidth="1"/>
    <col min="7967" max="7967" width="11.28515625" bestFit="1" customWidth="1"/>
    <col min="7972" max="7972" width="11.7109375" bestFit="1" customWidth="1"/>
    <col min="8201" max="8201" width="6" customWidth="1"/>
    <col min="8202" max="8202" width="11.5703125" customWidth="1"/>
    <col min="8203" max="8203" width="45.42578125" customWidth="1"/>
    <col min="8204" max="8204" width="6" customWidth="1"/>
    <col min="8205" max="8205" width="8.7109375" customWidth="1"/>
    <col min="8206" max="8208" width="12.28515625" customWidth="1"/>
    <col min="8209" max="8210" width="12" customWidth="1"/>
    <col min="8211" max="8214" width="12.7109375" customWidth="1"/>
    <col min="8215" max="8215" width="11.28515625" customWidth="1"/>
    <col min="8223" max="8223" width="11.28515625" bestFit="1" customWidth="1"/>
    <col min="8228" max="8228" width="11.7109375" bestFit="1" customWidth="1"/>
    <col min="8457" max="8457" width="6" customWidth="1"/>
    <col min="8458" max="8458" width="11.5703125" customWidth="1"/>
    <col min="8459" max="8459" width="45.42578125" customWidth="1"/>
    <col min="8460" max="8460" width="6" customWidth="1"/>
    <col min="8461" max="8461" width="8.7109375" customWidth="1"/>
    <col min="8462" max="8464" width="12.28515625" customWidth="1"/>
    <col min="8465" max="8466" width="12" customWidth="1"/>
    <col min="8467" max="8470" width="12.7109375" customWidth="1"/>
    <col min="8471" max="8471" width="11.28515625" customWidth="1"/>
    <col min="8479" max="8479" width="11.28515625" bestFit="1" customWidth="1"/>
    <col min="8484" max="8484" width="11.7109375" bestFit="1" customWidth="1"/>
    <col min="8713" max="8713" width="6" customWidth="1"/>
    <col min="8714" max="8714" width="11.5703125" customWidth="1"/>
    <col min="8715" max="8715" width="45.42578125" customWidth="1"/>
    <col min="8716" max="8716" width="6" customWidth="1"/>
    <col min="8717" max="8717" width="8.7109375" customWidth="1"/>
    <col min="8718" max="8720" width="12.28515625" customWidth="1"/>
    <col min="8721" max="8722" width="12" customWidth="1"/>
    <col min="8723" max="8726" width="12.7109375" customWidth="1"/>
    <col min="8727" max="8727" width="11.28515625" customWidth="1"/>
    <col min="8735" max="8735" width="11.28515625" bestFit="1" customWidth="1"/>
    <col min="8740" max="8740" width="11.7109375" bestFit="1" customWidth="1"/>
    <col min="8969" max="8969" width="6" customWidth="1"/>
    <col min="8970" max="8970" width="11.5703125" customWidth="1"/>
    <col min="8971" max="8971" width="45.42578125" customWidth="1"/>
    <col min="8972" max="8972" width="6" customWidth="1"/>
    <col min="8973" max="8973" width="8.7109375" customWidth="1"/>
    <col min="8974" max="8976" width="12.28515625" customWidth="1"/>
    <col min="8977" max="8978" width="12" customWidth="1"/>
    <col min="8979" max="8982" width="12.7109375" customWidth="1"/>
    <col min="8983" max="8983" width="11.28515625" customWidth="1"/>
    <col min="8991" max="8991" width="11.28515625" bestFit="1" customWidth="1"/>
    <col min="8996" max="8996" width="11.7109375" bestFit="1" customWidth="1"/>
    <col min="9225" max="9225" width="6" customWidth="1"/>
    <col min="9226" max="9226" width="11.5703125" customWidth="1"/>
    <col min="9227" max="9227" width="45.42578125" customWidth="1"/>
    <col min="9228" max="9228" width="6" customWidth="1"/>
    <col min="9229" max="9229" width="8.7109375" customWidth="1"/>
    <col min="9230" max="9232" width="12.28515625" customWidth="1"/>
    <col min="9233" max="9234" width="12" customWidth="1"/>
    <col min="9235" max="9238" width="12.7109375" customWidth="1"/>
    <col min="9239" max="9239" width="11.28515625" customWidth="1"/>
    <col min="9247" max="9247" width="11.28515625" bestFit="1" customWidth="1"/>
    <col min="9252" max="9252" width="11.7109375" bestFit="1" customWidth="1"/>
    <col min="9481" max="9481" width="6" customWidth="1"/>
    <col min="9482" max="9482" width="11.5703125" customWidth="1"/>
    <col min="9483" max="9483" width="45.42578125" customWidth="1"/>
    <col min="9484" max="9484" width="6" customWidth="1"/>
    <col min="9485" max="9485" width="8.7109375" customWidth="1"/>
    <col min="9486" max="9488" width="12.28515625" customWidth="1"/>
    <col min="9489" max="9490" width="12" customWidth="1"/>
    <col min="9491" max="9494" width="12.7109375" customWidth="1"/>
    <col min="9495" max="9495" width="11.28515625" customWidth="1"/>
    <col min="9503" max="9503" width="11.28515625" bestFit="1" customWidth="1"/>
    <col min="9508" max="9508" width="11.7109375" bestFit="1" customWidth="1"/>
    <col min="9737" max="9737" width="6" customWidth="1"/>
    <col min="9738" max="9738" width="11.5703125" customWidth="1"/>
    <col min="9739" max="9739" width="45.42578125" customWidth="1"/>
    <col min="9740" max="9740" width="6" customWidth="1"/>
    <col min="9741" max="9741" width="8.7109375" customWidth="1"/>
    <col min="9742" max="9744" width="12.28515625" customWidth="1"/>
    <col min="9745" max="9746" width="12" customWidth="1"/>
    <col min="9747" max="9750" width="12.7109375" customWidth="1"/>
    <col min="9751" max="9751" width="11.28515625" customWidth="1"/>
    <col min="9759" max="9759" width="11.28515625" bestFit="1" customWidth="1"/>
    <col min="9764" max="9764" width="11.7109375" bestFit="1" customWidth="1"/>
    <col min="9993" max="9993" width="6" customWidth="1"/>
    <col min="9994" max="9994" width="11.5703125" customWidth="1"/>
    <col min="9995" max="9995" width="45.42578125" customWidth="1"/>
    <col min="9996" max="9996" width="6" customWidth="1"/>
    <col min="9997" max="9997" width="8.7109375" customWidth="1"/>
    <col min="9998" max="10000" width="12.28515625" customWidth="1"/>
    <col min="10001" max="10002" width="12" customWidth="1"/>
    <col min="10003" max="10006" width="12.7109375" customWidth="1"/>
    <col min="10007" max="10007" width="11.28515625" customWidth="1"/>
    <col min="10015" max="10015" width="11.28515625" bestFit="1" customWidth="1"/>
    <col min="10020" max="10020" width="11.7109375" bestFit="1" customWidth="1"/>
    <col min="10249" max="10249" width="6" customWidth="1"/>
    <col min="10250" max="10250" width="11.5703125" customWidth="1"/>
    <col min="10251" max="10251" width="45.42578125" customWidth="1"/>
    <col min="10252" max="10252" width="6" customWidth="1"/>
    <col min="10253" max="10253" width="8.7109375" customWidth="1"/>
    <col min="10254" max="10256" width="12.28515625" customWidth="1"/>
    <col min="10257" max="10258" width="12" customWidth="1"/>
    <col min="10259" max="10262" width="12.7109375" customWidth="1"/>
    <col min="10263" max="10263" width="11.28515625" customWidth="1"/>
    <col min="10271" max="10271" width="11.28515625" bestFit="1" customWidth="1"/>
    <col min="10276" max="10276" width="11.7109375" bestFit="1" customWidth="1"/>
    <col min="10505" max="10505" width="6" customWidth="1"/>
    <col min="10506" max="10506" width="11.5703125" customWidth="1"/>
    <col min="10507" max="10507" width="45.42578125" customWidth="1"/>
    <col min="10508" max="10508" width="6" customWidth="1"/>
    <col min="10509" max="10509" width="8.7109375" customWidth="1"/>
    <col min="10510" max="10512" width="12.28515625" customWidth="1"/>
    <col min="10513" max="10514" width="12" customWidth="1"/>
    <col min="10515" max="10518" width="12.7109375" customWidth="1"/>
    <col min="10519" max="10519" width="11.28515625" customWidth="1"/>
    <col min="10527" max="10527" width="11.28515625" bestFit="1" customWidth="1"/>
    <col min="10532" max="10532" width="11.7109375" bestFit="1" customWidth="1"/>
    <col min="10761" max="10761" width="6" customWidth="1"/>
    <col min="10762" max="10762" width="11.5703125" customWidth="1"/>
    <col min="10763" max="10763" width="45.42578125" customWidth="1"/>
    <col min="10764" max="10764" width="6" customWidth="1"/>
    <col min="10765" max="10765" width="8.7109375" customWidth="1"/>
    <col min="10766" max="10768" width="12.28515625" customWidth="1"/>
    <col min="10769" max="10770" width="12" customWidth="1"/>
    <col min="10771" max="10774" width="12.7109375" customWidth="1"/>
    <col min="10775" max="10775" width="11.28515625" customWidth="1"/>
    <col min="10783" max="10783" width="11.28515625" bestFit="1" customWidth="1"/>
    <col min="10788" max="10788" width="11.7109375" bestFit="1" customWidth="1"/>
    <col min="11017" max="11017" width="6" customWidth="1"/>
    <col min="11018" max="11018" width="11.5703125" customWidth="1"/>
    <col min="11019" max="11019" width="45.42578125" customWidth="1"/>
    <col min="11020" max="11020" width="6" customWidth="1"/>
    <col min="11021" max="11021" width="8.7109375" customWidth="1"/>
    <col min="11022" max="11024" width="12.28515625" customWidth="1"/>
    <col min="11025" max="11026" width="12" customWidth="1"/>
    <col min="11027" max="11030" width="12.7109375" customWidth="1"/>
    <col min="11031" max="11031" width="11.28515625" customWidth="1"/>
    <col min="11039" max="11039" width="11.28515625" bestFit="1" customWidth="1"/>
    <col min="11044" max="11044" width="11.7109375" bestFit="1" customWidth="1"/>
    <col min="11273" max="11273" width="6" customWidth="1"/>
    <col min="11274" max="11274" width="11.5703125" customWidth="1"/>
    <col min="11275" max="11275" width="45.42578125" customWidth="1"/>
    <col min="11276" max="11276" width="6" customWidth="1"/>
    <col min="11277" max="11277" width="8.7109375" customWidth="1"/>
    <col min="11278" max="11280" width="12.28515625" customWidth="1"/>
    <col min="11281" max="11282" width="12" customWidth="1"/>
    <col min="11283" max="11286" width="12.7109375" customWidth="1"/>
    <col min="11287" max="11287" width="11.28515625" customWidth="1"/>
    <col min="11295" max="11295" width="11.28515625" bestFit="1" customWidth="1"/>
    <col min="11300" max="11300" width="11.7109375" bestFit="1" customWidth="1"/>
    <col min="11529" max="11529" width="6" customWidth="1"/>
    <col min="11530" max="11530" width="11.5703125" customWidth="1"/>
    <col min="11531" max="11531" width="45.42578125" customWidth="1"/>
    <col min="11532" max="11532" width="6" customWidth="1"/>
    <col min="11533" max="11533" width="8.7109375" customWidth="1"/>
    <col min="11534" max="11536" width="12.28515625" customWidth="1"/>
    <col min="11537" max="11538" width="12" customWidth="1"/>
    <col min="11539" max="11542" width="12.7109375" customWidth="1"/>
    <col min="11543" max="11543" width="11.28515625" customWidth="1"/>
    <col min="11551" max="11551" width="11.28515625" bestFit="1" customWidth="1"/>
    <col min="11556" max="11556" width="11.7109375" bestFit="1" customWidth="1"/>
    <col min="11785" max="11785" width="6" customWidth="1"/>
    <col min="11786" max="11786" width="11.5703125" customWidth="1"/>
    <col min="11787" max="11787" width="45.42578125" customWidth="1"/>
    <col min="11788" max="11788" width="6" customWidth="1"/>
    <col min="11789" max="11789" width="8.7109375" customWidth="1"/>
    <col min="11790" max="11792" width="12.28515625" customWidth="1"/>
    <col min="11793" max="11794" width="12" customWidth="1"/>
    <col min="11795" max="11798" width="12.7109375" customWidth="1"/>
    <col min="11799" max="11799" width="11.28515625" customWidth="1"/>
    <col min="11807" max="11807" width="11.28515625" bestFit="1" customWidth="1"/>
    <col min="11812" max="11812" width="11.7109375" bestFit="1" customWidth="1"/>
    <col min="12041" max="12041" width="6" customWidth="1"/>
    <col min="12042" max="12042" width="11.5703125" customWidth="1"/>
    <col min="12043" max="12043" width="45.42578125" customWidth="1"/>
    <col min="12044" max="12044" width="6" customWidth="1"/>
    <col min="12045" max="12045" width="8.7109375" customWidth="1"/>
    <col min="12046" max="12048" width="12.28515625" customWidth="1"/>
    <col min="12049" max="12050" width="12" customWidth="1"/>
    <col min="12051" max="12054" width="12.7109375" customWidth="1"/>
    <col min="12055" max="12055" width="11.28515625" customWidth="1"/>
    <col min="12063" max="12063" width="11.28515625" bestFit="1" customWidth="1"/>
    <col min="12068" max="12068" width="11.7109375" bestFit="1" customWidth="1"/>
    <col min="12297" max="12297" width="6" customWidth="1"/>
    <col min="12298" max="12298" width="11.5703125" customWidth="1"/>
    <col min="12299" max="12299" width="45.42578125" customWidth="1"/>
    <col min="12300" max="12300" width="6" customWidth="1"/>
    <col min="12301" max="12301" width="8.7109375" customWidth="1"/>
    <col min="12302" max="12304" width="12.28515625" customWidth="1"/>
    <col min="12305" max="12306" width="12" customWidth="1"/>
    <col min="12307" max="12310" width="12.7109375" customWidth="1"/>
    <col min="12311" max="12311" width="11.28515625" customWidth="1"/>
    <col min="12319" max="12319" width="11.28515625" bestFit="1" customWidth="1"/>
    <col min="12324" max="12324" width="11.7109375" bestFit="1" customWidth="1"/>
    <col min="12553" max="12553" width="6" customWidth="1"/>
    <col min="12554" max="12554" width="11.5703125" customWidth="1"/>
    <col min="12555" max="12555" width="45.42578125" customWidth="1"/>
    <col min="12556" max="12556" width="6" customWidth="1"/>
    <col min="12557" max="12557" width="8.7109375" customWidth="1"/>
    <col min="12558" max="12560" width="12.28515625" customWidth="1"/>
    <col min="12561" max="12562" width="12" customWidth="1"/>
    <col min="12563" max="12566" width="12.7109375" customWidth="1"/>
    <col min="12567" max="12567" width="11.28515625" customWidth="1"/>
    <col min="12575" max="12575" width="11.28515625" bestFit="1" customWidth="1"/>
    <col min="12580" max="12580" width="11.7109375" bestFit="1" customWidth="1"/>
    <col min="12809" max="12809" width="6" customWidth="1"/>
    <col min="12810" max="12810" width="11.5703125" customWidth="1"/>
    <col min="12811" max="12811" width="45.42578125" customWidth="1"/>
    <col min="12812" max="12812" width="6" customWidth="1"/>
    <col min="12813" max="12813" width="8.7109375" customWidth="1"/>
    <col min="12814" max="12816" width="12.28515625" customWidth="1"/>
    <col min="12817" max="12818" width="12" customWidth="1"/>
    <col min="12819" max="12822" width="12.7109375" customWidth="1"/>
    <col min="12823" max="12823" width="11.28515625" customWidth="1"/>
    <col min="12831" max="12831" width="11.28515625" bestFit="1" customWidth="1"/>
    <col min="12836" max="12836" width="11.7109375" bestFit="1" customWidth="1"/>
    <col min="13065" max="13065" width="6" customWidth="1"/>
    <col min="13066" max="13066" width="11.5703125" customWidth="1"/>
    <col min="13067" max="13067" width="45.42578125" customWidth="1"/>
    <col min="13068" max="13068" width="6" customWidth="1"/>
    <col min="13069" max="13069" width="8.7109375" customWidth="1"/>
    <col min="13070" max="13072" width="12.28515625" customWidth="1"/>
    <col min="13073" max="13074" width="12" customWidth="1"/>
    <col min="13075" max="13078" width="12.7109375" customWidth="1"/>
    <col min="13079" max="13079" width="11.28515625" customWidth="1"/>
    <col min="13087" max="13087" width="11.28515625" bestFit="1" customWidth="1"/>
    <col min="13092" max="13092" width="11.7109375" bestFit="1" customWidth="1"/>
    <col min="13321" max="13321" width="6" customWidth="1"/>
    <col min="13322" max="13322" width="11.5703125" customWidth="1"/>
    <col min="13323" max="13323" width="45.42578125" customWidth="1"/>
    <col min="13324" max="13324" width="6" customWidth="1"/>
    <col min="13325" max="13325" width="8.7109375" customWidth="1"/>
    <col min="13326" max="13328" width="12.28515625" customWidth="1"/>
    <col min="13329" max="13330" width="12" customWidth="1"/>
    <col min="13331" max="13334" width="12.7109375" customWidth="1"/>
    <col min="13335" max="13335" width="11.28515625" customWidth="1"/>
    <col min="13343" max="13343" width="11.28515625" bestFit="1" customWidth="1"/>
    <col min="13348" max="13348" width="11.7109375" bestFit="1" customWidth="1"/>
    <col min="13577" max="13577" width="6" customWidth="1"/>
    <col min="13578" max="13578" width="11.5703125" customWidth="1"/>
    <col min="13579" max="13579" width="45.42578125" customWidth="1"/>
    <col min="13580" max="13580" width="6" customWidth="1"/>
    <col min="13581" max="13581" width="8.7109375" customWidth="1"/>
    <col min="13582" max="13584" width="12.28515625" customWidth="1"/>
    <col min="13585" max="13586" width="12" customWidth="1"/>
    <col min="13587" max="13590" width="12.7109375" customWidth="1"/>
    <col min="13591" max="13591" width="11.28515625" customWidth="1"/>
    <col min="13599" max="13599" width="11.28515625" bestFit="1" customWidth="1"/>
    <col min="13604" max="13604" width="11.7109375" bestFit="1" customWidth="1"/>
    <col min="13833" max="13833" width="6" customWidth="1"/>
    <col min="13834" max="13834" width="11.5703125" customWidth="1"/>
    <col min="13835" max="13835" width="45.42578125" customWidth="1"/>
    <col min="13836" max="13836" width="6" customWidth="1"/>
    <col min="13837" max="13837" width="8.7109375" customWidth="1"/>
    <col min="13838" max="13840" width="12.28515625" customWidth="1"/>
    <col min="13841" max="13842" width="12" customWidth="1"/>
    <col min="13843" max="13846" width="12.7109375" customWidth="1"/>
    <col min="13847" max="13847" width="11.28515625" customWidth="1"/>
    <col min="13855" max="13855" width="11.28515625" bestFit="1" customWidth="1"/>
    <col min="13860" max="13860" width="11.7109375" bestFit="1" customWidth="1"/>
    <col min="14089" max="14089" width="6" customWidth="1"/>
    <col min="14090" max="14090" width="11.5703125" customWidth="1"/>
    <col min="14091" max="14091" width="45.42578125" customWidth="1"/>
    <col min="14092" max="14092" width="6" customWidth="1"/>
    <col min="14093" max="14093" width="8.7109375" customWidth="1"/>
    <col min="14094" max="14096" width="12.28515625" customWidth="1"/>
    <col min="14097" max="14098" width="12" customWidth="1"/>
    <col min="14099" max="14102" width="12.7109375" customWidth="1"/>
    <col min="14103" max="14103" width="11.28515625" customWidth="1"/>
    <col min="14111" max="14111" width="11.28515625" bestFit="1" customWidth="1"/>
    <col min="14116" max="14116" width="11.7109375" bestFit="1" customWidth="1"/>
    <col min="14345" max="14345" width="6" customWidth="1"/>
    <col min="14346" max="14346" width="11.5703125" customWidth="1"/>
    <col min="14347" max="14347" width="45.42578125" customWidth="1"/>
    <col min="14348" max="14348" width="6" customWidth="1"/>
    <col min="14349" max="14349" width="8.7109375" customWidth="1"/>
    <col min="14350" max="14352" width="12.28515625" customWidth="1"/>
    <col min="14353" max="14354" width="12" customWidth="1"/>
    <col min="14355" max="14358" width="12.7109375" customWidth="1"/>
    <col min="14359" max="14359" width="11.28515625" customWidth="1"/>
    <col min="14367" max="14367" width="11.28515625" bestFit="1" customWidth="1"/>
    <col min="14372" max="14372" width="11.7109375" bestFit="1" customWidth="1"/>
    <col min="14601" max="14601" width="6" customWidth="1"/>
    <col min="14602" max="14602" width="11.5703125" customWidth="1"/>
    <col min="14603" max="14603" width="45.42578125" customWidth="1"/>
    <col min="14604" max="14604" width="6" customWidth="1"/>
    <col min="14605" max="14605" width="8.7109375" customWidth="1"/>
    <col min="14606" max="14608" width="12.28515625" customWidth="1"/>
    <col min="14609" max="14610" width="12" customWidth="1"/>
    <col min="14611" max="14614" width="12.7109375" customWidth="1"/>
    <col min="14615" max="14615" width="11.28515625" customWidth="1"/>
    <col min="14623" max="14623" width="11.28515625" bestFit="1" customWidth="1"/>
    <col min="14628" max="14628" width="11.7109375" bestFit="1" customWidth="1"/>
    <col min="14857" max="14857" width="6" customWidth="1"/>
    <col min="14858" max="14858" width="11.5703125" customWidth="1"/>
    <col min="14859" max="14859" width="45.42578125" customWidth="1"/>
    <col min="14860" max="14860" width="6" customWidth="1"/>
    <col min="14861" max="14861" width="8.7109375" customWidth="1"/>
    <col min="14862" max="14864" width="12.28515625" customWidth="1"/>
    <col min="14865" max="14866" width="12" customWidth="1"/>
    <col min="14867" max="14870" width="12.7109375" customWidth="1"/>
    <col min="14871" max="14871" width="11.28515625" customWidth="1"/>
    <col min="14879" max="14879" width="11.28515625" bestFit="1" customWidth="1"/>
    <col min="14884" max="14884" width="11.7109375" bestFit="1" customWidth="1"/>
    <col min="15113" max="15113" width="6" customWidth="1"/>
    <col min="15114" max="15114" width="11.5703125" customWidth="1"/>
    <col min="15115" max="15115" width="45.42578125" customWidth="1"/>
    <col min="15116" max="15116" width="6" customWidth="1"/>
    <col min="15117" max="15117" width="8.7109375" customWidth="1"/>
    <col min="15118" max="15120" width="12.28515625" customWidth="1"/>
    <col min="15121" max="15122" width="12" customWidth="1"/>
    <col min="15123" max="15126" width="12.7109375" customWidth="1"/>
    <col min="15127" max="15127" width="11.28515625" customWidth="1"/>
    <col min="15135" max="15135" width="11.28515625" bestFit="1" customWidth="1"/>
    <col min="15140" max="15140" width="11.7109375" bestFit="1" customWidth="1"/>
    <col min="15369" max="15369" width="6" customWidth="1"/>
    <col min="15370" max="15370" width="11.5703125" customWidth="1"/>
    <col min="15371" max="15371" width="45.42578125" customWidth="1"/>
    <col min="15372" max="15372" width="6" customWidth="1"/>
    <col min="15373" max="15373" width="8.7109375" customWidth="1"/>
    <col min="15374" max="15376" width="12.28515625" customWidth="1"/>
    <col min="15377" max="15378" width="12" customWidth="1"/>
    <col min="15379" max="15382" width="12.7109375" customWidth="1"/>
    <col min="15383" max="15383" width="11.28515625" customWidth="1"/>
    <col min="15391" max="15391" width="11.28515625" bestFit="1" customWidth="1"/>
    <col min="15396" max="15396" width="11.7109375" bestFit="1" customWidth="1"/>
    <col min="15625" max="15625" width="6" customWidth="1"/>
    <col min="15626" max="15626" width="11.5703125" customWidth="1"/>
    <col min="15627" max="15627" width="45.42578125" customWidth="1"/>
    <col min="15628" max="15628" width="6" customWidth="1"/>
    <col min="15629" max="15629" width="8.7109375" customWidth="1"/>
    <col min="15630" max="15632" width="12.28515625" customWidth="1"/>
    <col min="15633" max="15634" width="12" customWidth="1"/>
    <col min="15635" max="15638" width="12.7109375" customWidth="1"/>
    <col min="15639" max="15639" width="11.28515625" customWidth="1"/>
    <col min="15647" max="15647" width="11.28515625" bestFit="1" customWidth="1"/>
    <col min="15652" max="15652" width="11.7109375" bestFit="1" customWidth="1"/>
    <col min="15881" max="15881" width="6" customWidth="1"/>
    <col min="15882" max="15882" width="11.5703125" customWidth="1"/>
    <col min="15883" max="15883" width="45.42578125" customWidth="1"/>
    <col min="15884" max="15884" width="6" customWidth="1"/>
    <col min="15885" max="15885" width="8.7109375" customWidth="1"/>
    <col min="15886" max="15888" width="12.28515625" customWidth="1"/>
    <col min="15889" max="15890" width="12" customWidth="1"/>
    <col min="15891" max="15894" width="12.7109375" customWidth="1"/>
    <col min="15895" max="15895" width="11.28515625" customWidth="1"/>
    <col min="15903" max="15903" width="11.28515625" bestFit="1" customWidth="1"/>
    <col min="15908" max="15908" width="11.7109375" bestFit="1" customWidth="1"/>
    <col min="16137" max="16137" width="6" customWidth="1"/>
    <col min="16138" max="16138" width="11.5703125" customWidth="1"/>
    <col min="16139" max="16139" width="45.42578125" customWidth="1"/>
    <col min="16140" max="16140" width="6" customWidth="1"/>
    <col min="16141" max="16141" width="8.7109375" customWidth="1"/>
    <col min="16142" max="16144" width="12.28515625" customWidth="1"/>
    <col min="16145" max="16146" width="12" customWidth="1"/>
    <col min="16147" max="16150" width="12.7109375" customWidth="1"/>
    <col min="16151" max="16151" width="11.28515625" customWidth="1"/>
    <col min="16159" max="16159" width="11.28515625" bestFit="1" customWidth="1"/>
    <col min="16164" max="16164" width="11.7109375" bestFit="1" customWidth="1"/>
  </cols>
  <sheetData>
    <row r="1" spans="1:30" x14ac:dyDescent="0.25">
      <c r="A1" t="s">
        <v>0</v>
      </c>
    </row>
    <row r="2" spans="1:30" x14ac:dyDescent="0.25">
      <c r="A2" t="s">
        <v>1</v>
      </c>
    </row>
    <row r="4" spans="1:30" x14ac:dyDescent="0.25">
      <c r="A4" s="463" t="s">
        <v>48</v>
      </c>
      <c r="B4" s="463"/>
      <c r="C4" s="463"/>
      <c r="D4" s="2"/>
      <c r="E4" s="2"/>
      <c r="F4" s="2"/>
      <c r="G4" s="2"/>
      <c r="H4" s="2"/>
      <c r="I4" s="2"/>
      <c r="J4" s="2"/>
      <c r="K4" s="313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313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7" spans="1:30" ht="75.75" customHeight="1" x14ac:dyDescent="0.25">
      <c r="A7" s="4" t="s">
        <v>3</v>
      </c>
      <c r="B7" s="259" t="s">
        <v>49</v>
      </c>
      <c r="C7" s="4" t="s">
        <v>117</v>
      </c>
      <c r="D7" s="4" t="s">
        <v>5</v>
      </c>
      <c r="E7" s="260" t="s">
        <v>50</v>
      </c>
      <c r="F7" s="6" t="s">
        <v>82</v>
      </c>
      <c r="G7" s="6" t="s">
        <v>6</v>
      </c>
      <c r="H7" s="6" t="s">
        <v>51</v>
      </c>
      <c r="I7" s="6" t="s">
        <v>51</v>
      </c>
      <c r="J7" s="6" t="s">
        <v>51</v>
      </c>
      <c r="K7" s="314" t="s">
        <v>83</v>
      </c>
      <c r="L7" s="261" t="s">
        <v>86</v>
      </c>
      <c r="M7" s="261" t="s">
        <v>84</v>
      </c>
      <c r="N7" s="261" t="s">
        <v>84</v>
      </c>
      <c r="O7" s="261" t="s">
        <v>84</v>
      </c>
      <c r="P7" s="261" t="s">
        <v>84</v>
      </c>
      <c r="Q7" s="261" t="s">
        <v>84</v>
      </c>
      <c r="R7" s="261" t="s">
        <v>84</v>
      </c>
      <c r="S7" s="261" t="s">
        <v>84</v>
      </c>
      <c r="T7" s="261" t="s">
        <v>84</v>
      </c>
      <c r="U7" s="261" t="s">
        <v>84</v>
      </c>
      <c r="V7" s="261" t="s">
        <v>84</v>
      </c>
      <c r="W7" s="261" t="s">
        <v>84</v>
      </c>
      <c r="X7" s="261" t="s">
        <v>52</v>
      </c>
      <c r="Y7" s="261" t="s">
        <v>53</v>
      </c>
      <c r="Z7" s="261" t="s">
        <v>54</v>
      </c>
      <c r="AA7" s="261" t="s">
        <v>53</v>
      </c>
      <c r="AB7" s="261" t="s">
        <v>55</v>
      </c>
      <c r="AC7" s="261" t="s">
        <v>56</v>
      </c>
      <c r="AD7" s="261" t="s">
        <v>57</v>
      </c>
    </row>
    <row r="8" spans="1:30" ht="18" customHeight="1" x14ac:dyDescent="0.25">
      <c r="A8" s="7"/>
      <c r="B8" s="8"/>
      <c r="C8" s="9" t="s">
        <v>15</v>
      </c>
      <c r="D8" s="10"/>
      <c r="E8" s="10"/>
      <c r="F8" s="11"/>
      <c r="G8" s="262"/>
      <c r="H8" s="262"/>
      <c r="I8" s="262"/>
      <c r="J8" s="262"/>
      <c r="K8" s="315"/>
      <c r="L8" s="12"/>
      <c r="M8" s="12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263"/>
    </row>
    <row r="9" spans="1:30" ht="18" customHeight="1" x14ac:dyDescent="0.25">
      <c r="A9" s="14">
        <v>1</v>
      </c>
      <c r="B9" s="8">
        <v>44562</v>
      </c>
      <c r="C9" s="254" t="s">
        <v>58</v>
      </c>
      <c r="D9" s="264" t="s">
        <v>59</v>
      </c>
      <c r="E9" s="264" t="s">
        <v>60</v>
      </c>
      <c r="F9" s="51"/>
      <c r="G9" s="141"/>
      <c r="H9" s="141"/>
      <c r="I9" s="141"/>
      <c r="J9" s="141"/>
      <c r="K9" s="151"/>
      <c r="L9" s="265"/>
      <c r="M9" s="265"/>
      <c r="N9" s="266"/>
      <c r="O9" s="266"/>
      <c r="P9" s="28"/>
      <c r="Q9" s="28"/>
      <c r="R9" s="28"/>
      <c r="S9" s="28"/>
      <c r="T9" s="28"/>
      <c r="U9" s="28"/>
      <c r="V9" s="28"/>
      <c r="W9" s="7"/>
      <c r="X9" s="7"/>
      <c r="Y9" s="7"/>
      <c r="Z9" s="7"/>
      <c r="AA9" s="7"/>
      <c r="AB9" s="7"/>
      <c r="AC9" s="7"/>
      <c r="AD9" s="263">
        <f>+E9+F9+G9+H9+I9+J9-K9-L9- M9-N9-O9-P9- Q9-R9-S9-T9-U9-V9-W9-X9-Y9-Z9-AA9-AB9-AC9</f>
        <v>16</v>
      </c>
    </row>
    <row r="10" spans="1:30" ht="18" customHeight="1" x14ac:dyDescent="0.25">
      <c r="A10" s="14">
        <v>2</v>
      </c>
      <c r="B10" s="8">
        <v>44563</v>
      </c>
      <c r="C10" s="254" t="s">
        <v>61</v>
      </c>
      <c r="D10" s="264" t="s">
        <v>59</v>
      </c>
      <c r="E10" s="255"/>
      <c r="F10" s="51"/>
      <c r="G10" s="141"/>
      <c r="H10" s="141"/>
      <c r="I10" s="141"/>
      <c r="J10" s="141"/>
      <c r="K10" s="151"/>
      <c r="L10" s="267"/>
      <c r="M10" s="267"/>
      <c r="N10" s="18"/>
      <c r="O10" s="18"/>
      <c r="P10" s="18"/>
      <c r="Q10" s="18"/>
      <c r="R10" s="18"/>
      <c r="S10" s="18"/>
      <c r="T10" s="18"/>
      <c r="U10" s="18"/>
      <c r="V10" s="18"/>
      <c r="W10" s="7"/>
      <c r="X10" s="7"/>
      <c r="Y10" s="7"/>
      <c r="Z10" s="7"/>
      <c r="AA10" s="7"/>
      <c r="AB10" s="7"/>
      <c r="AC10" s="7"/>
      <c r="AD10" s="263">
        <f t="shared" ref="AD10:AD23" si="0">+E10+F10+G10+H10+I10+J10-K10-L10- M10-N10-O10-P10- Q10-R10-S10-T10-U10-V10-W10-X10-Y10-Z10-AA10-AB10-AC10</f>
        <v>0</v>
      </c>
    </row>
    <row r="11" spans="1:30" ht="18" customHeight="1" x14ac:dyDescent="0.25">
      <c r="A11" s="14">
        <v>3</v>
      </c>
      <c r="B11" s="8">
        <v>44562</v>
      </c>
      <c r="C11" s="46" t="s">
        <v>62</v>
      </c>
      <c r="D11" s="264" t="s">
        <v>12</v>
      </c>
      <c r="E11" s="264" t="s">
        <v>63</v>
      </c>
      <c r="F11" s="51"/>
      <c r="G11" s="141"/>
      <c r="H11" s="141"/>
      <c r="I11" s="141"/>
      <c r="J11" s="141"/>
      <c r="K11" s="316"/>
      <c r="L11" s="27"/>
      <c r="M11" s="27"/>
      <c r="N11" s="18"/>
      <c r="O11" s="18"/>
      <c r="P11" s="28"/>
      <c r="Q11" s="28"/>
      <c r="R11" s="18"/>
      <c r="S11" s="18"/>
      <c r="T11" s="18"/>
      <c r="U11" s="18"/>
      <c r="V11" s="18"/>
      <c r="W11" s="7"/>
      <c r="X11" s="7"/>
      <c r="Y11" s="7"/>
      <c r="Z11" s="7"/>
      <c r="AA11" s="7"/>
      <c r="AB11" s="7"/>
      <c r="AC11" s="7"/>
      <c r="AD11" s="263">
        <f t="shared" si="0"/>
        <v>1</v>
      </c>
    </row>
    <row r="12" spans="1:30" s="162" customFormat="1" ht="18" customHeight="1" x14ac:dyDescent="0.25">
      <c r="A12" s="158">
        <v>4</v>
      </c>
      <c r="B12" s="8">
        <v>44563</v>
      </c>
      <c r="C12" s="236" t="s">
        <v>64</v>
      </c>
      <c r="D12" s="268" t="s">
        <v>45</v>
      </c>
      <c r="E12" s="268" t="s">
        <v>65</v>
      </c>
      <c r="F12" s="269"/>
      <c r="G12" s="270"/>
      <c r="H12" s="270"/>
      <c r="I12" s="270"/>
      <c r="J12" s="270"/>
      <c r="K12" s="317"/>
      <c r="L12" s="31">
        <v>1</v>
      </c>
      <c r="M12" s="31"/>
      <c r="N12" s="238"/>
      <c r="O12" s="238"/>
      <c r="P12" s="239"/>
      <c r="Q12" s="239"/>
      <c r="R12" s="238"/>
      <c r="S12" s="238"/>
      <c r="T12" s="238"/>
      <c r="U12" s="239"/>
      <c r="V12" s="239"/>
      <c r="W12" s="271"/>
      <c r="X12" s="271"/>
      <c r="Y12" s="271"/>
      <c r="Z12" s="271"/>
      <c r="AA12" s="271"/>
      <c r="AB12" s="271"/>
      <c r="AC12" s="271"/>
      <c r="AD12" s="263">
        <f t="shared" si="0"/>
        <v>10</v>
      </c>
    </row>
    <row r="13" spans="1:30" ht="18" customHeight="1" x14ac:dyDescent="0.25">
      <c r="A13" s="14">
        <v>5</v>
      </c>
      <c r="B13" s="8">
        <v>44562</v>
      </c>
      <c r="C13" s="46" t="s">
        <v>66</v>
      </c>
      <c r="D13" s="46" t="s">
        <v>17</v>
      </c>
      <c r="E13" s="264" t="s">
        <v>67</v>
      </c>
      <c r="F13" s="51"/>
      <c r="G13" s="141"/>
      <c r="H13" s="141"/>
      <c r="I13" s="141"/>
      <c r="J13" s="141"/>
      <c r="K13" s="316"/>
      <c r="L13" s="27"/>
      <c r="M13" s="27"/>
      <c r="N13" s="18"/>
      <c r="O13" s="18"/>
      <c r="P13" s="18"/>
      <c r="Q13" s="18"/>
      <c r="R13" s="18"/>
      <c r="S13" s="18"/>
      <c r="T13" s="28"/>
      <c r="U13" s="18"/>
      <c r="V13" s="18"/>
      <c r="W13" s="7"/>
      <c r="X13" s="7"/>
      <c r="Y13" s="7"/>
      <c r="Z13" s="7"/>
      <c r="AA13" s="7"/>
      <c r="AB13" s="7"/>
      <c r="AC13" s="7"/>
      <c r="AD13" s="263">
        <f t="shared" si="0"/>
        <v>0</v>
      </c>
    </row>
    <row r="14" spans="1:30" s="312" customFormat="1" ht="18" customHeight="1" x14ac:dyDescent="0.25">
      <c r="A14" s="301"/>
      <c r="B14" s="302">
        <v>44563</v>
      </c>
      <c r="C14" s="303" t="s">
        <v>68</v>
      </c>
      <c r="D14" s="303" t="s">
        <v>59</v>
      </c>
      <c r="E14" s="304" t="s">
        <v>81</v>
      </c>
      <c r="F14" s="305"/>
      <c r="G14" s="306"/>
      <c r="H14" s="306"/>
      <c r="I14" s="306"/>
      <c r="J14" s="306"/>
      <c r="K14" s="318">
        <v>0.5</v>
      </c>
      <c r="L14" s="307"/>
      <c r="M14" s="307"/>
      <c r="N14" s="308"/>
      <c r="O14" s="308"/>
      <c r="P14" s="308"/>
      <c r="Q14" s="308"/>
      <c r="R14" s="308"/>
      <c r="S14" s="309"/>
      <c r="T14" s="308"/>
      <c r="U14" s="308"/>
      <c r="V14" s="308"/>
      <c r="W14" s="310"/>
      <c r="X14" s="310"/>
      <c r="Y14" s="310"/>
      <c r="Z14" s="310"/>
      <c r="AA14" s="310"/>
      <c r="AB14" s="310"/>
      <c r="AC14" s="310"/>
      <c r="AD14" s="311">
        <f t="shared" si="0"/>
        <v>4.5</v>
      </c>
    </row>
    <row r="15" spans="1:30" ht="18" customHeight="1" x14ac:dyDescent="0.25">
      <c r="A15" s="14"/>
      <c r="B15" s="8">
        <v>44562</v>
      </c>
      <c r="C15" s="272" t="s">
        <v>69</v>
      </c>
      <c r="D15" s="46" t="s">
        <v>59</v>
      </c>
      <c r="E15" s="264" t="s">
        <v>78</v>
      </c>
      <c r="F15" s="51"/>
      <c r="G15" s="141"/>
      <c r="H15" s="141"/>
      <c r="I15" s="141"/>
      <c r="J15" s="141"/>
      <c r="K15" s="316"/>
      <c r="L15" s="118"/>
      <c r="M15" s="118"/>
      <c r="N15" s="18"/>
      <c r="O15" s="18"/>
      <c r="P15" s="18"/>
      <c r="Q15" s="18"/>
      <c r="R15" s="18"/>
      <c r="S15" s="28"/>
      <c r="T15" s="18"/>
      <c r="U15" s="18"/>
      <c r="V15" s="18"/>
      <c r="W15" s="7"/>
      <c r="X15" s="7"/>
      <c r="Y15" s="7"/>
      <c r="Z15" s="7"/>
      <c r="AA15" s="7"/>
      <c r="AB15" s="7"/>
      <c r="AC15" s="7"/>
      <c r="AD15" s="263" t="e">
        <f t="shared" si="0"/>
        <v>#VALUE!</v>
      </c>
    </row>
    <row r="16" spans="1:30" ht="18" customHeight="1" x14ac:dyDescent="0.25">
      <c r="A16" s="14">
        <v>8</v>
      </c>
      <c r="B16" s="8">
        <v>44563</v>
      </c>
      <c r="C16" s="46" t="s">
        <v>70</v>
      </c>
      <c r="D16" s="46" t="s">
        <v>59</v>
      </c>
      <c r="E16" s="264" t="s">
        <v>67</v>
      </c>
      <c r="F16" s="51"/>
      <c r="G16" s="141"/>
      <c r="H16" s="141"/>
      <c r="I16" s="141"/>
      <c r="J16" s="141"/>
      <c r="K16" s="316"/>
      <c r="L16" s="27"/>
      <c r="M16" s="27"/>
      <c r="N16" s="18"/>
      <c r="O16" s="18"/>
      <c r="P16" s="18"/>
      <c r="Q16" s="18"/>
      <c r="R16" s="28"/>
      <c r="S16" s="18"/>
      <c r="T16" s="28"/>
      <c r="U16" s="18"/>
      <c r="V16" s="18"/>
      <c r="W16" s="7"/>
      <c r="X16" s="7"/>
      <c r="Y16" s="7"/>
      <c r="Z16" s="7"/>
      <c r="AA16" s="7"/>
      <c r="AB16" s="7"/>
      <c r="AC16" s="7"/>
      <c r="AD16" s="263">
        <f t="shared" si="0"/>
        <v>0</v>
      </c>
    </row>
    <row r="17" spans="1:31" ht="18" customHeight="1" x14ac:dyDescent="0.25">
      <c r="A17" s="14">
        <v>9</v>
      </c>
      <c r="B17" s="8">
        <v>44562</v>
      </c>
      <c r="C17" s="46" t="s">
        <v>71</v>
      </c>
      <c r="D17" s="46" t="s">
        <v>59</v>
      </c>
      <c r="E17" s="264" t="s">
        <v>72</v>
      </c>
      <c r="F17" s="51"/>
      <c r="G17" s="141"/>
      <c r="H17" s="141"/>
      <c r="I17" s="141"/>
      <c r="J17" s="141"/>
      <c r="K17" s="316"/>
      <c r="L17" s="27"/>
      <c r="M17" s="27"/>
      <c r="N17" s="18"/>
      <c r="O17" s="18"/>
      <c r="P17" s="18"/>
      <c r="Q17" s="18"/>
      <c r="R17" s="18"/>
      <c r="S17" s="18"/>
      <c r="T17" s="18"/>
      <c r="U17" s="18"/>
      <c r="V17" s="18"/>
      <c r="W17" s="7"/>
      <c r="X17" s="7"/>
      <c r="Y17" s="7"/>
      <c r="Z17" s="7"/>
      <c r="AA17" s="7"/>
      <c r="AB17" s="7"/>
      <c r="AC17" s="7"/>
      <c r="AD17" s="263">
        <f t="shared" si="0"/>
        <v>13</v>
      </c>
    </row>
    <row r="18" spans="1:31" ht="18" customHeight="1" x14ac:dyDescent="0.25">
      <c r="A18" s="14">
        <v>10</v>
      </c>
      <c r="B18" s="8">
        <v>44563</v>
      </c>
      <c r="C18" s="46" t="s">
        <v>73</v>
      </c>
      <c r="D18" s="46" t="s">
        <v>12</v>
      </c>
      <c r="E18" s="264" t="s">
        <v>67</v>
      </c>
      <c r="F18" s="51"/>
      <c r="G18" s="141"/>
      <c r="H18" s="141"/>
      <c r="I18" s="141"/>
      <c r="J18" s="141"/>
      <c r="K18" s="316"/>
      <c r="L18" s="27"/>
      <c r="M18" s="27"/>
      <c r="N18" s="18"/>
      <c r="O18" s="18"/>
      <c r="P18" s="18"/>
      <c r="Q18" s="18"/>
      <c r="R18" s="18"/>
      <c r="S18" s="18"/>
      <c r="T18" s="18"/>
      <c r="U18" s="18"/>
      <c r="V18" s="18"/>
      <c r="W18" s="7"/>
      <c r="X18" s="7"/>
      <c r="Y18" s="7"/>
      <c r="Z18" s="7"/>
      <c r="AA18" s="7"/>
      <c r="AB18" s="7"/>
      <c r="AC18" s="7"/>
      <c r="AD18" s="263">
        <f t="shared" si="0"/>
        <v>0</v>
      </c>
    </row>
    <row r="19" spans="1:31" ht="18" customHeight="1" x14ac:dyDescent="0.25">
      <c r="A19" s="14">
        <v>11</v>
      </c>
      <c r="B19" s="8">
        <v>44562</v>
      </c>
      <c r="C19" s="46" t="s">
        <v>74</v>
      </c>
      <c r="D19" s="46" t="s">
        <v>12</v>
      </c>
      <c r="E19" s="264" t="s">
        <v>67</v>
      </c>
      <c r="F19" s="51"/>
      <c r="G19" s="141"/>
      <c r="H19" s="141"/>
      <c r="I19" s="141"/>
      <c r="J19" s="141"/>
      <c r="K19" s="316"/>
      <c r="L19" s="27"/>
      <c r="M19" s="27"/>
      <c r="N19" s="18"/>
      <c r="O19" s="18"/>
      <c r="P19" s="18"/>
      <c r="Q19" s="18"/>
      <c r="R19" s="18"/>
      <c r="S19" s="18"/>
      <c r="T19" s="18"/>
      <c r="U19" s="18"/>
      <c r="V19" s="18"/>
      <c r="W19" s="7"/>
      <c r="X19" s="7"/>
      <c r="Y19" s="7"/>
      <c r="Z19" s="7"/>
      <c r="AA19" s="7"/>
      <c r="AB19" s="7"/>
      <c r="AC19" s="7"/>
      <c r="AD19" s="263">
        <f t="shared" si="0"/>
        <v>0</v>
      </c>
    </row>
    <row r="20" spans="1:31" ht="18" customHeight="1" x14ac:dyDescent="0.25">
      <c r="A20" s="14">
        <v>12</v>
      </c>
      <c r="B20" s="8">
        <v>44563</v>
      </c>
      <c r="C20" s="46" t="s">
        <v>75</v>
      </c>
      <c r="D20" s="46" t="s">
        <v>12</v>
      </c>
      <c r="E20" s="264" t="s">
        <v>67</v>
      </c>
      <c r="F20" s="51"/>
      <c r="G20" s="141"/>
      <c r="H20" s="141"/>
      <c r="I20" s="141"/>
      <c r="J20" s="141"/>
      <c r="K20" s="316"/>
      <c r="L20" s="27"/>
      <c r="M20" s="27"/>
      <c r="N20" s="18"/>
      <c r="O20" s="18"/>
      <c r="P20" s="18"/>
      <c r="Q20" s="18"/>
      <c r="R20" s="18"/>
      <c r="S20" s="18"/>
      <c r="T20" s="18"/>
      <c r="U20" s="18"/>
      <c r="V20" s="18"/>
      <c r="W20" s="7"/>
      <c r="X20" s="7"/>
      <c r="Y20" s="7"/>
      <c r="Z20" s="7"/>
      <c r="AA20" s="7"/>
      <c r="AB20" s="7"/>
      <c r="AC20" s="7"/>
      <c r="AD20" s="263">
        <f t="shared" si="0"/>
        <v>0</v>
      </c>
    </row>
    <row r="21" spans="1:31" ht="18" customHeight="1" x14ac:dyDescent="0.25">
      <c r="A21" s="14">
        <v>13</v>
      </c>
      <c r="B21" s="8">
        <v>44562</v>
      </c>
      <c r="C21" s="46" t="s">
        <v>76</v>
      </c>
      <c r="D21" s="46" t="s">
        <v>12</v>
      </c>
      <c r="E21" s="264" t="s">
        <v>63</v>
      </c>
      <c r="F21" s="51"/>
      <c r="G21" s="141"/>
      <c r="H21" s="141"/>
      <c r="I21" s="141"/>
      <c r="J21" s="141"/>
      <c r="K21" s="316"/>
      <c r="L21" s="27"/>
      <c r="M21" s="27"/>
      <c r="N21" s="18"/>
      <c r="O21" s="18"/>
      <c r="P21" s="18"/>
      <c r="Q21" s="18"/>
      <c r="R21" s="18"/>
      <c r="S21" s="18"/>
      <c r="T21" s="18"/>
      <c r="U21" s="18"/>
      <c r="V21" s="18"/>
      <c r="W21" s="7"/>
      <c r="X21" s="7"/>
      <c r="Y21" s="7"/>
      <c r="Z21" s="7"/>
      <c r="AA21" s="7"/>
      <c r="AB21" s="7"/>
      <c r="AC21" s="7"/>
      <c r="AD21" s="263">
        <f t="shared" si="0"/>
        <v>1</v>
      </c>
      <c r="AE21" s="273"/>
    </row>
    <row r="22" spans="1:31" ht="18" customHeight="1" x14ac:dyDescent="0.25">
      <c r="A22" s="14">
        <v>14</v>
      </c>
      <c r="B22" s="8">
        <v>44563</v>
      </c>
      <c r="C22" s="46" t="s">
        <v>77</v>
      </c>
      <c r="D22" s="46" t="s">
        <v>45</v>
      </c>
      <c r="E22" s="264" t="s">
        <v>67</v>
      </c>
      <c r="F22" s="51"/>
      <c r="G22" s="141"/>
      <c r="H22" s="141"/>
      <c r="I22" s="141"/>
      <c r="J22" s="141"/>
      <c r="K22" s="316"/>
      <c r="L22" s="27"/>
      <c r="M22" s="27"/>
      <c r="N22" s="18"/>
      <c r="O22" s="18"/>
      <c r="P22" s="18"/>
      <c r="Q22" s="18"/>
      <c r="R22" s="18"/>
      <c r="S22" s="18"/>
      <c r="T22" s="18"/>
      <c r="U22" s="18"/>
      <c r="V22" s="18"/>
      <c r="W22" s="7"/>
      <c r="X22" s="7"/>
      <c r="Y22" s="7"/>
      <c r="Z22" s="7"/>
      <c r="AA22" s="7"/>
      <c r="AB22" s="7"/>
      <c r="AC22" s="7"/>
      <c r="AD22" s="263">
        <f t="shared" si="0"/>
        <v>0</v>
      </c>
    </row>
    <row r="23" spans="1:31" ht="18" customHeight="1" x14ac:dyDescent="0.25">
      <c r="A23" s="14">
        <v>15</v>
      </c>
      <c r="B23" s="8">
        <v>44562</v>
      </c>
      <c r="C23" s="46" t="s">
        <v>70</v>
      </c>
      <c r="D23" s="46" t="s">
        <v>45</v>
      </c>
      <c r="E23" s="264" t="s">
        <v>67</v>
      </c>
      <c r="F23" s="51"/>
      <c r="G23" s="141"/>
      <c r="H23" s="141"/>
      <c r="I23" s="141"/>
      <c r="J23" s="141"/>
      <c r="K23" s="316"/>
      <c r="L23" s="27"/>
      <c r="M23" s="27"/>
      <c r="N23" s="18"/>
      <c r="O23" s="18"/>
      <c r="P23" s="18"/>
      <c r="Q23" s="18"/>
      <c r="R23" s="18"/>
      <c r="S23" s="18"/>
      <c r="T23" s="18"/>
      <c r="U23" s="18"/>
      <c r="V23" s="18"/>
      <c r="W23" s="7"/>
      <c r="X23" s="7"/>
      <c r="Y23" s="7"/>
      <c r="Z23" s="7"/>
      <c r="AA23" s="7"/>
      <c r="AB23" s="7"/>
      <c r="AC23" s="7"/>
      <c r="AD23" s="263">
        <f t="shared" si="0"/>
        <v>0</v>
      </c>
    </row>
    <row r="24" spans="1:31" ht="18" customHeight="1" x14ac:dyDescent="0.25">
      <c r="A24" s="7"/>
      <c r="B24" s="33"/>
      <c r="C24" s="34" t="s">
        <v>13</v>
      </c>
      <c r="D24" s="7"/>
      <c r="E24" s="7"/>
      <c r="F24" s="35">
        <f>SUM(F8:F23)</f>
        <v>0</v>
      </c>
      <c r="G24" s="35">
        <f t="shared" ref="G24:AD24" si="1">SUM(G8:G23)</f>
        <v>0</v>
      </c>
      <c r="H24" s="35"/>
      <c r="I24" s="35"/>
      <c r="J24" s="35"/>
      <c r="K24" s="165">
        <f t="shared" si="1"/>
        <v>0.5</v>
      </c>
      <c r="L24" s="35">
        <f t="shared" si="1"/>
        <v>1</v>
      </c>
      <c r="M24" s="35"/>
      <c r="N24" s="35">
        <f t="shared" si="1"/>
        <v>0</v>
      </c>
      <c r="O24" s="35"/>
      <c r="P24" s="35">
        <f t="shared" si="1"/>
        <v>0</v>
      </c>
      <c r="Q24" s="35"/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/>
      <c r="W24" s="35">
        <f t="shared" si="1"/>
        <v>0</v>
      </c>
      <c r="X24" s="35">
        <f t="shared" si="1"/>
        <v>0</v>
      </c>
      <c r="Y24" s="35">
        <f t="shared" si="1"/>
        <v>0</v>
      </c>
      <c r="Z24" s="35">
        <f t="shared" si="1"/>
        <v>0</v>
      </c>
      <c r="AA24" s="35">
        <f t="shared" si="1"/>
        <v>0</v>
      </c>
      <c r="AB24" s="35"/>
      <c r="AC24" s="35">
        <f t="shared" si="1"/>
        <v>0</v>
      </c>
      <c r="AD24" s="35" t="e">
        <f t="shared" si="1"/>
        <v>#VALUE!</v>
      </c>
    </row>
    <row r="25" spans="1:31" ht="18" customHeight="1" x14ac:dyDescent="0.25">
      <c r="N25" s="258"/>
      <c r="O25" s="258"/>
    </row>
    <row r="28" spans="1:31" x14ac:dyDescent="0.25">
      <c r="F28" s="201"/>
      <c r="G28" s="201"/>
      <c r="H28" s="201"/>
      <c r="I28" s="201"/>
      <c r="J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</row>
    <row r="29" spans="1:31" x14ac:dyDescent="0.25">
      <c r="L29" s="26"/>
      <c r="M29" s="26"/>
    </row>
    <row r="30" spans="1:31" x14ac:dyDescent="0.25">
      <c r="F30" s="26"/>
      <c r="G30" s="26"/>
      <c r="H30" s="26"/>
      <c r="I30" s="26"/>
      <c r="J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2" spans="1:31" x14ac:dyDescent="0.25">
      <c r="F32" s="199"/>
      <c r="G32" s="199"/>
      <c r="H32" s="199"/>
      <c r="I32" s="199"/>
      <c r="J32" s="199"/>
      <c r="K32" s="204"/>
    </row>
    <row r="33" spans="2:22" x14ac:dyDescent="0.25">
      <c r="B33"/>
      <c r="F33" s="26"/>
      <c r="G33" s="26"/>
      <c r="H33" s="26"/>
      <c r="I33" s="26"/>
      <c r="J33" s="26"/>
      <c r="L33" s="26"/>
      <c r="M33" s="26"/>
    </row>
    <row r="34" spans="2:22" x14ac:dyDescent="0.25">
      <c r="B34"/>
      <c r="F34" s="203"/>
      <c r="G34" s="203"/>
      <c r="H34" s="203"/>
      <c r="I34" s="203"/>
      <c r="J34" s="203"/>
      <c r="L34" s="204"/>
      <c r="M34" s="204"/>
      <c r="N34" s="203"/>
      <c r="O34" s="203"/>
      <c r="P34" s="203"/>
      <c r="Q34" s="203"/>
      <c r="R34" s="203"/>
      <c r="S34" s="203"/>
      <c r="T34" s="203"/>
      <c r="U34" s="203"/>
      <c r="V34" s="203"/>
    </row>
    <row r="35" spans="2:22" x14ac:dyDescent="0.25">
      <c r="B35"/>
      <c r="L35" s="26"/>
      <c r="M35" s="26"/>
    </row>
  </sheetData>
  <mergeCells count="1">
    <mergeCell ref="A4:C4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40"/>
  <dimension ref="A1:AE35"/>
  <sheetViews>
    <sheetView workbookViewId="0">
      <selection activeCell="AH9" sqref="AH9"/>
    </sheetView>
  </sheetViews>
  <sheetFormatPr defaultRowHeight="15" x14ac:dyDescent="0.25"/>
  <cols>
    <col min="1" max="1" width="6" customWidth="1"/>
    <col min="2" max="2" width="11.5703125" style="1" customWidth="1"/>
    <col min="3" max="3" width="45.42578125" customWidth="1"/>
    <col min="4" max="4" width="6" customWidth="1"/>
    <col min="5" max="5" width="8.7109375" customWidth="1"/>
    <col min="6" max="6" width="12.28515625" customWidth="1"/>
    <col min="7" max="10" width="12.28515625" hidden="1" customWidth="1"/>
    <col min="11" max="11" width="12.28515625" style="149" customWidth="1"/>
    <col min="12" max="14" width="12" customWidth="1"/>
    <col min="15" max="15" width="12" hidden="1" customWidth="1"/>
    <col min="16" max="20" width="12.7109375" hidden="1" customWidth="1"/>
    <col min="21" max="22" width="11.28515625" hidden="1" customWidth="1"/>
    <col min="23" max="23" width="10.28515625" hidden="1" customWidth="1"/>
    <col min="24" max="24" width="10.42578125" hidden="1" customWidth="1"/>
    <col min="25" max="29" width="9.140625" hidden="1" customWidth="1"/>
    <col min="31" max="31" width="11.28515625" bestFit="1" customWidth="1"/>
    <col min="36" max="36" width="11.7109375" bestFit="1" customWidth="1"/>
    <col min="265" max="265" width="6" customWidth="1"/>
    <col min="266" max="266" width="11.5703125" customWidth="1"/>
    <col min="267" max="267" width="45.42578125" customWidth="1"/>
    <col min="268" max="268" width="6" customWidth="1"/>
    <col min="269" max="269" width="8.7109375" customWidth="1"/>
    <col min="270" max="272" width="12.28515625" customWidth="1"/>
    <col min="273" max="274" width="12" customWidth="1"/>
    <col min="275" max="278" width="12.7109375" customWidth="1"/>
    <col min="279" max="279" width="11.28515625" customWidth="1"/>
    <col min="287" max="287" width="11.28515625" bestFit="1" customWidth="1"/>
    <col min="292" max="292" width="11.7109375" bestFit="1" customWidth="1"/>
    <col min="521" max="521" width="6" customWidth="1"/>
    <col min="522" max="522" width="11.5703125" customWidth="1"/>
    <col min="523" max="523" width="45.42578125" customWidth="1"/>
    <col min="524" max="524" width="6" customWidth="1"/>
    <col min="525" max="525" width="8.7109375" customWidth="1"/>
    <col min="526" max="528" width="12.28515625" customWidth="1"/>
    <col min="529" max="530" width="12" customWidth="1"/>
    <col min="531" max="534" width="12.7109375" customWidth="1"/>
    <col min="535" max="535" width="11.28515625" customWidth="1"/>
    <col min="543" max="543" width="11.28515625" bestFit="1" customWidth="1"/>
    <col min="548" max="548" width="11.7109375" bestFit="1" customWidth="1"/>
    <col min="777" max="777" width="6" customWidth="1"/>
    <col min="778" max="778" width="11.5703125" customWidth="1"/>
    <col min="779" max="779" width="45.42578125" customWidth="1"/>
    <col min="780" max="780" width="6" customWidth="1"/>
    <col min="781" max="781" width="8.7109375" customWidth="1"/>
    <col min="782" max="784" width="12.28515625" customWidth="1"/>
    <col min="785" max="786" width="12" customWidth="1"/>
    <col min="787" max="790" width="12.7109375" customWidth="1"/>
    <col min="791" max="791" width="11.28515625" customWidth="1"/>
    <col min="799" max="799" width="11.28515625" bestFit="1" customWidth="1"/>
    <col min="804" max="804" width="11.7109375" bestFit="1" customWidth="1"/>
    <col min="1033" max="1033" width="6" customWidth="1"/>
    <col min="1034" max="1034" width="11.5703125" customWidth="1"/>
    <col min="1035" max="1035" width="45.42578125" customWidth="1"/>
    <col min="1036" max="1036" width="6" customWidth="1"/>
    <col min="1037" max="1037" width="8.7109375" customWidth="1"/>
    <col min="1038" max="1040" width="12.28515625" customWidth="1"/>
    <col min="1041" max="1042" width="12" customWidth="1"/>
    <col min="1043" max="1046" width="12.7109375" customWidth="1"/>
    <col min="1047" max="1047" width="11.28515625" customWidth="1"/>
    <col min="1055" max="1055" width="11.28515625" bestFit="1" customWidth="1"/>
    <col min="1060" max="1060" width="11.7109375" bestFit="1" customWidth="1"/>
    <col min="1289" max="1289" width="6" customWidth="1"/>
    <col min="1290" max="1290" width="11.5703125" customWidth="1"/>
    <col min="1291" max="1291" width="45.42578125" customWidth="1"/>
    <col min="1292" max="1292" width="6" customWidth="1"/>
    <col min="1293" max="1293" width="8.7109375" customWidth="1"/>
    <col min="1294" max="1296" width="12.28515625" customWidth="1"/>
    <col min="1297" max="1298" width="12" customWidth="1"/>
    <col min="1299" max="1302" width="12.7109375" customWidth="1"/>
    <col min="1303" max="1303" width="11.28515625" customWidth="1"/>
    <col min="1311" max="1311" width="11.28515625" bestFit="1" customWidth="1"/>
    <col min="1316" max="1316" width="11.7109375" bestFit="1" customWidth="1"/>
    <col min="1545" max="1545" width="6" customWidth="1"/>
    <col min="1546" max="1546" width="11.5703125" customWidth="1"/>
    <col min="1547" max="1547" width="45.42578125" customWidth="1"/>
    <col min="1548" max="1548" width="6" customWidth="1"/>
    <col min="1549" max="1549" width="8.7109375" customWidth="1"/>
    <col min="1550" max="1552" width="12.28515625" customWidth="1"/>
    <col min="1553" max="1554" width="12" customWidth="1"/>
    <col min="1555" max="1558" width="12.7109375" customWidth="1"/>
    <col min="1559" max="1559" width="11.28515625" customWidth="1"/>
    <col min="1567" max="1567" width="11.28515625" bestFit="1" customWidth="1"/>
    <col min="1572" max="1572" width="11.7109375" bestFit="1" customWidth="1"/>
    <col min="1801" max="1801" width="6" customWidth="1"/>
    <col min="1802" max="1802" width="11.5703125" customWidth="1"/>
    <col min="1803" max="1803" width="45.42578125" customWidth="1"/>
    <col min="1804" max="1804" width="6" customWidth="1"/>
    <col min="1805" max="1805" width="8.7109375" customWidth="1"/>
    <col min="1806" max="1808" width="12.28515625" customWidth="1"/>
    <col min="1809" max="1810" width="12" customWidth="1"/>
    <col min="1811" max="1814" width="12.7109375" customWidth="1"/>
    <col min="1815" max="1815" width="11.28515625" customWidth="1"/>
    <col min="1823" max="1823" width="11.28515625" bestFit="1" customWidth="1"/>
    <col min="1828" max="1828" width="11.7109375" bestFit="1" customWidth="1"/>
    <col min="2057" max="2057" width="6" customWidth="1"/>
    <col min="2058" max="2058" width="11.5703125" customWidth="1"/>
    <col min="2059" max="2059" width="45.42578125" customWidth="1"/>
    <col min="2060" max="2060" width="6" customWidth="1"/>
    <col min="2061" max="2061" width="8.7109375" customWidth="1"/>
    <col min="2062" max="2064" width="12.28515625" customWidth="1"/>
    <col min="2065" max="2066" width="12" customWidth="1"/>
    <col min="2067" max="2070" width="12.7109375" customWidth="1"/>
    <col min="2071" max="2071" width="11.28515625" customWidth="1"/>
    <col min="2079" max="2079" width="11.28515625" bestFit="1" customWidth="1"/>
    <col min="2084" max="2084" width="11.7109375" bestFit="1" customWidth="1"/>
    <col min="2313" max="2313" width="6" customWidth="1"/>
    <col min="2314" max="2314" width="11.5703125" customWidth="1"/>
    <col min="2315" max="2315" width="45.42578125" customWidth="1"/>
    <col min="2316" max="2316" width="6" customWidth="1"/>
    <col min="2317" max="2317" width="8.7109375" customWidth="1"/>
    <col min="2318" max="2320" width="12.28515625" customWidth="1"/>
    <col min="2321" max="2322" width="12" customWidth="1"/>
    <col min="2323" max="2326" width="12.7109375" customWidth="1"/>
    <col min="2327" max="2327" width="11.28515625" customWidth="1"/>
    <col min="2335" max="2335" width="11.28515625" bestFit="1" customWidth="1"/>
    <col min="2340" max="2340" width="11.7109375" bestFit="1" customWidth="1"/>
    <col min="2569" max="2569" width="6" customWidth="1"/>
    <col min="2570" max="2570" width="11.5703125" customWidth="1"/>
    <col min="2571" max="2571" width="45.42578125" customWidth="1"/>
    <col min="2572" max="2572" width="6" customWidth="1"/>
    <col min="2573" max="2573" width="8.7109375" customWidth="1"/>
    <col min="2574" max="2576" width="12.28515625" customWidth="1"/>
    <col min="2577" max="2578" width="12" customWidth="1"/>
    <col min="2579" max="2582" width="12.7109375" customWidth="1"/>
    <col min="2583" max="2583" width="11.28515625" customWidth="1"/>
    <col min="2591" max="2591" width="11.28515625" bestFit="1" customWidth="1"/>
    <col min="2596" max="2596" width="11.7109375" bestFit="1" customWidth="1"/>
    <col min="2825" max="2825" width="6" customWidth="1"/>
    <col min="2826" max="2826" width="11.5703125" customWidth="1"/>
    <col min="2827" max="2827" width="45.42578125" customWidth="1"/>
    <col min="2828" max="2828" width="6" customWidth="1"/>
    <col min="2829" max="2829" width="8.7109375" customWidth="1"/>
    <col min="2830" max="2832" width="12.28515625" customWidth="1"/>
    <col min="2833" max="2834" width="12" customWidth="1"/>
    <col min="2835" max="2838" width="12.7109375" customWidth="1"/>
    <col min="2839" max="2839" width="11.28515625" customWidth="1"/>
    <col min="2847" max="2847" width="11.28515625" bestFit="1" customWidth="1"/>
    <col min="2852" max="2852" width="11.7109375" bestFit="1" customWidth="1"/>
    <col min="3081" max="3081" width="6" customWidth="1"/>
    <col min="3082" max="3082" width="11.5703125" customWidth="1"/>
    <col min="3083" max="3083" width="45.42578125" customWidth="1"/>
    <col min="3084" max="3084" width="6" customWidth="1"/>
    <col min="3085" max="3085" width="8.7109375" customWidth="1"/>
    <col min="3086" max="3088" width="12.28515625" customWidth="1"/>
    <col min="3089" max="3090" width="12" customWidth="1"/>
    <col min="3091" max="3094" width="12.7109375" customWidth="1"/>
    <col min="3095" max="3095" width="11.28515625" customWidth="1"/>
    <col min="3103" max="3103" width="11.28515625" bestFit="1" customWidth="1"/>
    <col min="3108" max="3108" width="11.7109375" bestFit="1" customWidth="1"/>
    <col min="3337" max="3337" width="6" customWidth="1"/>
    <col min="3338" max="3338" width="11.5703125" customWidth="1"/>
    <col min="3339" max="3339" width="45.42578125" customWidth="1"/>
    <col min="3340" max="3340" width="6" customWidth="1"/>
    <col min="3341" max="3341" width="8.7109375" customWidth="1"/>
    <col min="3342" max="3344" width="12.28515625" customWidth="1"/>
    <col min="3345" max="3346" width="12" customWidth="1"/>
    <col min="3347" max="3350" width="12.7109375" customWidth="1"/>
    <col min="3351" max="3351" width="11.28515625" customWidth="1"/>
    <col min="3359" max="3359" width="11.28515625" bestFit="1" customWidth="1"/>
    <col min="3364" max="3364" width="11.7109375" bestFit="1" customWidth="1"/>
    <col min="3593" max="3593" width="6" customWidth="1"/>
    <col min="3594" max="3594" width="11.5703125" customWidth="1"/>
    <col min="3595" max="3595" width="45.42578125" customWidth="1"/>
    <col min="3596" max="3596" width="6" customWidth="1"/>
    <col min="3597" max="3597" width="8.7109375" customWidth="1"/>
    <col min="3598" max="3600" width="12.28515625" customWidth="1"/>
    <col min="3601" max="3602" width="12" customWidth="1"/>
    <col min="3603" max="3606" width="12.7109375" customWidth="1"/>
    <col min="3607" max="3607" width="11.28515625" customWidth="1"/>
    <col min="3615" max="3615" width="11.28515625" bestFit="1" customWidth="1"/>
    <col min="3620" max="3620" width="11.7109375" bestFit="1" customWidth="1"/>
    <col min="3849" max="3849" width="6" customWidth="1"/>
    <col min="3850" max="3850" width="11.5703125" customWidth="1"/>
    <col min="3851" max="3851" width="45.42578125" customWidth="1"/>
    <col min="3852" max="3852" width="6" customWidth="1"/>
    <col min="3853" max="3853" width="8.7109375" customWidth="1"/>
    <col min="3854" max="3856" width="12.28515625" customWidth="1"/>
    <col min="3857" max="3858" width="12" customWidth="1"/>
    <col min="3859" max="3862" width="12.7109375" customWidth="1"/>
    <col min="3863" max="3863" width="11.28515625" customWidth="1"/>
    <col min="3871" max="3871" width="11.28515625" bestFit="1" customWidth="1"/>
    <col min="3876" max="3876" width="11.7109375" bestFit="1" customWidth="1"/>
    <col min="4105" max="4105" width="6" customWidth="1"/>
    <col min="4106" max="4106" width="11.5703125" customWidth="1"/>
    <col min="4107" max="4107" width="45.42578125" customWidth="1"/>
    <col min="4108" max="4108" width="6" customWidth="1"/>
    <col min="4109" max="4109" width="8.7109375" customWidth="1"/>
    <col min="4110" max="4112" width="12.28515625" customWidth="1"/>
    <col min="4113" max="4114" width="12" customWidth="1"/>
    <col min="4115" max="4118" width="12.7109375" customWidth="1"/>
    <col min="4119" max="4119" width="11.28515625" customWidth="1"/>
    <col min="4127" max="4127" width="11.28515625" bestFit="1" customWidth="1"/>
    <col min="4132" max="4132" width="11.7109375" bestFit="1" customWidth="1"/>
    <col min="4361" max="4361" width="6" customWidth="1"/>
    <col min="4362" max="4362" width="11.5703125" customWidth="1"/>
    <col min="4363" max="4363" width="45.42578125" customWidth="1"/>
    <col min="4364" max="4364" width="6" customWidth="1"/>
    <col min="4365" max="4365" width="8.7109375" customWidth="1"/>
    <col min="4366" max="4368" width="12.28515625" customWidth="1"/>
    <col min="4369" max="4370" width="12" customWidth="1"/>
    <col min="4371" max="4374" width="12.7109375" customWidth="1"/>
    <col min="4375" max="4375" width="11.28515625" customWidth="1"/>
    <col min="4383" max="4383" width="11.28515625" bestFit="1" customWidth="1"/>
    <col min="4388" max="4388" width="11.7109375" bestFit="1" customWidth="1"/>
    <col min="4617" max="4617" width="6" customWidth="1"/>
    <col min="4618" max="4618" width="11.5703125" customWidth="1"/>
    <col min="4619" max="4619" width="45.42578125" customWidth="1"/>
    <col min="4620" max="4620" width="6" customWidth="1"/>
    <col min="4621" max="4621" width="8.7109375" customWidth="1"/>
    <col min="4622" max="4624" width="12.28515625" customWidth="1"/>
    <col min="4625" max="4626" width="12" customWidth="1"/>
    <col min="4627" max="4630" width="12.7109375" customWidth="1"/>
    <col min="4631" max="4631" width="11.28515625" customWidth="1"/>
    <col min="4639" max="4639" width="11.28515625" bestFit="1" customWidth="1"/>
    <col min="4644" max="4644" width="11.7109375" bestFit="1" customWidth="1"/>
    <col min="4873" max="4873" width="6" customWidth="1"/>
    <col min="4874" max="4874" width="11.5703125" customWidth="1"/>
    <col min="4875" max="4875" width="45.42578125" customWidth="1"/>
    <col min="4876" max="4876" width="6" customWidth="1"/>
    <col min="4877" max="4877" width="8.7109375" customWidth="1"/>
    <col min="4878" max="4880" width="12.28515625" customWidth="1"/>
    <col min="4881" max="4882" width="12" customWidth="1"/>
    <col min="4883" max="4886" width="12.7109375" customWidth="1"/>
    <col min="4887" max="4887" width="11.28515625" customWidth="1"/>
    <col min="4895" max="4895" width="11.28515625" bestFit="1" customWidth="1"/>
    <col min="4900" max="4900" width="11.7109375" bestFit="1" customWidth="1"/>
    <col min="5129" max="5129" width="6" customWidth="1"/>
    <col min="5130" max="5130" width="11.5703125" customWidth="1"/>
    <col min="5131" max="5131" width="45.42578125" customWidth="1"/>
    <col min="5132" max="5132" width="6" customWidth="1"/>
    <col min="5133" max="5133" width="8.7109375" customWidth="1"/>
    <col min="5134" max="5136" width="12.28515625" customWidth="1"/>
    <col min="5137" max="5138" width="12" customWidth="1"/>
    <col min="5139" max="5142" width="12.7109375" customWidth="1"/>
    <col min="5143" max="5143" width="11.28515625" customWidth="1"/>
    <col min="5151" max="5151" width="11.28515625" bestFit="1" customWidth="1"/>
    <col min="5156" max="5156" width="11.7109375" bestFit="1" customWidth="1"/>
    <col min="5385" max="5385" width="6" customWidth="1"/>
    <col min="5386" max="5386" width="11.5703125" customWidth="1"/>
    <col min="5387" max="5387" width="45.42578125" customWidth="1"/>
    <col min="5388" max="5388" width="6" customWidth="1"/>
    <col min="5389" max="5389" width="8.7109375" customWidth="1"/>
    <col min="5390" max="5392" width="12.28515625" customWidth="1"/>
    <col min="5393" max="5394" width="12" customWidth="1"/>
    <col min="5395" max="5398" width="12.7109375" customWidth="1"/>
    <col min="5399" max="5399" width="11.28515625" customWidth="1"/>
    <col min="5407" max="5407" width="11.28515625" bestFit="1" customWidth="1"/>
    <col min="5412" max="5412" width="11.7109375" bestFit="1" customWidth="1"/>
    <col min="5641" max="5641" width="6" customWidth="1"/>
    <col min="5642" max="5642" width="11.5703125" customWidth="1"/>
    <col min="5643" max="5643" width="45.42578125" customWidth="1"/>
    <col min="5644" max="5644" width="6" customWidth="1"/>
    <col min="5645" max="5645" width="8.7109375" customWidth="1"/>
    <col min="5646" max="5648" width="12.28515625" customWidth="1"/>
    <col min="5649" max="5650" width="12" customWidth="1"/>
    <col min="5651" max="5654" width="12.7109375" customWidth="1"/>
    <col min="5655" max="5655" width="11.28515625" customWidth="1"/>
    <col min="5663" max="5663" width="11.28515625" bestFit="1" customWidth="1"/>
    <col min="5668" max="5668" width="11.7109375" bestFit="1" customWidth="1"/>
    <col min="5897" max="5897" width="6" customWidth="1"/>
    <col min="5898" max="5898" width="11.5703125" customWidth="1"/>
    <col min="5899" max="5899" width="45.42578125" customWidth="1"/>
    <col min="5900" max="5900" width="6" customWidth="1"/>
    <col min="5901" max="5901" width="8.7109375" customWidth="1"/>
    <col min="5902" max="5904" width="12.28515625" customWidth="1"/>
    <col min="5905" max="5906" width="12" customWidth="1"/>
    <col min="5907" max="5910" width="12.7109375" customWidth="1"/>
    <col min="5911" max="5911" width="11.28515625" customWidth="1"/>
    <col min="5919" max="5919" width="11.28515625" bestFit="1" customWidth="1"/>
    <col min="5924" max="5924" width="11.7109375" bestFit="1" customWidth="1"/>
    <col min="6153" max="6153" width="6" customWidth="1"/>
    <col min="6154" max="6154" width="11.5703125" customWidth="1"/>
    <col min="6155" max="6155" width="45.42578125" customWidth="1"/>
    <col min="6156" max="6156" width="6" customWidth="1"/>
    <col min="6157" max="6157" width="8.7109375" customWidth="1"/>
    <col min="6158" max="6160" width="12.28515625" customWidth="1"/>
    <col min="6161" max="6162" width="12" customWidth="1"/>
    <col min="6163" max="6166" width="12.7109375" customWidth="1"/>
    <col min="6167" max="6167" width="11.28515625" customWidth="1"/>
    <col min="6175" max="6175" width="11.28515625" bestFit="1" customWidth="1"/>
    <col min="6180" max="6180" width="11.7109375" bestFit="1" customWidth="1"/>
    <col min="6409" max="6409" width="6" customWidth="1"/>
    <col min="6410" max="6410" width="11.5703125" customWidth="1"/>
    <col min="6411" max="6411" width="45.42578125" customWidth="1"/>
    <col min="6412" max="6412" width="6" customWidth="1"/>
    <col min="6413" max="6413" width="8.7109375" customWidth="1"/>
    <col min="6414" max="6416" width="12.28515625" customWidth="1"/>
    <col min="6417" max="6418" width="12" customWidth="1"/>
    <col min="6419" max="6422" width="12.7109375" customWidth="1"/>
    <col min="6423" max="6423" width="11.28515625" customWidth="1"/>
    <col min="6431" max="6431" width="11.28515625" bestFit="1" customWidth="1"/>
    <col min="6436" max="6436" width="11.7109375" bestFit="1" customWidth="1"/>
    <col min="6665" max="6665" width="6" customWidth="1"/>
    <col min="6666" max="6666" width="11.5703125" customWidth="1"/>
    <col min="6667" max="6667" width="45.42578125" customWidth="1"/>
    <col min="6668" max="6668" width="6" customWidth="1"/>
    <col min="6669" max="6669" width="8.7109375" customWidth="1"/>
    <col min="6670" max="6672" width="12.28515625" customWidth="1"/>
    <col min="6673" max="6674" width="12" customWidth="1"/>
    <col min="6675" max="6678" width="12.7109375" customWidth="1"/>
    <col min="6679" max="6679" width="11.28515625" customWidth="1"/>
    <col min="6687" max="6687" width="11.28515625" bestFit="1" customWidth="1"/>
    <col min="6692" max="6692" width="11.7109375" bestFit="1" customWidth="1"/>
    <col min="6921" max="6921" width="6" customWidth="1"/>
    <col min="6922" max="6922" width="11.5703125" customWidth="1"/>
    <col min="6923" max="6923" width="45.42578125" customWidth="1"/>
    <col min="6924" max="6924" width="6" customWidth="1"/>
    <col min="6925" max="6925" width="8.7109375" customWidth="1"/>
    <col min="6926" max="6928" width="12.28515625" customWidth="1"/>
    <col min="6929" max="6930" width="12" customWidth="1"/>
    <col min="6931" max="6934" width="12.7109375" customWidth="1"/>
    <col min="6935" max="6935" width="11.28515625" customWidth="1"/>
    <col min="6943" max="6943" width="11.28515625" bestFit="1" customWidth="1"/>
    <col min="6948" max="6948" width="11.7109375" bestFit="1" customWidth="1"/>
    <col min="7177" max="7177" width="6" customWidth="1"/>
    <col min="7178" max="7178" width="11.5703125" customWidth="1"/>
    <col min="7179" max="7179" width="45.42578125" customWidth="1"/>
    <col min="7180" max="7180" width="6" customWidth="1"/>
    <col min="7181" max="7181" width="8.7109375" customWidth="1"/>
    <col min="7182" max="7184" width="12.28515625" customWidth="1"/>
    <col min="7185" max="7186" width="12" customWidth="1"/>
    <col min="7187" max="7190" width="12.7109375" customWidth="1"/>
    <col min="7191" max="7191" width="11.28515625" customWidth="1"/>
    <col min="7199" max="7199" width="11.28515625" bestFit="1" customWidth="1"/>
    <col min="7204" max="7204" width="11.7109375" bestFit="1" customWidth="1"/>
    <col min="7433" max="7433" width="6" customWidth="1"/>
    <col min="7434" max="7434" width="11.5703125" customWidth="1"/>
    <col min="7435" max="7435" width="45.42578125" customWidth="1"/>
    <col min="7436" max="7436" width="6" customWidth="1"/>
    <col min="7437" max="7437" width="8.7109375" customWidth="1"/>
    <col min="7438" max="7440" width="12.28515625" customWidth="1"/>
    <col min="7441" max="7442" width="12" customWidth="1"/>
    <col min="7443" max="7446" width="12.7109375" customWidth="1"/>
    <col min="7447" max="7447" width="11.28515625" customWidth="1"/>
    <col min="7455" max="7455" width="11.28515625" bestFit="1" customWidth="1"/>
    <col min="7460" max="7460" width="11.7109375" bestFit="1" customWidth="1"/>
    <col min="7689" max="7689" width="6" customWidth="1"/>
    <col min="7690" max="7690" width="11.5703125" customWidth="1"/>
    <col min="7691" max="7691" width="45.42578125" customWidth="1"/>
    <col min="7692" max="7692" width="6" customWidth="1"/>
    <col min="7693" max="7693" width="8.7109375" customWidth="1"/>
    <col min="7694" max="7696" width="12.28515625" customWidth="1"/>
    <col min="7697" max="7698" width="12" customWidth="1"/>
    <col min="7699" max="7702" width="12.7109375" customWidth="1"/>
    <col min="7703" max="7703" width="11.28515625" customWidth="1"/>
    <col min="7711" max="7711" width="11.28515625" bestFit="1" customWidth="1"/>
    <col min="7716" max="7716" width="11.7109375" bestFit="1" customWidth="1"/>
    <col min="7945" max="7945" width="6" customWidth="1"/>
    <col min="7946" max="7946" width="11.5703125" customWidth="1"/>
    <col min="7947" max="7947" width="45.42578125" customWidth="1"/>
    <col min="7948" max="7948" width="6" customWidth="1"/>
    <col min="7949" max="7949" width="8.7109375" customWidth="1"/>
    <col min="7950" max="7952" width="12.28515625" customWidth="1"/>
    <col min="7953" max="7954" width="12" customWidth="1"/>
    <col min="7955" max="7958" width="12.7109375" customWidth="1"/>
    <col min="7959" max="7959" width="11.28515625" customWidth="1"/>
    <col min="7967" max="7967" width="11.28515625" bestFit="1" customWidth="1"/>
    <col min="7972" max="7972" width="11.7109375" bestFit="1" customWidth="1"/>
    <col min="8201" max="8201" width="6" customWidth="1"/>
    <col min="8202" max="8202" width="11.5703125" customWidth="1"/>
    <col min="8203" max="8203" width="45.42578125" customWidth="1"/>
    <col min="8204" max="8204" width="6" customWidth="1"/>
    <col min="8205" max="8205" width="8.7109375" customWidth="1"/>
    <col min="8206" max="8208" width="12.28515625" customWidth="1"/>
    <col min="8209" max="8210" width="12" customWidth="1"/>
    <col min="8211" max="8214" width="12.7109375" customWidth="1"/>
    <col min="8215" max="8215" width="11.28515625" customWidth="1"/>
    <col min="8223" max="8223" width="11.28515625" bestFit="1" customWidth="1"/>
    <col min="8228" max="8228" width="11.7109375" bestFit="1" customWidth="1"/>
    <col min="8457" max="8457" width="6" customWidth="1"/>
    <col min="8458" max="8458" width="11.5703125" customWidth="1"/>
    <col min="8459" max="8459" width="45.42578125" customWidth="1"/>
    <col min="8460" max="8460" width="6" customWidth="1"/>
    <col min="8461" max="8461" width="8.7109375" customWidth="1"/>
    <col min="8462" max="8464" width="12.28515625" customWidth="1"/>
    <col min="8465" max="8466" width="12" customWidth="1"/>
    <col min="8467" max="8470" width="12.7109375" customWidth="1"/>
    <col min="8471" max="8471" width="11.28515625" customWidth="1"/>
    <col min="8479" max="8479" width="11.28515625" bestFit="1" customWidth="1"/>
    <col min="8484" max="8484" width="11.7109375" bestFit="1" customWidth="1"/>
    <col min="8713" max="8713" width="6" customWidth="1"/>
    <col min="8714" max="8714" width="11.5703125" customWidth="1"/>
    <col min="8715" max="8715" width="45.42578125" customWidth="1"/>
    <col min="8716" max="8716" width="6" customWidth="1"/>
    <col min="8717" max="8717" width="8.7109375" customWidth="1"/>
    <col min="8718" max="8720" width="12.28515625" customWidth="1"/>
    <col min="8721" max="8722" width="12" customWidth="1"/>
    <col min="8723" max="8726" width="12.7109375" customWidth="1"/>
    <col min="8727" max="8727" width="11.28515625" customWidth="1"/>
    <col min="8735" max="8735" width="11.28515625" bestFit="1" customWidth="1"/>
    <col min="8740" max="8740" width="11.7109375" bestFit="1" customWidth="1"/>
    <col min="8969" max="8969" width="6" customWidth="1"/>
    <col min="8970" max="8970" width="11.5703125" customWidth="1"/>
    <col min="8971" max="8971" width="45.42578125" customWidth="1"/>
    <col min="8972" max="8972" width="6" customWidth="1"/>
    <col min="8973" max="8973" width="8.7109375" customWidth="1"/>
    <col min="8974" max="8976" width="12.28515625" customWidth="1"/>
    <col min="8977" max="8978" width="12" customWidth="1"/>
    <col min="8979" max="8982" width="12.7109375" customWidth="1"/>
    <col min="8983" max="8983" width="11.28515625" customWidth="1"/>
    <col min="8991" max="8991" width="11.28515625" bestFit="1" customWidth="1"/>
    <col min="8996" max="8996" width="11.7109375" bestFit="1" customWidth="1"/>
    <col min="9225" max="9225" width="6" customWidth="1"/>
    <col min="9226" max="9226" width="11.5703125" customWidth="1"/>
    <col min="9227" max="9227" width="45.42578125" customWidth="1"/>
    <col min="9228" max="9228" width="6" customWidth="1"/>
    <col min="9229" max="9229" width="8.7109375" customWidth="1"/>
    <col min="9230" max="9232" width="12.28515625" customWidth="1"/>
    <col min="9233" max="9234" width="12" customWidth="1"/>
    <col min="9235" max="9238" width="12.7109375" customWidth="1"/>
    <col min="9239" max="9239" width="11.28515625" customWidth="1"/>
    <col min="9247" max="9247" width="11.28515625" bestFit="1" customWidth="1"/>
    <col min="9252" max="9252" width="11.7109375" bestFit="1" customWidth="1"/>
    <col min="9481" max="9481" width="6" customWidth="1"/>
    <col min="9482" max="9482" width="11.5703125" customWidth="1"/>
    <col min="9483" max="9483" width="45.42578125" customWidth="1"/>
    <col min="9484" max="9484" width="6" customWidth="1"/>
    <col min="9485" max="9485" width="8.7109375" customWidth="1"/>
    <col min="9486" max="9488" width="12.28515625" customWidth="1"/>
    <col min="9489" max="9490" width="12" customWidth="1"/>
    <col min="9491" max="9494" width="12.7109375" customWidth="1"/>
    <col min="9495" max="9495" width="11.28515625" customWidth="1"/>
    <col min="9503" max="9503" width="11.28515625" bestFit="1" customWidth="1"/>
    <col min="9508" max="9508" width="11.7109375" bestFit="1" customWidth="1"/>
    <col min="9737" max="9737" width="6" customWidth="1"/>
    <col min="9738" max="9738" width="11.5703125" customWidth="1"/>
    <col min="9739" max="9739" width="45.42578125" customWidth="1"/>
    <col min="9740" max="9740" width="6" customWidth="1"/>
    <col min="9741" max="9741" width="8.7109375" customWidth="1"/>
    <col min="9742" max="9744" width="12.28515625" customWidth="1"/>
    <col min="9745" max="9746" width="12" customWidth="1"/>
    <col min="9747" max="9750" width="12.7109375" customWidth="1"/>
    <col min="9751" max="9751" width="11.28515625" customWidth="1"/>
    <col min="9759" max="9759" width="11.28515625" bestFit="1" customWidth="1"/>
    <col min="9764" max="9764" width="11.7109375" bestFit="1" customWidth="1"/>
    <col min="9993" max="9993" width="6" customWidth="1"/>
    <col min="9994" max="9994" width="11.5703125" customWidth="1"/>
    <col min="9995" max="9995" width="45.42578125" customWidth="1"/>
    <col min="9996" max="9996" width="6" customWidth="1"/>
    <col min="9997" max="9997" width="8.7109375" customWidth="1"/>
    <col min="9998" max="10000" width="12.28515625" customWidth="1"/>
    <col min="10001" max="10002" width="12" customWidth="1"/>
    <col min="10003" max="10006" width="12.7109375" customWidth="1"/>
    <col min="10007" max="10007" width="11.28515625" customWidth="1"/>
    <col min="10015" max="10015" width="11.28515625" bestFit="1" customWidth="1"/>
    <col min="10020" max="10020" width="11.7109375" bestFit="1" customWidth="1"/>
    <col min="10249" max="10249" width="6" customWidth="1"/>
    <col min="10250" max="10250" width="11.5703125" customWidth="1"/>
    <col min="10251" max="10251" width="45.42578125" customWidth="1"/>
    <col min="10252" max="10252" width="6" customWidth="1"/>
    <col min="10253" max="10253" width="8.7109375" customWidth="1"/>
    <col min="10254" max="10256" width="12.28515625" customWidth="1"/>
    <col min="10257" max="10258" width="12" customWidth="1"/>
    <col min="10259" max="10262" width="12.7109375" customWidth="1"/>
    <col min="10263" max="10263" width="11.28515625" customWidth="1"/>
    <col min="10271" max="10271" width="11.28515625" bestFit="1" customWidth="1"/>
    <col min="10276" max="10276" width="11.7109375" bestFit="1" customWidth="1"/>
    <col min="10505" max="10505" width="6" customWidth="1"/>
    <col min="10506" max="10506" width="11.5703125" customWidth="1"/>
    <col min="10507" max="10507" width="45.42578125" customWidth="1"/>
    <col min="10508" max="10508" width="6" customWidth="1"/>
    <col min="10509" max="10509" width="8.7109375" customWidth="1"/>
    <col min="10510" max="10512" width="12.28515625" customWidth="1"/>
    <col min="10513" max="10514" width="12" customWidth="1"/>
    <col min="10515" max="10518" width="12.7109375" customWidth="1"/>
    <col min="10519" max="10519" width="11.28515625" customWidth="1"/>
    <col min="10527" max="10527" width="11.28515625" bestFit="1" customWidth="1"/>
    <col min="10532" max="10532" width="11.7109375" bestFit="1" customWidth="1"/>
    <col min="10761" max="10761" width="6" customWidth="1"/>
    <col min="10762" max="10762" width="11.5703125" customWidth="1"/>
    <col min="10763" max="10763" width="45.42578125" customWidth="1"/>
    <col min="10764" max="10764" width="6" customWidth="1"/>
    <col min="10765" max="10765" width="8.7109375" customWidth="1"/>
    <col min="10766" max="10768" width="12.28515625" customWidth="1"/>
    <col min="10769" max="10770" width="12" customWidth="1"/>
    <col min="10771" max="10774" width="12.7109375" customWidth="1"/>
    <col min="10775" max="10775" width="11.28515625" customWidth="1"/>
    <col min="10783" max="10783" width="11.28515625" bestFit="1" customWidth="1"/>
    <col min="10788" max="10788" width="11.7109375" bestFit="1" customWidth="1"/>
    <col min="11017" max="11017" width="6" customWidth="1"/>
    <col min="11018" max="11018" width="11.5703125" customWidth="1"/>
    <col min="11019" max="11019" width="45.42578125" customWidth="1"/>
    <col min="11020" max="11020" width="6" customWidth="1"/>
    <col min="11021" max="11021" width="8.7109375" customWidth="1"/>
    <col min="11022" max="11024" width="12.28515625" customWidth="1"/>
    <col min="11025" max="11026" width="12" customWidth="1"/>
    <col min="11027" max="11030" width="12.7109375" customWidth="1"/>
    <col min="11031" max="11031" width="11.28515625" customWidth="1"/>
    <col min="11039" max="11039" width="11.28515625" bestFit="1" customWidth="1"/>
    <col min="11044" max="11044" width="11.7109375" bestFit="1" customWidth="1"/>
    <col min="11273" max="11273" width="6" customWidth="1"/>
    <col min="11274" max="11274" width="11.5703125" customWidth="1"/>
    <col min="11275" max="11275" width="45.42578125" customWidth="1"/>
    <col min="11276" max="11276" width="6" customWidth="1"/>
    <col min="11277" max="11277" width="8.7109375" customWidth="1"/>
    <col min="11278" max="11280" width="12.28515625" customWidth="1"/>
    <col min="11281" max="11282" width="12" customWidth="1"/>
    <col min="11283" max="11286" width="12.7109375" customWidth="1"/>
    <col min="11287" max="11287" width="11.28515625" customWidth="1"/>
    <col min="11295" max="11295" width="11.28515625" bestFit="1" customWidth="1"/>
    <col min="11300" max="11300" width="11.7109375" bestFit="1" customWidth="1"/>
    <col min="11529" max="11529" width="6" customWidth="1"/>
    <col min="11530" max="11530" width="11.5703125" customWidth="1"/>
    <col min="11531" max="11531" width="45.42578125" customWidth="1"/>
    <col min="11532" max="11532" width="6" customWidth="1"/>
    <col min="11533" max="11533" width="8.7109375" customWidth="1"/>
    <col min="11534" max="11536" width="12.28515625" customWidth="1"/>
    <col min="11537" max="11538" width="12" customWidth="1"/>
    <col min="11539" max="11542" width="12.7109375" customWidth="1"/>
    <col min="11543" max="11543" width="11.28515625" customWidth="1"/>
    <col min="11551" max="11551" width="11.28515625" bestFit="1" customWidth="1"/>
    <col min="11556" max="11556" width="11.7109375" bestFit="1" customWidth="1"/>
    <col min="11785" max="11785" width="6" customWidth="1"/>
    <col min="11786" max="11786" width="11.5703125" customWidth="1"/>
    <col min="11787" max="11787" width="45.42578125" customWidth="1"/>
    <col min="11788" max="11788" width="6" customWidth="1"/>
    <col min="11789" max="11789" width="8.7109375" customWidth="1"/>
    <col min="11790" max="11792" width="12.28515625" customWidth="1"/>
    <col min="11793" max="11794" width="12" customWidth="1"/>
    <col min="11795" max="11798" width="12.7109375" customWidth="1"/>
    <col min="11799" max="11799" width="11.28515625" customWidth="1"/>
    <col min="11807" max="11807" width="11.28515625" bestFit="1" customWidth="1"/>
    <col min="11812" max="11812" width="11.7109375" bestFit="1" customWidth="1"/>
    <col min="12041" max="12041" width="6" customWidth="1"/>
    <col min="12042" max="12042" width="11.5703125" customWidth="1"/>
    <col min="12043" max="12043" width="45.42578125" customWidth="1"/>
    <col min="12044" max="12044" width="6" customWidth="1"/>
    <col min="12045" max="12045" width="8.7109375" customWidth="1"/>
    <col min="12046" max="12048" width="12.28515625" customWidth="1"/>
    <col min="12049" max="12050" width="12" customWidth="1"/>
    <col min="12051" max="12054" width="12.7109375" customWidth="1"/>
    <col min="12055" max="12055" width="11.28515625" customWidth="1"/>
    <col min="12063" max="12063" width="11.28515625" bestFit="1" customWidth="1"/>
    <col min="12068" max="12068" width="11.7109375" bestFit="1" customWidth="1"/>
    <col min="12297" max="12297" width="6" customWidth="1"/>
    <col min="12298" max="12298" width="11.5703125" customWidth="1"/>
    <col min="12299" max="12299" width="45.42578125" customWidth="1"/>
    <col min="12300" max="12300" width="6" customWidth="1"/>
    <col min="12301" max="12301" width="8.7109375" customWidth="1"/>
    <col min="12302" max="12304" width="12.28515625" customWidth="1"/>
    <col min="12305" max="12306" width="12" customWidth="1"/>
    <col min="12307" max="12310" width="12.7109375" customWidth="1"/>
    <col min="12311" max="12311" width="11.28515625" customWidth="1"/>
    <col min="12319" max="12319" width="11.28515625" bestFit="1" customWidth="1"/>
    <col min="12324" max="12324" width="11.7109375" bestFit="1" customWidth="1"/>
    <col min="12553" max="12553" width="6" customWidth="1"/>
    <col min="12554" max="12554" width="11.5703125" customWidth="1"/>
    <col min="12555" max="12555" width="45.42578125" customWidth="1"/>
    <col min="12556" max="12556" width="6" customWidth="1"/>
    <col min="12557" max="12557" width="8.7109375" customWidth="1"/>
    <col min="12558" max="12560" width="12.28515625" customWidth="1"/>
    <col min="12561" max="12562" width="12" customWidth="1"/>
    <col min="12563" max="12566" width="12.7109375" customWidth="1"/>
    <col min="12567" max="12567" width="11.28515625" customWidth="1"/>
    <col min="12575" max="12575" width="11.28515625" bestFit="1" customWidth="1"/>
    <col min="12580" max="12580" width="11.7109375" bestFit="1" customWidth="1"/>
    <col min="12809" max="12809" width="6" customWidth="1"/>
    <col min="12810" max="12810" width="11.5703125" customWidth="1"/>
    <col min="12811" max="12811" width="45.42578125" customWidth="1"/>
    <col min="12812" max="12812" width="6" customWidth="1"/>
    <col min="12813" max="12813" width="8.7109375" customWidth="1"/>
    <col min="12814" max="12816" width="12.28515625" customWidth="1"/>
    <col min="12817" max="12818" width="12" customWidth="1"/>
    <col min="12819" max="12822" width="12.7109375" customWidth="1"/>
    <col min="12823" max="12823" width="11.28515625" customWidth="1"/>
    <col min="12831" max="12831" width="11.28515625" bestFit="1" customWidth="1"/>
    <col min="12836" max="12836" width="11.7109375" bestFit="1" customWidth="1"/>
    <col min="13065" max="13065" width="6" customWidth="1"/>
    <col min="13066" max="13066" width="11.5703125" customWidth="1"/>
    <col min="13067" max="13067" width="45.42578125" customWidth="1"/>
    <col min="13068" max="13068" width="6" customWidth="1"/>
    <col min="13069" max="13069" width="8.7109375" customWidth="1"/>
    <col min="13070" max="13072" width="12.28515625" customWidth="1"/>
    <col min="13073" max="13074" width="12" customWidth="1"/>
    <col min="13075" max="13078" width="12.7109375" customWidth="1"/>
    <col min="13079" max="13079" width="11.28515625" customWidth="1"/>
    <col min="13087" max="13087" width="11.28515625" bestFit="1" customWidth="1"/>
    <col min="13092" max="13092" width="11.7109375" bestFit="1" customWidth="1"/>
    <col min="13321" max="13321" width="6" customWidth="1"/>
    <col min="13322" max="13322" width="11.5703125" customWidth="1"/>
    <col min="13323" max="13323" width="45.42578125" customWidth="1"/>
    <col min="13324" max="13324" width="6" customWidth="1"/>
    <col min="13325" max="13325" width="8.7109375" customWidth="1"/>
    <col min="13326" max="13328" width="12.28515625" customWidth="1"/>
    <col min="13329" max="13330" width="12" customWidth="1"/>
    <col min="13331" max="13334" width="12.7109375" customWidth="1"/>
    <col min="13335" max="13335" width="11.28515625" customWidth="1"/>
    <col min="13343" max="13343" width="11.28515625" bestFit="1" customWidth="1"/>
    <col min="13348" max="13348" width="11.7109375" bestFit="1" customWidth="1"/>
    <col min="13577" max="13577" width="6" customWidth="1"/>
    <col min="13578" max="13578" width="11.5703125" customWidth="1"/>
    <col min="13579" max="13579" width="45.42578125" customWidth="1"/>
    <col min="13580" max="13580" width="6" customWidth="1"/>
    <col min="13581" max="13581" width="8.7109375" customWidth="1"/>
    <col min="13582" max="13584" width="12.28515625" customWidth="1"/>
    <col min="13585" max="13586" width="12" customWidth="1"/>
    <col min="13587" max="13590" width="12.7109375" customWidth="1"/>
    <col min="13591" max="13591" width="11.28515625" customWidth="1"/>
    <col min="13599" max="13599" width="11.28515625" bestFit="1" customWidth="1"/>
    <col min="13604" max="13604" width="11.7109375" bestFit="1" customWidth="1"/>
    <col min="13833" max="13833" width="6" customWidth="1"/>
    <col min="13834" max="13834" width="11.5703125" customWidth="1"/>
    <col min="13835" max="13835" width="45.42578125" customWidth="1"/>
    <col min="13836" max="13836" width="6" customWidth="1"/>
    <col min="13837" max="13837" width="8.7109375" customWidth="1"/>
    <col min="13838" max="13840" width="12.28515625" customWidth="1"/>
    <col min="13841" max="13842" width="12" customWidth="1"/>
    <col min="13843" max="13846" width="12.7109375" customWidth="1"/>
    <col min="13847" max="13847" width="11.28515625" customWidth="1"/>
    <col min="13855" max="13855" width="11.28515625" bestFit="1" customWidth="1"/>
    <col min="13860" max="13860" width="11.7109375" bestFit="1" customWidth="1"/>
    <col min="14089" max="14089" width="6" customWidth="1"/>
    <col min="14090" max="14090" width="11.5703125" customWidth="1"/>
    <col min="14091" max="14091" width="45.42578125" customWidth="1"/>
    <col min="14092" max="14092" width="6" customWidth="1"/>
    <col min="14093" max="14093" width="8.7109375" customWidth="1"/>
    <col min="14094" max="14096" width="12.28515625" customWidth="1"/>
    <col min="14097" max="14098" width="12" customWidth="1"/>
    <col min="14099" max="14102" width="12.7109375" customWidth="1"/>
    <col min="14103" max="14103" width="11.28515625" customWidth="1"/>
    <col min="14111" max="14111" width="11.28515625" bestFit="1" customWidth="1"/>
    <col min="14116" max="14116" width="11.7109375" bestFit="1" customWidth="1"/>
    <col min="14345" max="14345" width="6" customWidth="1"/>
    <col min="14346" max="14346" width="11.5703125" customWidth="1"/>
    <col min="14347" max="14347" width="45.42578125" customWidth="1"/>
    <col min="14348" max="14348" width="6" customWidth="1"/>
    <col min="14349" max="14349" width="8.7109375" customWidth="1"/>
    <col min="14350" max="14352" width="12.28515625" customWidth="1"/>
    <col min="14353" max="14354" width="12" customWidth="1"/>
    <col min="14355" max="14358" width="12.7109375" customWidth="1"/>
    <col min="14359" max="14359" width="11.28515625" customWidth="1"/>
    <col min="14367" max="14367" width="11.28515625" bestFit="1" customWidth="1"/>
    <col min="14372" max="14372" width="11.7109375" bestFit="1" customWidth="1"/>
    <col min="14601" max="14601" width="6" customWidth="1"/>
    <col min="14602" max="14602" width="11.5703125" customWidth="1"/>
    <col min="14603" max="14603" width="45.42578125" customWidth="1"/>
    <col min="14604" max="14604" width="6" customWidth="1"/>
    <col min="14605" max="14605" width="8.7109375" customWidth="1"/>
    <col min="14606" max="14608" width="12.28515625" customWidth="1"/>
    <col min="14609" max="14610" width="12" customWidth="1"/>
    <col min="14611" max="14614" width="12.7109375" customWidth="1"/>
    <col min="14615" max="14615" width="11.28515625" customWidth="1"/>
    <col min="14623" max="14623" width="11.28515625" bestFit="1" customWidth="1"/>
    <col min="14628" max="14628" width="11.7109375" bestFit="1" customWidth="1"/>
    <col min="14857" max="14857" width="6" customWidth="1"/>
    <col min="14858" max="14858" width="11.5703125" customWidth="1"/>
    <col min="14859" max="14859" width="45.42578125" customWidth="1"/>
    <col min="14860" max="14860" width="6" customWidth="1"/>
    <col min="14861" max="14861" width="8.7109375" customWidth="1"/>
    <col min="14862" max="14864" width="12.28515625" customWidth="1"/>
    <col min="14865" max="14866" width="12" customWidth="1"/>
    <col min="14867" max="14870" width="12.7109375" customWidth="1"/>
    <col min="14871" max="14871" width="11.28515625" customWidth="1"/>
    <col min="14879" max="14879" width="11.28515625" bestFit="1" customWidth="1"/>
    <col min="14884" max="14884" width="11.7109375" bestFit="1" customWidth="1"/>
    <col min="15113" max="15113" width="6" customWidth="1"/>
    <col min="15114" max="15114" width="11.5703125" customWidth="1"/>
    <col min="15115" max="15115" width="45.42578125" customWidth="1"/>
    <col min="15116" max="15116" width="6" customWidth="1"/>
    <col min="15117" max="15117" width="8.7109375" customWidth="1"/>
    <col min="15118" max="15120" width="12.28515625" customWidth="1"/>
    <col min="15121" max="15122" width="12" customWidth="1"/>
    <col min="15123" max="15126" width="12.7109375" customWidth="1"/>
    <col min="15127" max="15127" width="11.28515625" customWidth="1"/>
    <col min="15135" max="15135" width="11.28515625" bestFit="1" customWidth="1"/>
    <col min="15140" max="15140" width="11.7109375" bestFit="1" customWidth="1"/>
    <col min="15369" max="15369" width="6" customWidth="1"/>
    <col min="15370" max="15370" width="11.5703125" customWidth="1"/>
    <col min="15371" max="15371" width="45.42578125" customWidth="1"/>
    <col min="15372" max="15372" width="6" customWidth="1"/>
    <col min="15373" max="15373" width="8.7109375" customWidth="1"/>
    <col min="15374" max="15376" width="12.28515625" customWidth="1"/>
    <col min="15377" max="15378" width="12" customWidth="1"/>
    <col min="15379" max="15382" width="12.7109375" customWidth="1"/>
    <col min="15383" max="15383" width="11.28515625" customWidth="1"/>
    <col min="15391" max="15391" width="11.28515625" bestFit="1" customWidth="1"/>
    <col min="15396" max="15396" width="11.7109375" bestFit="1" customWidth="1"/>
    <col min="15625" max="15625" width="6" customWidth="1"/>
    <col min="15626" max="15626" width="11.5703125" customWidth="1"/>
    <col min="15627" max="15627" width="45.42578125" customWidth="1"/>
    <col min="15628" max="15628" width="6" customWidth="1"/>
    <col min="15629" max="15629" width="8.7109375" customWidth="1"/>
    <col min="15630" max="15632" width="12.28515625" customWidth="1"/>
    <col min="15633" max="15634" width="12" customWidth="1"/>
    <col min="15635" max="15638" width="12.7109375" customWidth="1"/>
    <col min="15639" max="15639" width="11.28515625" customWidth="1"/>
    <col min="15647" max="15647" width="11.28515625" bestFit="1" customWidth="1"/>
    <col min="15652" max="15652" width="11.7109375" bestFit="1" customWidth="1"/>
    <col min="15881" max="15881" width="6" customWidth="1"/>
    <col min="15882" max="15882" width="11.5703125" customWidth="1"/>
    <col min="15883" max="15883" width="45.42578125" customWidth="1"/>
    <col min="15884" max="15884" width="6" customWidth="1"/>
    <col min="15885" max="15885" width="8.7109375" customWidth="1"/>
    <col min="15886" max="15888" width="12.28515625" customWidth="1"/>
    <col min="15889" max="15890" width="12" customWidth="1"/>
    <col min="15891" max="15894" width="12.7109375" customWidth="1"/>
    <col min="15895" max="15895" width="11.28515625" customWidth="1"/>
    <col min="15903" max="15903" width="11.28515625" bestFit="1" customWidth="1"/>
    <col min="15908" max="15908" width="11.7109375" bestFit="1" customWidth="1"/>
    <col min="16137" max="16137" width="6" customWidth="1"/>
    <col min="16138" max="16138" width="11.5703125" customWidth="1"/>
    <col min="16139" max="16139" width="45.42578125" customWidth="1"/>
    <col min="16140" max="16140" width="6" customWidth="1"/>
    <col min="16141" max="16141" width="8.7109375" customWidth="1"/>
    <col min="16142" max="16144" width="12.28515625" customWidth="1"/>
    <col min="16145" max="16146" width="12" customWidth="1"/>
    <col min="16147" max="16150" width="12.7109375" customWidth="1"/>
    <col min="16151" max="16151" width="11.28515625" customWidth="1"/>
    <col min="16159" max="16159" width="11.28515625" bestFit="1" customWidth="1"/>
    <col min="16164" max="16164" width="11.7109375" bestFit="1" customWidth="1"/>
  </cols>
  <sheetData>
    <row r="1" spans="1:30" x14ac:dyDescent="0.25">
      <c r="A1" t="s">
        <v>0</v>
      </c>
    </row>
    <row r="2" spans="1:30" x14ac:dyDescent="0.25">
      <c r="A2" t="s">
        <v>1</v>
      </c>
    </row>
    <row r="4" spans="1:30" x14ac:dyDescent="0.25">
      <c r="A4" s="463" t="s">
        <v>48</v>
      </c>
      <c r="B4" s="463"/>
      <c r="C4" s="463"/>
      <c r="D4" s="2"/>
      <c r="E4" s="2"/>
      <c r="F4" s="2"/>
      <c r="G4" s="2"/>
      <c r="H4" s="2"/>
      <c r="I4" s="2"/>
      <c r="J4" s="2"/>
      <c r="K4" s="313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313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7" spans="1:30" ht="75.75" customHeight="1" x14ac:dyDescent="0.25">
      <c r="A7" s="4" t="s">
        <v>3</v>
      </c>
      <c r="B7" s="259" t="s">
        <v>49</v>
      </c>
      <c r="C7" s="4" t="s">
        <v>117</v>
      </c>
      <c r="D7" s="4" t="s">
        <v>5</v>
      </c>
      <c r="E7" s="260" t="s">
        <v>50</v>
      </c>
      <c r="F7" s="6" t="s">
        <v>82</v>
      </c>
      <c r="G7" s="6" t="s">
        <v>6</v>
      </c>
      <c r="H7" s="6" t="s">
        <v>51</v>
      </c>
      <c r="I7" s="6" t="s">
        <v>51</v>
      </c>
      <c r="J7" s="6" t="s">
        <v>51</v>
      </c>
      <c r="K7" s="314" t="s">
        <v>83</v>
      </c>
      <c r="L7" s="261" t="s">
        <v>86</v>
      </c>
      <c r="M7" s="261" t="s">
        <v>84</v>
      </c>
      <c r="N7" s="261" t="s">
        <v>84</v>
      </c>
      <c r="O7" s="261" t="s">
        <v>84</v>
      </c>
      <c r="P7" s="261" t="s">
        <v>84</v>
      </c>
      <c r="Q7" s="261" t="s">
        <v>84</v>
      </c>
      <c r="R7" s="261" t="s">
        <v>84</v>
      </c>
      <c r="S7" s="261" t="s">
        <v>84</v>
      </c>
      <c r="T7" s="261" t="s">
        <v>84</v>
      </c>
      <c r="U7" s="261" t="s">
        <v>84</v>
      </c>
      <c r="V7" s="261" t="s">
        <v>84</v>
      </c>
      <c r="W7" s="261" t="s">
        <v>84</v>
      </c>
      <c r="X7" s="261" t="s">
        <v>52</v>
      </c>
      <c r="Y7" s="261" t="s">
        <v>53</v>
      </c>
      <c r="Z7" s="261" t="s">
        <v>54</v>
      </c>
      <c r="AA7" s="261" t="s">
        <v>53</v>
      </c>
      <c r="AB7" s="261" t="s">
        <v>55</v>
      </c>
      <c r="AC7" s="261" t="s">
        <v>56</v>
      </c>
      <c r="AD7" s="261" t="s">
        <v>57</v>
      </c>
    </row>
    <row r="8" spans="1:30" ht="18" customHeight="1" x14ac:dyDescent="0.25">
      <c r="A8" s="7"/>
      <c r="B8" s="8"/>
      <c r="C8" s="9" t="s">
        <v>15</v>
      </c>
      <c r="D8" s="10"/>
      <c r="E8" s="10"/>
      <c r="F8" s="11"/>
      <c r="G8" s="262"/>
      <c r="H8" s="262"/>
      <c r="I8" s="262"/>
      <c r="J8" s="262"/>
      <c r="K8" s="315"/>
      <c r="L8" s="12"/>
      <c r="M8" s="12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263"/>
    </row>
    <row r="9" spans="1:30" ht="18" customHeight="1" x14ac:dyDescent="0.25">
      <c r="A9" s="14">
        <v>1</v>
      </c>
      <c r="B9" s="8">
        <v>44562</v>
      </c>
      <c r="C9" s="254" t="s">
        <v>58</v>
      </c>
      <c r="D9" s="264" t="s">
        <v>59</v>
      </c>
      <c r="E9" s="264" t="s">
        <v>60</v>
      </c>
      <c r="F9" s="51"/>
      <c r="G9" s="141"/>
      <c r="H9" s="141"/>
      <c r="I9" s="141"/>
      <c r="J9" s="141"/>
      <c r="K9" s="151"/>
      <c r="L9" s="265"/>
      <c r="M9" s="265"/>
      <c r="N9" s="266"/>
      <c r="O9" s="266"/>
      <c r="P9" s="28"/>
      <c r="Q9" s="28"/>
      <c r="R9" s="28"/>
      <c r="S9" s="28"/>
      <c r="T9" s="28"/>
      <c r="U9" s="28"/>
      <c r="V9" s="28"/>
      <c r="W9" s="7"/>
      <c r="X9" s="7"/>
      <c r="Y9" s="7"/>
      <c r="Z9" s="7"/>
      <c r="AA9" s="7"/>
      <c r="AB9" s="7"/>
      <c r="AC9" s="7"/>
      <c r="AD9" s="263">
        <f>+E9+F9+G9+H9+I9+J9-K9-L9- M9-N9-O9-P9- Q9-R9-S9-T9-U9-V9-W9-X9-Y9-Z9-AA9-AB9-AC9</f>
        <v>16</v>
      </c>
    </row>
    <row r="10" spans="1:30" ht="18" customHeight="1" x14ac:dyDescent="0.25">
      <c r="A10" s="14">
        <v>2</v>
      </c>
      <c r="B10" s="8">
        <v>44563</v>
      </c>
      <c r="C10" s="254" t="s">
        <v>61</v>
      </c>
      <c r="D10" s="264" t="s">
        <v>59</v>
      </c>
      <c r="E10" s="255"/>
      <c r="F10" s="51"/>
      <c r="G10" s="141"/>
      <c r="H10" s="141"/>
      <c r="I10" s="141"/>
      <c r="J10" s="141"/>
      <c r="K10" s="151"/>
      <c r="L10" s="267"/>
      <c r="M10" s="267"/>
      <c r="N10" s="18"/>
      <c r="O10" s="18"/>
      <c r="P10" s="18"/>
      <c r="Q10" s="18"/>
      <c r="R10" s="18"/>
      <c r="S10" s="18"/>
      <c r="T10" s="18"/>
      <c r="U10" s="18"/>
      <c r="V10" s="18"/>
      <c r="W10" s="7"/>
      <c r="X10" s="7"/>
      <c r="Y10" s="7"/>
      <c r="Z10" s="7"/>
      <c r="AA10" s="7"/>
      <c r="AB10" s="7"/>
      <c r="AC10" s="7"/>
      <c r="AD10" s="263">
        <f t="shared" ref="AD10:AD23" si="0">+E10+F10+G10+H10+I10+J10-K10-L10- M10-N10-O10-P10- Q10-R10-S10-T10-U10-V10-W10-X10-Y10-Z10-AA10-AB10-AC10</f>
        <v>0</v>
      </c>
    </row>
    <row r="11" spans="1:30" ht="18" customHeight="1" x14ac:dyDescent="0.25">
      <c r="A11" s="14">
        <v>3</v>
      </c>
      <c r="B11" s="8">
        <v>44562</v>
      </c>
      <c r="C11" s="46" t="s">
        <v>62</v>
      </c>
      <c r="D11" s="264" t="s">
        <v>12</v>
      </c>
      <c r="E11" s="264" t="s">
        <v>63</v>
      </c>
      <c r="F11" s="51"/>
      <c r="G11" s="141"/>
      <c r="H11" s="141"/>
      <c r="I11" s="141"/>
      <c r="J11" s="141"/>
      <c r="K11" s="316"/>
      <c r="L11" s="27"/>
      <c r="M11" s="27"/>
      <c r="N11" s="18"/>
      <c r="O11" s="18"/>
      <c r="P11" s="28"/>
      <c r="Q11" s="28"/>
      <c r="R11" s="18"/>
      <c r="S11" s="18"/>
      <c r="T11" s="18"/>
      <c r="U11" s="18"/>
      <c r="V11" s="18"/>
      <c r="W11" s="7"/>
      <c r="X11" s="7"/>
      <c r="Y11" s="7"/>
      <c r="Z11" s="7"/>
      <c r="AA11" s="7"/>
      <c r="AB11" s="7"/>
      <c r="AC11" s="7"/>
      <c r="AD11" s="263">
        <f t="shared" si="0"/>
        <v>1</v>
      </c>
    </row>
    <row r="12" spans="1:30" s="162" customFormat="1" ht="18" customHeight="1" x14ac:dyDescent="0.25">
      <c r="A12" s="158">
        <v>4</v>
      </c>
      <c r="B12" s="8">
        <v>44563</v>
      </c>
      <c r="C12" s="236" t="s">
        <v>64</v>
      </c>
      <c r="D12" s="268" t="s">
        <v>45</v>
      </c>
      <c r="E12" s="268" t="s">
        <v>65</v>
      </c>
      <c r="F12" s="269"/>
      <c r="G12" s="270"/>
      <c r="H12" s="270"/>
      <c r="I12" s="270"/>
      <c r="J12" s="270"/>
      <c r="K12" s="317"/>
      <c r="L12" s="31">
        <v>1</v>
      </c>
      <c r="M12" s="31"/>
      <c r="N12" s="238"/>
      <c r="O12" s="238"/>
      <c r="P12" s="239"/>
      <c r="Q12" s="239"/>
      <c r="R12" s="238"/>
      <c r="S12" s="238"/>
      <c r="T12" s="238"/>
      <c r="U12" s="239"/>
      <c r="V12" s="239"/>
      <c r="W12" s="271"/>
      <c r="X12" s="271"/>
      <c r="Y12" s="271"/>
      <c r="Z12" s="271"/>
      <c r="AA12" s="271"/>
      <c r="AB12" s="271"/>
      <c r="AC12" s="271"/>
      <c r="AD12" s="263">
        <f t="shared" si="0"/>
        <v>10</v>
      </c>
    </row>
    <row r="13" spans="1:30" ht="18" customHeight="1" x14ac:dyDescent="0.25">
      <c r="A13" s="14">
        <v>5</v>
      </c>
      <c r="B13" s="8">
        <v>44562</v>
      </c>
      <c r="C13" s="46" t="s">
        <v>66</v>
      </c>
      <c r="D13" s="46" t="s">
        <v>17</v>
      </c>
      <c r="E13" s="264" t="s">
        <v>67</v>
      </c>
      <c r="F13" s="51"/>
      <c r="G13" s="141"/>
      <c r="H13" s="141"/>
      <c r="I13" s="141"/>
      <c r="J13" s="141"/>
      <c r="K13" s="316"/>
      <c r="L13" s="27"/>
      <c r="M13" s="27"/>
      <c r="N13" s="18"/>
      <c r="O13" s="18"/>
      <c r="P13" s="18"/>
      <c r="Q13" s="18"/>
      <c r="R13" s="18"/>
      <c r="S13" s="18"/>
      <c r="T13" s="28"/>
      <c r="U13" s="18"/>
      <c r="V13" s="18"/>
      <c r="W13" s="7"/>
      <c r="X13" s="7"/>
      <c r="Y13" s="7"/>
      <c r="Z13" s="7"/>
      <c r="AA13" s="7"/>
      <c r="AB13" s="7"/>
      <c r="AC13" s="7"/>
      <c r="AD13" s="263">
        <f t="shared" si="0"/>
        <v>0</v>
      </c>
    </row>
    <row r="14" spans="1:30" s="312" customFormat="1" ht="18" customHeight="1" x14ac:dyDescent="0.25">
      <c r="A14" s="301"/>
      <c r="B14" s="302">
        <v>44563</v>
      </c>
      <c r="C14" s="303" t="s">
        <v>68</v>
      </c>
      <c r="D14" s="303" t="s">
        <v>59</v>
      </c>
      <c r="E14" s="304" t="s">
        <v>81</v>
      </c>
      <c r="F14" s="305"/>
      <c r="G14" s="306"/>
      <c r="H14" s="306"/>
      <c r="I14" s="306"/>
      <c r="J14" s="306"/>
      <c r="K14" s="318">
        <v>0.5</v>
      </c>
      <c r="L14" s="307"/>
      <c r="M14" s="307"/>
      <c r="N14" s="308"/>
      <c r="O14" s="308"/>
      <c r="P14" s="308"/>
      <c r="Q14" s="308"/>
      <c r="R14" s="308"/>
      <c r="S14" s="309"/>
      <c r="T14" s="308"/>
      <c r="U14" s="308"/>
      <c r="V14" s="308"/>
      <c r="W14" s="310"/>
      <c r="X14" s="310"/>
      <c r="Y14" s="310"/>
      <c r="Z14" s="310"/>
      <c r="AA14" s="310"/>
      <c r="AB14" s="310"/>
      <c r="AC14" s="310"/>
      <c r="AD14" s="311">
        <f t="shared" si="0"/>
        <v>4.5</v>
      </c>
    </row>
    <row r="15" spans="1:30" ht="18" customHeight="1" x14ac:dyDescent="0.25">
      <c r="A15" s="14"/>
      <c r="B15" s="8">
        <v>44562</v>
      </c>
      <c r="C15" s="272" t="s">
        <v>69</v>
      </c>
      <c r="D15" s="46" t="s">
        <v>59</v>
      </c>
      <c r="E15" s="264" t="s">
        <v>78</v>
      </c>
      <c r="F15" s="51"/>
      <c r="G15" s="141"/>
      <c r="H15" s="141"/>
      <c r="I15" s="141"/>
      <c r="J15" s="141"/>
      <c r="K15" s="316"/>
      <c r="L15" s="118"/>
      <c r="M15" s="118"/>
      <c r="N15" s="18"/>
      <c r="O15" s="18"/>
      <c r="P15" s="18"/>
      <c r="Q15" s="18"/>
      <c r="R15" s="18"/>
      <c r="S15" s="28"/>
      <c r="T15" s="18"/>
      <c r="U15" s="18"/>
      <c r="V15" s="18"/>
      <c r="W15" s="7"/>
      <c r="X15" s="7"/>
      <c r="Y15" s="7"/>
      <c r="Z15" s="7"/>
      <c r="AA15" s="7"/>
      <c r="AB15" s="7"/>
      <c r="AC15" s="7"/>
      <c r="AD15" s="263" t="e">
        <f t="shared" si="0"/>
        <v>#VALUE!</v>
      </c>
    </row>
    <row r="16" spans="1:30" ht="18" customHeight="1" x14ac:dyDescent="0.25">
      <c r="A16" s="14">
        <v>8</v>
      </c>
      <c r="B16" s="8">
        <v>44563</v>
      </c>
      <c r="C16" s="46" t="s">
        <v>70</v>
      </c>
      <c r="D16" s="46" t="s">
        <v>59</v>
      </c>
      <c r="E16" s="264" t="s">
        <v>67</v>
      </c>
      <c r="F16" s="51"/>
      <c r="G16" s="141"/>
      <c r="H16" s="141"/>
      <c r="I16" s="141"/>
      <c r="J16" s="141"/>
      <c r="K16" s="316"/>
      <c r="L16" s="27"/>
      <c r="M16" s="27"/>
      <c r="N16" s="18"/>
      <c r="O16" s="18"/>
      <c r="P16" s="18"/>
      <c r="Q16" s="18"/>
      <c r="R16" s="28"/>
      <c r="S16" s="18"/>
      <c r="T16" s="28"/>
      <c r="U16" s="18"/>
      <c r="V16" s="18"/>
      <c r="W16" s="7"/>
      <c r="X16" s="7"/>
      <c r="Y16" s="7"/>
      <c r="Z16" s="7"/>
      <c r="AA16" s="7"/>
      <c r="AB16" s="7"/>
      <c r="AC16" s="7"/>
      <c r="AD16" s="263">
        <f t="shared" si="0"/>
        <v>0</v>
      </c>
    </row>
    <row r="17" spans="1:31" ht="18" customHeight="1" x14ac:dyDescent="0.25">
      <c r="A17" s="14">
        <v>9</v>
      </c>
      <c r="B17" s="8">
        <v>44562</v>
      </c>
      <c r="C17" s="46" t="s">
        <v>71</v>
      </c>
      <c r="D17" s="46" t="s">
        <v>59</v>
      </c>
      <c r="E17" s="264" t="s">
        <v>72</v>
      </c>
      <c r="F17" s="51"/>
      <c r="G17" s="141"/>
      <c r="H17" s="141"/>
      <c r="I17" s="141"/>
      <c r="J17" s="141"/>
      <c r="K17" s="316"/>
      <c r="L17" s="27"/>
      <c r="M17" s="27"/>
      <c r="N17" s="18"/>
      <c r="O17" s="18"/>
      <c r="P17" s="18"/>
      <c r="Q17" s="18"/>
      <c r="R17" s="18"/>
      <c r="S17" s="18"/>
      <c r="T17" s="18"/>
      <c r="U17" s="18"/>
      <c r="V17" s="18"/>
      <c r="W17" s="7"/>
      <c r="X17" s="7"/>
      <c r="Y17" s="7"/>
      <c r="Z17" s="7"/>
      <c r="AA17" s="7"/>
      <c r="AB17" s="7"/>
      <c r="AC17" s="7"/>
      <c r="AD17" s="263">
        <f t="shared" si="0"/>
        <v>13</v>
      </c>
    </row>
    <row r="18" spans="1:31" ht="18" customHeight="1" x14ac:dyDescent="0.25">
      <c r="A18" s="14">
        <v>10</v>
      </c>
      <c r="B18" s="8">
        <v>44563</v>
      </c>
      <c r="C18" s="46" t="s">
        <v>73</v>
      </c>
      <c r="D18" s="46" t="s">
        <v>12</v>
      </c>
      <c r="E18" s="264" t="s">
        <v>67</v>
      </c>
      <c r="F18" s="51"/>
      <c r="G18" s="141"/>
      <c r="H18" s="141"/>
      <c r="I18" s="141"/>
      <c r="J18" s="141"/>
      <c r="K18" s="316"/>
      <c r="L18" s="27"/>
      <c r="M18" s="27"/>
      <c r="N18" s="18"/>
      <c r="O18" s="18"/>
      <c r="P18" s="18"/>
      <c r="Q18" s="18"/>
      <c r="R18" s="18"/>
      <c r="S18" s="18"/>
      <c r="T18" s="18"/>
      <c r="U18" s="18"/>
      <c r="V18" s="18"/>
      <c r="W18" s="7"/>
      <c r="X18" s="7"/>
      <c r="Y18" s="7"/>
      <c r="Z18" s="7"/>
      <c r="AA18" s="7"/>
      <c r="AB18" s="7"/>
      <c r="AC18" s="7"/>
      <c r="AD18" s="263">
        <f t="shared" si="0"/>
        <v>0</v>
      </c>
    </row>
    <row r="19" spans="1:31" ht="18" customHeight="1" x14ac:dyDescent="0.25">
      <c r="A19" s="14">
        <v>11</v>
      </c>
      <c r="B19" s="8">
        <v>44562</v>
      </c>
      <c r="C19" s="46" t="s">
        <v>74</v>
      </c>
      <c r="D19" s="46" t="s">
        <v>12</v>
      </c>
      <c r="E19" s="264" t="s">
        <v>67</v>
      </c>
      <c r="F19" s="51"/>
      <c r="G19" s="141"/>
      <c r="H19" s="141"/>
      <c r="I19" s="141"/>
      <c r="J19" s="141"/>
      <c r="K19" s="316"/>
      <c r="L19" s="27"/>
      <c r="M19" s="27"/>
      <c r="N19" s="18"/>
      <c r="O19" s="18"/>
      <c r="P19" s="18"/>
      <c r="Q19" s="18"/>
      <c r="R19" s="18"/>
      <c r="S19" s="18"/>
      <c r="T19" s="18"/>
      <c r="U19" s="18"/>
      <c r="V19" s="18"/>
      <c r="W19" s="7"/>
      <c r="X19" s="7"/>
      <c r="Y19" s="7"/>
      <c r="Z19" s="7"/>
      <c r="AA19" s="7"/>
      <c r="AB19" s="7"/>
      <c r="AC19" s="7"/>
      <c r="AD19" s="263">
        <f t="shared" si="0"/>
        <v>0</v>
      </c>
    </row>
    <row r="20" spans="1:31" ht="18" customHeight="1" x14ac:dyDescent="0.25">
      <c r="A20" s="14">
        <v>12</v>
      </c>
      <c r="B20" s="8">
        <v>44563</v>
      </c>
      <c r="C20" s="46" t="s">
        <v>75</v>
      </c>
      <c r="D20" s="46" t="s">
        <v>12</v>
      </c>
      <c r="E20" s="264" t="s">
        <v>67</v>
      </c>
      <c r="F20" s="51"/>
      <c r="G20" s="141"/>
      <c r="H20" s="141"/>
      <c r="I20" s="141"/>
      <c r="J20" s="141"/>
      <c r="K20" s="316"/>
      <c r="L20" s="27"/>
      <c r="M20" s="27"/>
      <c r="N20" s="18"/>
      <c r="O20" s="18"/>
      <c r="P20" s="18"/>
      <c r="Q20" s="18"/>
      <c r="R20" s="18"/>
      <c r="S20" s="18"/>
      <c r="T20" s="18"/>
      <c r="U20" s="18"/>
      <c r="V20" s="18"/>
      <c r="W20" s="7"/>
      <c r="X20" s="7"/>
      <c r="Y20" s="7"/>
      <c r="Z20" s="7"/>
      <c r="AA20" s="7"/>
      <c r="AB20" s="7"/>
      <c r="AC20" s="7"/>
      <c r="AD20" s="263">
        <f t="shared" si="0"/>
        <v>0</v>
      </c>
    </row>
    <row r="21" spans="1:31" ht="18" customHeight="1" x14ac:dyDescent="0.25">
      <c r="A21" s="14">
        <v>13</v>
      </c>
      <c r="B21" s="8">
        <v>44562</v>
      </c>
      <c r="C21" s="46" t="s">
        <v>76</v>
      </c>
      <c r="D21" s="46" t="s">
        <v>12</v>
      </c>
      <c r="E21" s="264" t="s">
        <v>63</v>
      </c>
      <c r="F21" s="51"/>
      <c r="G21" s="141"/>
      <c r="H21" s="141"/>
      <c r="I21" s="141"/>
      <c r="J21" s="141"/>
      <c r="K21" s="316"/>
      <c r="L21" s="27"/>
      <c r="M21" s="27"/>
      <c r="N21" s="18"/>
      <c r="O21" s="18"/>
      <c r="P21" s="18"/>
      <c r="Q21" s="18"/>
      <c r="R21" s="18"/>
      <c r="S21" s="18"/>
      <c r="T21" s="18"/>
      <c r="U21" s="18"/>
      <c r="V21" s="18"/>
      <c r="W21" s="7"/>
      <c r="X21" s="7"/>
      <c r="Y21" s="7"/>
      <c r="Z21" s="7"/>
      <c r="AA21" s="7"/>
      <c r="AB21" s="7"/>
      <c r="AC21" s="7"/>
      <c r="AD21" s="263">
        <f t="shared" si="0"/>
        <v>1</v>
      </c>
      <c r="AE21" s="273"/>
    </row>
    <row r="22" spans="1:31" ht="18" customHeight="1" x14ac:dyDescent="0.25">
      <c r="A22" s="14">
        <v>14</v>
      </c>
      <c r="B22" s="8">
        <v>44563</v>
      </c>
      <c r="C22" s="46" t="s">
        <v>77</v>
      </c>
      <c r="D22" s="46" t="s">
        <v>45</v>
      </c>
      <c r="E22" s="264" t="s">
        <v>67</v>
      </c>
      <c r="F22" s="51"/>
      <c r="G22" s="141"/>
      <c r="H22" s="141"/>
      <c r="I22" s="141"/>
      <c r="J22" s="141"/>
      <c r="K22" s="316"/>
      <c r="L22" s="27"/>
      <c r="M22" s="27"/>
      <c r="N22" s="18"/>
      <c r="O22" s="18"/>
      <c r="P22" s="18"/>
      <c r="Q22" s="18"/>
      <c r="R22" s="18"/>
      <c r="S22" s="18"/>
      <c r="T22" s="18"/>
      <c r="U22" s="18"/>
      <c r="V22" s="18"/>
      <c r="W22" s="7"/>
      <c r="X22" s="7"/>
      <c r="Y22" s="7"/>
      <c r="Z22" s="7"/>
      <c r="AA22" s="7"/>
      <c r="AB22" s="7"/>
      <c r="AC22" s="7"/>
      <c r="AD22" s="263">
        <f t="shared" si="0"/>
        <v>0</v>
      </c>
    </row>
    <row r="23" spans="1:31" ht="18" customHeight="1" x14ac:dyDescent="0.25">
      <c r="A23" s="14">
        <v>15</v>
      </c>
      <c r="B23" s="8">
        <v>44562</v>
      </c>
      <c r="C23" s="46" t="s">
        <v>70</v>
      </c>
      <c r="D23" s="46" t="s">
        <v>45</v>
      </c>
      <c r="E23" s="264" t="s">
        <v>67</v>
      </c>
      <c r="F23" s="51"/>
      <c r="G23" s="141"/>
      <c r="H23" s="141"/>
      <c r="I23" s="141"/>
      <c r="J23" s="141"/>
      <c r="K23" s="316"/>
      <c r="L23" s="27"/>
      <c r="M23" s="27"/>
      <c r="N23" s="18"/>
      <c r="O23" s="18"/>
      <c r="P23" s="18"/>
      <c r="Q23" s="18"/>
      <c r="R23" s="18"/>
      <c r="S23" s="18"/>
      <c r="T23" s="18"/>
      <c r="U23" s="18"/>
      <c r="V23" s="18"/>
      <c r="W23" s="7"/>
      <c r="X23" s="7"/>
      <c r="Y23" s="7"/>
      <c r="Z23" s="7"/>
      <c r="AA23" s="7"/>
      <c r="AB23" s="7"/>
      <c r="AC23" s="7"/>
      <c r="AD23" s="263">
        <f t="shared" si="0"/>
        <v>0</v>
      </c>
    </row>
    <row r="24" spans="1:31" ht="18" customHeight="1" x14ac:dyDescent="0.25">
      <c r="A24" s="7"/>
      <c r="B24" s="33"/>
      <c r="C24" s="34" t="s">
        <v>13</v>
      </c>
      <c r="D24" s="7"/>
      <c r="E24" s="7"/>
      <c r="F24" s="35">
        <f>SUM(F8:F23)</f>
        <v>0</v>
      </c>
      <c r="G24" s="35">
        <f t="shared" ref="G24:AD24" si="1">SUM(G8:G23)</f>
        <v>0</v>
      </c>
      <c r="H24" s="35"/>
      <c r="I24" s="35"/>
      <c r="J24" s="35"/>
      <c r="K24" s="165">
        <f t="shared" si="1"/>
        <v>0.5</v>
      </c>
      <c r="L24" s="35">
        <f t="shared" si="1"/>
        <v>1</v>
      </c>
      <c r="M24" s="35"/>
      <c r="N24" s="35">
        <f t="shared" si="1"/>
        <v>0</v>
      </c>
      <c r="O24" s="35"/>
      <c r="P24" s="35">
        <f t="shared" si="1"/>
        <v>0</v>
      </c>
      <c r="Q24" s="35"/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/>
      <c r="W24" s="35">
        <f t="shared" si="1"/>
        <v>0</v>
      </c>
      <c r="X24" s="35">
        <f t="shared" si="1"/>
        <v>0</v>
      </c>
      <c r="Y24" s="35">
        <f t="shared" si="1"/>
        <v>0</v>
      </c>
      <c r="Z24" s="35">
        <f t="shared" si="1"/>
        <v>0</v>
      </c>
      <c r="AA24" s="35">
        <f t="shared" si="1"/>
        <v>0</v>
      </c>
      <c r="AB24" s="35"/>
      <c r="AC24" s="35">
        <f t="shared" si="1"/>
        <v>0</v>
      </c>
      <c r="AD24" s="35" t="e">
        <f t="shared" si="1"/>
        <v>#VALUE!</v>
      </c>
    </row>
    <row r="25" spans="1:31" ht="18" customHeight="1" x14ac:dyDescent="0.25">
      <c r="N25" s="258"/>
      <c r="O25" s="258"/>
    </row>
    <row r="28" spans="1:31" x14ac:dyDescent="0.25">
      <c r="F28" s="201"/>
      <c r="G28" s="201"/>
      <c r="H28" s="201"/>
      <c r="I28" s="201"/>
      <c r="J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</row>
    <row r="29" spans="1:31" x14ac:dyDescent="0.25">
      <c r="L29" s="26"/>
      <c r="M29" s="26"/>
    </row>
    <row r="30" spans="1:31" x14ac:dyDescent="0.25">
      <c r="F30" s="26"/>
      <c r="G30" s="26"/>
      <c r="H30" s="26"/>
      <c r="I30" s="26"/>
      <c r="J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2" spans="1:31" x14ac:dyDescent="0.25">
      <c r="F32" s="199"/>
      <c r="G32" s="199"/>
      <c r="H32" s="199"/>
      <c r="I32" s="199"/>
      <c r="J32" s="199"/>
      <c r="K32" s="204"/>
    </row>
    <row r="33" spans="2:22" x14ac:dyDescent="0.25">
      <c r="B33"/>
      <c r="F33" s="26"/>
      <c r="G33" s="26"/>
      <c r="H33" s="26"/>
      <c r="I33" s="26"/>
      <c r="J33" s="26"/>
      <c r="L33" s="26"/>
      <c r="M33" s="26"/>
    </row>
    <row r="34" spans="2:22" x14ac:dyDescent="0.25">
      <c r="B34"/>
      <c r="F34" s="203"/>
      <c r="G34" s="203"/>
      <c r="H34" s="203"/>
      <c r="I34" s="203"/>
      <c r="J34" s="203"/>
      <c r="L34" s="204"/>
      <c r="M34" s="204"/>
      <c r="N34" s="203"/>
      <c r="O34" s="203"/>
      <c r="P34" s="203"/>
      <c r="Q34" s="203"/>
      <c r="R34" s="203"/>
      <c r="S34" s="203"/>
      <c r="T34" s="203"/>
      <c r="U34" s="203"/>
      <c r="V34" s="203"/>
    </row>
    <row r="35" spans="2:22" x14ac:dyDescent="0.25">
      <c r="B35"/>
      <c r="L35" s="26"/>
      <c r="M35" s="26"/>
    </row>
  </sheetData>
  <mergeCells count="1">
    <mergeCell ref="A4:C4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8233-8874-4D38-8EF6-D0AC5C00AF8F}">
  <sheetPr codeName="Sheet14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C03E-6E9A-4A99-88A8-9CF6574A7D09}">
  <sheetPr codeName="Sheet14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115C-0B8C-44A8-BE26-1BAAACF4B6D4}">
  <sheetPr codeName="Sheet143"/>
  <dimension ref="A1:C154"/>
  <sheetViews>
    <sheetView tabSelected="1" topLeftCell="A124" zoomScale="85" zoomScaleNormal="85" workbookViewId="0">
      <selection activeCell="B2" sqref="B2:C154"/>
    </sheetView>
  </sheetViews>
  <sheetFormatPr defaultRowHeight="15" x14ac:dyDescent="0.25"/>
  <cols>
    <col min="1" max="1" width="67.140625" customWidth="1"/>
    <col min="2" max="2" width="31" customWidth="1"/>
    <col min="3" max="3" width="37.5703125" customWidth="1"/>
  </cols>
  <sheetData>
    <row r="1" spans="1:3" s="448" customFormat="1" x14ac:dyDescent="0.25">
      <c r="A1" s="448" t="s">
        <v>458</v>
      </c>
      <c r="B1" s="448" t="s">
        <v>459</v>
      </c>
      <c r="C1" s="448" t="s">
        <v>480</v>
      </c>
    </row>
    <row r="2" spans="1:3" s="448" customFormat="1" x14ac:dyDescent="0.25">
      <c r="A2" s="448" t="s">
        <v>578</v>
      </c>
      <c r="B2" s="448" t="s">
        <v>45</v>
      </c>
      <c r="C2" s="448">
        <v>90</v>
      </c>
    </row>
    <row r="3" spans="1:3" ht="18.75" x14ac:dyDescent="0.25">
      <c r="A3" s="449" t="s">
        <v>516</v>
      </c>
      <c r="B3" t="s">
        <v>19</v>
      </c>
      <c r="C3">
        <v>510.09999999999997</v>
      </c>
    </row>
    <row r="4" spans="1:3" ht="18.75" x14ac:dyDescent="0.3">
      <c r="A4" s="450" t="s">
        <v>551</v>
      </c>
      <c r="B4" t="s">
        <v>19</v>
      </c>
      <c r="C4">
        <v>65.899999999999991</v>
      </c>
    </row>
    <row r="5" spans="1:3" ht="18.75" x14ac:dyDescent="0.3">
      <c r="A5" s="450" t="s">
        <v>566</v>
      </c>
      <c r="B5" t="s">
        <v>19</v>
      </c>
      <c r="C5">
        <v>193.40000000000006</v>
      </c>
    </row>
    <row r="6" spans="1:3" ht="18.75" x14ac:dyDescent="0.3">
      <c r="A6" s="450" t="s">
        <v>572</v>
      </c>
      <c r="B6" t="s">
        <v>19</v>
      </c>
      <c r="C6">
        <v>185.60000000000008</v>
      </c>
    </row>
    <row r="7" spans="1:3" x14ac:dyDescent="0.25">
      <c r="A7" t="s">
        <v>465</v>
      </c>
      <c r="B7" t="s">
        <v>19</v>
      </c>
      <c r="C7">
        <v>73.400000000000006</v>
      </c>
    </row>
    <row r="8" spans="1:3" x14ac:dyDescent="0.25">
      <c r="A8" t="s">
        <v>464</v>
      </c>
      <c r="B8" t="s">
        <v>19</v>
      </c>
      <c r="C8">
        <v>24</v>
      </c>
    </row>
    <row r="9" spans="1:3" x14ac:dyDescent="0.25">
      <c r="A9" t="s">
        <v>410</v>
      </c>
      <c r="B9" t="s">
        <v>19</v>
      </c>
      <c r="C9">
        <v>6.3</v>
      </c>
    </row>
    <row r="10" spans="1:3" ht="18.75" x14ac:dyDescent="0.3">
      <c r="A10" s="450" t="s">
        <v>553</v>
      </c>
      <c r="B10" t="s">
        <v>19</v>
      </c>
      <c r="C10">
        <v>97.499999999999986</v>
      </c>
    </row>
    <row r="11" spans="1:3" ht="18.75" x14ac:dyDescent="0.3">
      <c r="A11" s="450" t="s">
        <v>571</v>
      </c>
      <c r="B11" t="s">
        <v>19</v>
      </c>
      <c r="C11">
        <v>78.900000000000006</v>
      </c>
    </row>
    <row r="12" spans="1:3" ht="18.75" x14ac:dyDescent="0.3">
      <c r="A12" s="450" t="s">
        <v>576</v>
      </c>
      <c r="B12" t="s">
        <v>19</v>
      </c>
      <c r="C12">
        <v>175.5</v>
      </c>
    </row>
    <row r="13" spans="1:3" ht="18.75" x14ac:dyDescent="0.3">
      <c r="A13" s="450" t="s">
        <v>524</v>
      </c>
      <c r="B13" t="s">
        <v>19</v>
      </c>
      <c r="C13">
        <v>243.89999999999986</v>
      </c>
    </row>
    <row r="14" spans="1:3" ht="18.75" x14ac:dyDescent="0.3">
      <c r="A14" s="450" t="s">
        <v>525</v>
      </c>
      <c r="B14" t="s">
        <v>19</v>
      </c>
      <c r="C14">
        <v>120.09999999999997</v>
      </c>
    </row>
    <row r="15" spans="1:3" ht="18.75" x14ac:dyDescent="0.25">
      <c r="A15" s="449" t="s">
        <v>517</v>
      </c>
      <c r="B15" t="s">
        <v>19</v>
      </c>
      <c r="C15">
        <v>370.80000000000007</v>
      </c>
    </row>
    <row r="16" spans="1:3" ht="18.75" x14ac:dyDescent="0.3">
      <c r="A16" s="450" t="s">
        <v>518</v>
      </c>
      <c r="B16" t="s">
        <v>19</v>
      </c>
      <c r="C16">
        <v>198.29999999999995</v>
      </c>
    </row>
    <row r="17" spans="1:3" x14ac:dyDescent="0.25">
      <c r="A17" t="s">
        <v>463</v>
      </c>
      <c r="B17" t="s">
        <v>19</v>
      </c>
      <c r="C17">
        <v>35.799999999999997</v>
      </c>
    </row>
    <row r="18" spans="1:3" x14ac:dyDescent="0.25">
      <c r="A18" t="s">
        <v>471</v>
      </c>
      <c r="B18" t="s">
        <v>227</v>
      </c>
      <c r="C18">
        <v>2</v>
      </c>
    </row>
    <row r="19" spans="1:3" ht="18.75" x14ac:dyDescent="0.3">
      <c r="A19" s="450" t="s">
        <v>550</v>
      </c>
      <c r="B19" t="s">
        <v>12</v>
      </c>
      <c r="C19">
        <v>5807</v>
      </c>
    </row>
    <row r="20" spans="1:3" ht="18.75" x14ac:dyDescent="0.3">
      <c r="A20" s="450" t="s">
        <v>549</v>
      </c>
      <c r="B20" t="s">
        <v>12</v>
      </c>
      <c r="C20">
        <v>4084</v>
      </c>
    </row>
    <row r="21" spans="1:3" ht="18.75" x14ac:dyDescent="0.3">
      <c r="A21" s="450" t="s">
        <v>559</v>
      </c>
      <c r="B21" t="s">
        <v>12</v>
      </c>
      <c r="C21">
        <v>4</v>
      </c>
    </row>
    <row r="22" spans="1:3" ht="18.75" x14ac:dyDescent="0.3">
      <c r="A22" s="450" t="s">
        <v>565</v>
      </c>
      <c r="B22" t="s">
        <v>12</v>
      </c>
      <c r="C22">
        <v>342</v>
      </c>
    </row>
    <row r="23" spans="1:3" x14ac:dyDescent="0.25">
      <c r="A23" t="s">
        <v>460</v>
      </c>
      <c r="B23" t="s">
        <v>12</v>
      </c>
      <c r="C23">
        <v>6237</v>
      </c>
    </row>
    <row r="24" spans="1:3" x14ac:dyDescent="0.25">
      <c r="A24" t="s">
        <v>461</v>
      </c>
      <c r="B24" t="s">
        <v>33</v>
      </c>
      <c r="C24">
        <v>82</v>
      </c>
    </row>
    <row r="25" spans="1:3" ht="18.75" x14ac:dyDescent="0.3">
      <c r="A25" s="450" t="s">
        <v>563</v>
      </c>
      <c r="B25" t="s">
        <v>33</v>
      </c>
      <c r="C25">
        <v>1963</v>
      </c>
    </row>
    <row r="26" spans="1:3" ht="18.75" x14ac:dyDescent="0.3">
      <c r="A26" s="450" t="s">
        <v>564</v>
      </c>
      <c r="B26" t="s">
        <v>33</v>
      </c>
      <c r="C26">
        <v>6730</v>
      </c>
    </row>
    <row r="27" spans="1:3" x14ac:dyDescent="0.25">
      <c r="A27" t="s">
        <v>462</v>
      </c>
      <c r="B27" t="s">
        <v>33</v>
      </c>
      <c r="C27">
        <v>649</v>
      </c>
    </row>
    <row r="28" spans="1:3" x14ac:dyDescent="0.25">
      <c r="A28" t="s">
        <v>46</v>
      </c>
      <c r="B28" t="s">
        <v>23</v>
      </c>
      <c r="C28">
        <v>107.9</v>
      </c>
    </row>
    <row r="29" spans="1:3" x14ac:dyDescent="0.25">
      <c r="A29" t="s">
        <v>469</v>
      </c>
      <c r="B29" t="s">
        <v>23</v>
      </c>
      <c r="C29">
        <v>0</v>
      </c>
    </row>
    <row r="30" spans="1:3" x14ac:dyDescent="0.25">
      <c r="A30" t="s">
        <v>539</v>
      </c>
      <c r="B30" t="s">
        <v>23</v>
      </c>
      <c r="C30">
        <v>0</v>
      </c>
    </row>
    <row r="31" spans="1:3" x14ac:dyDescent="0.25">
      <c r="A31" t="s">
        <v>470</v>
      </c>
      <c r="B31" t="s">
        <v>23</v>
      </c>
      <c r="C31">
        <v>0</v>
      </c>
    </row>
    <row r="32" spans="1:3" x14ac:dyDescent="0.25">
      <c r="A32" t="s">
        <v>529</v>
      </c>
      <c r="B32" t="s">
        <v>214</v>
      </c>
      <c r="C32">
        <v>184</v>
      </c>
    </row>
    <row r="33" spans="1:3" x14ac:dyDescent="0.25">
      <c r="A33" t="s">
        <v>530</v>
      </c>
      <c r="B33" t="s">
        <v>214</v>
      </c>
      <c r="C33">
        <v>316</v>
      </c>
    </row>
    <row r="34" spans="1:3" x14ac:dyDescent="0.25">
      <c r="A34" t="s">
        <v>531</v>
      </c>
      <c r="B34" t="s">
        <v>214</v>
      </c>
      <c r="C34">
        <v>521</v>
      </c>
    </row>
    <row r="35" spans="1:3" x14ac:dyDescent="0.25">
      <c r="A35" t="s">
        <v>532</v>
      </c>
      <c r="B35" t="s">
        <v>214</v>
      </c>
      <c r="C35">
        <v>48</v>
      </c>
    </row>
    <row r="36" spans="1:3" x14ac:dyDescent="0.25">
      <c r="A36" s="162" t="s">
        <v>533</v>
      </c>
      <c r="B36" t="s">
        <v>214</v>
      </c>
      <c r="C36">
        <v>861</v>
      </c>
    </row>
    <row r="37" spans="1:3" x14ac:dyDescent="0.25">
      <c r="A37" s="162" t="s">
        <v>468</v>
      </c>
      <c r="B37" t="s">
        <v>214</v>
      </c>
      <c r="C37">
        <v>0</v>
      </c>
    </row>
    <row r="38" spans="1:3" x14ac:dyDescent="0.25">
      <c r="A38" s="162" t="s">
        <v>534</v>
      </c>
      <c r="B38" t="s">
        <v>214</v>
      </c>
      <c r="C38">
        <v>0</v>
      </c>
    </row>
    <row r="39" spans="1:3" x14ac:dyDescent="0.25">
      <c r="A39" s="162" t="s">
        <v>540</v>
      </c>
      <c r="B39" t="s">
        <v>214</v>
      </c>
      <c r="C39">
        <v>0</v>
      </c>
    </row>
    <row r="40" spans="1:3" x14ac:dyDescent="0.25">
      <c r="A40" s="162" t="s">
        <v>535</v>
      </c>
      <c r="B40" t="s">
        <v>214</v>
      </c>
      <c r="C40">
        <v>12</v>
      </c>
    </row>
    <row r="41" spans="1:3" x14ac:dyDescent="0.25">
      <c r="A41" s="162" t="s">
        <v>527</v>
      </c>
      <c r="B41" t="s">
        <v>214</v>
      </c>
      <c r="C41">
        <v>157</v>
      </c>
    </row>
    <row r="42" spans="1:3" x14ac:dyDescent="0.25">
      <c r="A42" s="162" t="s">
        <v>528</v>
      </c>
      <c r="B42" t="s">
        <v>214</v>
      </c>
      <c r="C42">
        <v>438</v>
      </c>
    </row>
    <row r="43" spans="1:3" x14ac:dyDescent="0.25">
      <c r="A43" s="162" t="s">
        <v>536</v>
      </c>
      <c r="B43" t="s">
        <v>214</v>
      </c>
      <c r="C43">
        <v>250</v>
      </c>
    </row>
    <row r="44" spans="1:3" x14ac:dyDescent="0.25">
      <c r="A44" s="162" t="s">
        <v>537</v>
      </c>
      <c r="B44" t="s">
        <v>214</v>
      </c>
      <c r="C44">
        <v>145</v>
      </c>
    </row>
    <row r="45" spans="1:3" x14ac:dyDescent="0.25">
      <c r="A45" s="162" t="s">
        <v>538</v>
      </c>
      <c r="B45" t="s">
        <v>214</v>
      </c>
      <c r="C45">
        <v>0</v>
      </c>
    </row>
    <row r="46" spans="1:3" ht="18.75" x14ac:dyDescent="0.3">
      <c r="A46" s="452" t="s">
        <v>541</v>
      </c>
      <c r="B46" t="s">
        <v>19</v>
      </c>
      <c r="C46">
        <v>139.25</v>
      </c>
    </row>
    <row r="47" spans="1:3" ht="18.75" x14ac:dyDescent="0.25">
      <c r="A47" s="454" t="s">
        <v>562</v>
      </c>
      <c r="B47" t="s">
        <v>19</v>
      </c>
      <c r="C47">
        <v>173.3</v>
      </c>
    </row>
    <row r="48" spans="1:3" ht="18.75" x14ac:dyDescent="0.3">
      <c r="A48" s="450" t="s">
        <v>558</v>
      </c>
      <c r="B48" t="s">
        <v>19</v>
      </c>
      <c r="C48">
        <v>219.50000000000003</v>
      </c>
    </row>
    <row r="49" spans="1:3" ht="18.75" x14ac:dyDescent="0.3">
      <c r="A49" s="450" t="s">
        <v>552</v>
      </c>
      <c r="B49" t="s">
        <v>19</v>
      </c>
      <c r="C49">
        <v>71.599999999999994</v>
      </c>
    </row>
    <row r="50" spans="1:3" ht="18.75" x14ac:dyDescent="0.3">
      <c r="A50" s="450" t="s">
        <v>560</v>
      </c>
      <c r="B50" t="s">
        <v>19</v>
      </c>
      <c r="C50">
        <v>179.4</v>
      </c>
    </row>
    <row r="51" spans="1:3" ht="18.75" x14ac:dyDescent="0.3">
      <c r="A51" s="464" t="s">
        <v>580</v>
      </c>
      <c r="B51" t="s">
        <v>19</v>
      </c>
      <c r="C51">
        <v>171.8</v>
      </c>
    </row>
    <row r="52" spans="1:3" x14ac:dyDescent="0.25">
      <c r="A52" s="162" t="s">
        <v>479</v>
      </c>
      <c r="B52" t="s">
        <v>12</v>
      </c>
      <c r="C52">
        <v>3935</v>
      </c>
    </row>
    <row r="53" spans="1:3" x14ac:dyDescent="0.25">
      <c r="A53" t="s">
        <v>466</v>
      </c>
      <c r="B53" t="s">
        <v>23</v>
      </c>
      <c r="C53">
        <v>10</v>
      </c>
    </row>
    <row r="54" spans="1:3" ht="18.75" x14ac:dyDescent="0.3">
      <c r="A54" s="450" t="s">
        <v>575</v>
      </c>
      <c r="B54" t="s">
        <v>23</v>
      </c>
      <c r="C54">
        <v>40.299999999999997</v>
      </c>
    </row>
    <row r="55" spans="1:3" ht="18.75" x14ac:dyDescent="0.3">
      <c r="A55" s="450" t="s">
        <v>567</v>
      </c>
      <c r="B55" t="s">
        <v>19</v>
      </c>
      <c r="C55">
        <v>132</v>
      </c>
    </row>
    <row r="56" spans="1:3" ht="18.75" x14ac:dyDescent="0.3">
      <c r="A56" s="450" t="s">
        <v>568</v>
      </c>
      <c r="B56" t="s">
        <v>19</v>
      </c>
      <c r="C56">
        <v>57.400000000000006</v>
      </c>
    </row>
    <row r="57" spans="1:3" x14ac:dyDescent="0.25">
      <c r="A57" t="s">
        <v>481</v>
      </c>
      <c r="B57" t="s">
        <v>19</v>
      </c>
      <c r="C57">
        <v>47592.800000000003</v>
      </c>
    </row>
    <row r="58" spans="1:3" x14ac:dyDescent="0.25">
      <c r="A58" t="s">
        <v>490</v>
      </c>
      <c r="B58" t="s">
        <v>19</v>
      </c>
      <c r="C58">
        <v>50379.8</v>
      </c>
    </row>
    <row r="59" spans="1:3" x14ac:dyDescent="0.25">
      <c r="A59" t="s">
        <v>489</v>
      </c>
      <c r="B59" t="s">
        <v>19</v>
      </c>
      <c r="C59">
        <v>16443</v>
      </c>
    </row>
    <row r="60" spans="1:3" x14ac:dyDescent="0.25">
      <c r="A60" t="s">
        <v>488</v>
      </c>
      <c r="B60" t="s">
        <v>19</v>
      </c>
      <c r="C60">
        <v>25309</v>
      </c>
    </row>
    <row r="61" spans="1:3" x14ac:dyDescent="0.25">
      <c r="A61" t="s">
        <v>501</v>
      </c>
      <c r="B61" t="s">
        <v>19</v>
      </c>
      <c r="C61">
        <v>1143</v>
      </c>
    </row>
    <row r="62" spans="1:3" x14ac:dyDescent="0.25">
      <c r="A62" t="s">
        <v>500</v>
      </c>
      <c r="B62" t="s">
        <v>19</v>
      </c>
      <c r="C62">
        <v>384</v>
      </c>
    </row>
    <row r="63" spans="1:3" x14ac:dyDescent="0.25">
      <c r="A63" t="s">
        <v>506</v>
      </c>
      <c r="B63" t="s">
        <v>19</v>
      </c>
      <c r="C63">
        <v>6977</v>
      </c>
    </row>
    <row r="64" spans="1:3" x14ac:dyDescent="0.25">
      <c r="A64" t="s">
        <v>467</v>
      </c>
      <c r="B64" t="s">
        <v>19</v>
      </c>
      <c r="C64">
        <v>18614</v>
      </c>
    </row>
    <row r="65" spans="1:3" x14ac:dyDescent="0.25">
      <c r="A65" t="s">
        <v>483</v>
      </c>
      <c r="B65" t="s">
        <v>19</v>
      </c>
      <c r="C65">
        <v>5710</v>
      </c>
    </row>
    <row r="66" spans="1:3" x14ac:dyDescent="0.25">
      <c r="A66" t="s">
        <v>484</v>
      </c>
      <c r="B66" t="s">
        <v>19</v>
      </c>
      <c r="C66">
        <v>3172</v>
      </c>
    </row>
    <row r="67" spans="1:3" x14ac:dyDescent="0.25">
      <c r="A67" t="s">
        <v>485</v>
      </c>
      <c r="B67" t="s">
        <v>19</v>
      </c>
      <c r="C67">
        <v>0</v>
      </c>
    </row>
    <row r="68" spans="1:3" x14ac:dyDescent="0.25">
      <c r="A68" t="s">
        <v>482</v>
      </c>
      <c r="B68" t="s">
        <v>19</v>
      </c>
      <c r="C68">
        <v>16543</v>
      </c>
    </row>
    <row r="69" spans="1:3" x14ac:dyDescent="0.25">
      <c r="A69" t="s">
        <v>511</v>
      </c>
      <c r="B69" t="s">
        <v>19</v>
      </c>
      <c r="C69">
        <v>4619</v>
      </c>
    </row>
    <row r="70" spans="1:3" x14ac:dyDescent="0.25">
      <c r="A70" t="s">
        <v>505</v>
      </c>
      <c r="B70" t="s">
        <v>19</v>
      </c>
      <c r="C70">
        <v>4111.5</v>
      </c>
    </row>
    <row r="71" spans="1:3" x14ac:dyDescent="0.25">
      <c r="A71" t="s">
        <v>491</v>
      </c>
      <c r="B71" t="s">
        <v>19</v>
      </c>
      <c r="C71">
        <v>6673.4</v>
      </c>
    </row>
    <row r="72" spans="1:3" x14ac:dyDescent="0.25">
      <c r="A72" t="s">
        <v>502</v>
      </c>
      <c r="B72" t="s">
        <v>19</v>
      </c>
      <c r="C72">
        <v>7744.7</v>
      </c>
    </row>
    <row r="73" spans="1:3" x14ac:dyDescent="0.25">
      <c r="A73" t="s">
        <v>492</v>
      </c>
      <c r="B73" t="s">
        <v>19</v>
      </c>
      <c r="C73">
        <v>-0.40000000000009095</v>
      </c>
    </row>
    <row r="74" spans="1:3" x14ac:dyDescent="0.25">
      <c r="A74" t="s">
        <v>493</v>
      </c>
      <c r="B74" t="s">
        <v>19</v>
      </c>
      <c r="C74">
        <v>-53.500000000000909</v>
      </c>
    </row>
    <row r="75" spans="1:3" x14ac:dyDescent="0.25">
      <c r="A75" t="s">
        <v>494</v>
      </c>
      <c r="B75" t="s">
        <v>19</v>
      </c>
      <c r="C75">
        <v>-2.3000000000006366</v>
      </c>
    </row>
    <row r="76" spans="1:3" x14ac:dyDescent="0.25">
      <c r="A76" t="s">
        <v>503</v>
      </c>
      <c r="B76" t="s">
        <v>19</v>
      </c>
      <c r="C76">
        <v>32112.899999999994</v>
      </c>
    </row>
    <row r="77" spans="1:3" x14ac:dyDescent="0.25">
      <c r="A77" t="s">
        <v>495</v>
      </c>
      <c r="B77" t="s">
        <v>19</v>
      </c>
      <c r="C77">
        <v>0</v>
      </c>
    </row>
    <row r="78" spans="1:3" x14ac:dyDescent="0.25">
      <c r="A78" t="s">
        <v>496</v>
      </c>
      <c r="B78" t="s">
        <v>19</v>
      </c>
      <c r="C78">
        <v>4085.8999999999996</v>
      </c>
    </row>
    <row r="79" spans="1:3" x14ac:dyDescent="0.25">
      <c r="A79" t="s">
        <v>504</v>
      </c>
      <c r="B79" t="s">
        <v>19</v>
      </c>
      <c r="C79">
        <v>7162.2999999999956</v>
      </c>
    </row>
    <row r="80" spans="1:3" x14ac:dyDescent="0.25">
      <c r="A80" t="s">
        <v>497</v>
      </c>
      <c r="B80" t="s">
        <v>19</v>
      </c>
      <c r="C80">
        <v>1888.4</v>
      </c>
    </row>
    <row r="81" spans="1:3" x14ac:dyDescent="0.25">
      <c r="A81" t="s">
        <v>498</v>
      </c>
      <c r="B81" t="s">
        <v>19</v>
      </c>
      <c r="C81">
        <v>3549.7999999999993</v>
      </c>
    </row>
    <row r="82" spans="1:3" x14ac:dyDescent="0.25">
      <c r="A82" t="s">
        <v>499</v>
      </c>
      <c r="B82" t="s">
        <v>19</v>
      </c>
      <c r="C82">
        <v>11567.599999999999</v>
      </c>
    </row>
    <row r="83" spans="1:3" x14ac:dyDescent="0.25">
      <c r="A83" t="s">
        <v>507</v>
      </c>
      <c r="B83" t="s">
        <v>19</v>
      </c>
      <c r="C83">
        <v>3927.2000000000007</v>
      </c>
    </row>
    <row r="84" spans="1:3" x14ac:dyDescent="0.25">
      <c r="A84" t="s">
        <v>509</v>
      </c>
      <c r="B84" t="s">
        <v>19</v>
      </c>
      <c r="C84">
        <v>10142.6</v>
      </c>
    </row>
    <row r="85" spans="1:3" x14ac:dyDescent="0.25">
      <c r="A85" t="s">
        <v>510</v>
      </c>
      <c r="B85" t="s">
        <v>19</v>
      </c>
      <c r="C85">
        <v>2587</v>
      </c>
    </row>
    <row r="86" spans="1:3" x14ac:dyDescent="0.25">
      <c r="A86" t="s">
        <v>508</v>
      </c>
      <c r="B86" t="s">
        <v>19</v>
      </c>
      <c r="C86">
        <v>9687.3000000000029</v>
      </c>
    </row>
    <row r="87" spans="1:3" x14ac:dyDescent="0.25">
      <c r="A87" t="s">
        <v>514</v>
      </c>
      <c r="B87" t="s">
        <v>19</v>
      </c>
      <c r="C87">
        <v>10905.100000000002</v>
      </c>
    </row>
    <row r="88" spans="1:3" x14ac:dyDescent="0.25">
      <c r="A88" t="s">
        <v>515</v>
      </c>
      <c r="B88" t="s">
        <v>19</v>
      </c>
      <c r="C88">
        <v>8306.5</v>
      </c>
    </row>
    <row r="89" spans="1:3" x14ac:dyDescent="0.25">
      <c r="A89" t="s">
        <v>512</v>
      </c>
      <c r="B89" t="s">
        <v>19</v>
      </c>
      <c r="C89">
        <v>12310.5</v>
      </c>
    </row>
    <row r="90" spans="1:3" x14ac:dyDescent="0.25">
      <c r="A90" t="s">
        <v>513</v>
      </c>
      <c r="B90" t="s">
        <v>19</v>
      </c>
      <c r="C90">
        <v>6792.7000000000007</v>
      </c>
    </row>
    <row r="91" spans="1:3" ht="20.25" x14ac:dyDescent="0.3">
      <c r="A91" s="455" t="s">
        <v>266</v>
      </c>
      <c r="B91" t="s">
        <v>12</v>
      </c>
      <c r="C91">
        <v>-14729</v>
      </c>
    </row>
    <row r="92" spans="1:3" x14ac:dyDescent="0.25">
      <c r="A92" t="s">
        <v>472</v>
      </c>
      <c r="B92" t="s">
        <v>12</v>
      </c>
      <c r="C92">
        <v>54960</v>
      </c>
    </row>
    <row r="93" spans="1:3" ht="18.75" x14ac:dyDescent="0.3">
      <c r="A93" s="453" t="s">
        <v>543</v>
      </c>
      <c r="B93" t="s">
        <v>12</v>
      </c>
      <c r="C93">
        <v>-14860</v>
      </c>
    </row>
    <row r="94" spans="1:3" ht="18.75" x14ac:dyDescent="0.3">
      <c r="A94" s="453" t="s">
        <v>542</v>
      </c>
      <c r="B94" t="s">
        <v>12</v>
      </c>
      <c r="C94">
        <v>-36850</v>
      </c>
    </row>
    <row r="95" spans="1:3" x14ac:dyDescent="0.25">
      <c r="A95" t="s">
        <v>487</v>
      </c>
      <c r="B95" t="s">
        <v>12</v>
      </c>
      <c r="C95">
        <v>-15205</v>
      </c>
    </row>
    <row r="96" spans="1:3" x14ac:dyDescent="0.25">
      <c r="A96" t="s">
        <v>474</v>
      </c>
      <c r="B96" t="s">
        <v>12</v>
      </c>
      <c r="C96">
        <v>10800</v>
      </c>
    </row>
    <row r="97" spans="1:3" x14ac:dyDescent="0.25">
      <c r="A97" t="s">
        <v>473</v>
      </c>
      <c r="B97" t="s">
        <v>12</v>
      </c>
      <c r="C97">
        <v>0</v>
      </c>
    </row>
    <row r="98" spans="1:3" ht="18.75" x14ac:dyDescent="0.3">
      <c r="A98" s="450" t="s">
        <v>80</v>
      </c>
      <c r="B98" t="s">
        <v>12</v>
      </c>
      <c r="C98">
        <v>24526</v>
      </c>
    </row>
    <row r="99" spans="1:3" x14ac:dyDescent="0.25">
      <c r="A99" t="s">
        <v>478</v>
      </c>
      <c r="B99" t="s">
        <v>12</v>
      </c>
      <c r="C99">
        <v>-3600</v>
      </c>
    </row>
    <row r="100" spans="1:3" x14ac:dyDescent="0.25">
      <c r="A100" t="s">
        <v>477</v>
      </c>
      <c r="B100" t="s">
        <v>12</v>
      </c>
      <c r="C100">
        <v>-1800</v>
      </c>
    </row>
    <row r="101" spans="1:3" x14ac:dyDescent="0.25">
      <c r="A101" t="s">
        <v>475</v>
      </c>
      <c r="B101" t="s">
        <v>12</v>
      </c>
      <c r="C101">
        <v>-1615</v>
      </c>
    </row>
    <row r="102" spans="1:3" x14ac:dyDescent="0.25">
      <c r="A102" t="s">
        <v>476</v>
      </c>
      <c r="B102" t="s">
        <v>12</v>
      </c>
      <c r="C102">
        <v>-336</v>
      </c>
    </row>
    <row r="103" spans="1:3" ht="18.75" x14ac:dyDescent="0.3">
      <c r="A103" s="450" t="s">
        <v>544</v>
      </c>
      <c r="B103" t="s">
        <v>12</v>
      </c>
      <c r="C103">
        <v>4889</v>
      </c>
    </row>
    <row r="104" spans="1:3" x14ac:dyDescent="0.25">
      <c r="A104" t="s">
        <v>486</v>
      </c>
      <c r="B104" t="s">
        <v>12</v>
      </c>
      <c r="C104">
        <v>9963</v>
      </c>
    </row>
    <row r="105" spans="1:3" x14ac:dyDescent="0.25">
      <c r="A105" t="s">
        <v>577</v>
      </c>
      <c r="B105" t="s">
        <v>12</v>
      </c>
      <c r="C105">
        <v>-4010</v>
      </c>
    </row>
    <row r="106" spans="1:3" ht="18.75" x14ac:dyDescent="0.3">
      <c r="A106" s="450" t="s">
        <v>584</v>
      </c>
      <c r="B106" t="s">
        <v>12</v>
      </c>
      <c r="C106">
        <v>898</v>
      </c>
    </row>
    <row r="107" spans="1:3" ht="18.75" x14ac:dyDescent="0.3">
      <c r="A107" s="450" t="s">
        <v>583</v>
      </c>
      <c r="B107" t="s">
        <v>12</v>
      </c>
      <c r="C107">
        <v>535</v>
      </c>
    </row>
    <row r="108" spans="1:3" ht="18.75" x14ac:dyDescent="0.3">
      <c r="A108" s="450" t="s">
        <v>546</v>
      </c>
      <c r="B108" t="s">
        <v>12</v>
      </c>
      <c r="C108">
        <v>831</v>
      </c>
    </row>
    <row r="109" spans="1:3" ht="18.75" x14ac:dyDescent="0.3">
      <c r="A109" s="450" t="s">
        <v>579</v>
      </c>
      <c r="B109" t="s">
        <v>12</v>
      </c>
      <c r="C109">
        <v>239</v>
      </c>
    </row>
    <row r="110" spans="1:3" ht="18.75" x14ac:dyDescent="0.3">
      <c r="A110" s="450" t="s">
        <v>570</v>
      </c>
      <c r="B110" t="s">
        <v>12</v>
      </c>
      <c r="C110">
        <v>797</v>
      </c>
    </row>
    <row r="111" spans="1:3" ht="18.75" x14ac:dyDescent="0.3">
      <c r="A111" s="450" t="s">
        <v>573</v>
      </c>
      <c r="B111" t="s">
        <v>12</v>
      </c>
      <c r="C111">
        <v>0</v>
      </c>
    </row>
    <row r="112" spans="1:3" ht="18.75" x14ac:dyDescent="0.3">
      <c r="A112" s="450" t="s">
        <v>574</v>
      </c>
      <c r="B112" t="s">
        <v>33</v>
      </c>
      <c r="C112">
        <v>739</v>
      </c>
    </row>
    <row r="113" spans="1:3" ht="18.75" x14ac:dyDescent="0.3">
      <c r="A113" s="450" t="s">
        <v>561</v>
      </c>
      <c r="B113" t="s">
        <v>12</v>
      </c>
      <c r="C113">
        <v>849</v>
      </c>
    </row>
    <row r="114" spans="1:3" ht="18.75" x14ac:dyDescent="0.3">
      <c r="A114" s="450" t="s">
        <v>582</v>
      </c>
      <c r="B114" t="s">
        <v>12</v>
      </c>
      <c r="C114">
        <v>605</v>
      </c>
    </row>
    <row r="115" spans="1:3" ht="18.75" x14ac:dyDescent="0.3">
      <c r="A115" s="450" t="s">
        <v>581</v>
      </c>
      <c r="B115" t="s">
        <v>12</v>
      </c>
      <c r="C115">
        <v>671</v>
      </c>
    </row>
    <row r="116" spans="1:3" ht="18.75" x14ac:dyDescent="0.3">
      <c r="A116" s="450" t="s">
        <v>555</v>
      </c>
      <c r="B116" t="s">
        <v>12</v>
      </c>
      <c r="C116">
        <v>805</v>
      </c>
    </row>
    <row r="117" spans="1:3" ht="18.75" x14ac:dyDescent="0.3">
      <c r="A117" s="450" t="s">
        <v>554</v>
      </c>
      <c r="B117" t="s">
        <v>12</v>
      </c>
      <c r="C117">
        <v>85</v>
      </c>
    </row>
    <row r="118" spans="1:3" ht="18.75" x14ac:dyDescent="0.3">
      <c r="A118" s="450" t="s">
        <v>556</v>
      </c>
      <c r="B118" t="s">
        <v>12</v>
      </c>
      <c r="C118">
        <v>1060</v>
      </c>
    </row>
    <row r="119" spans="1:3" ht="18.75" x14ac:dyDescent="0.3">
      <c r="A119" s="450" t="s">
        <v>557</v>
      </c>
      <c r="B119" t="s">
        <v>12</v>
      </c>
      <c r="C119">
        <v>95</v>
      </c>
    </row>
    <row r="120" spans="1:3" ht="18.75" x14ac:dyDescent="0.3">
      <c r="A120" s="450" t="s">
        <v>548</v>
      </c>
      <c r="B120" t="s">
        <v>12</v>
      </c>
      <c r="C120">
        <v>853</v>
      </c>
    </row>
    <row r="121" spans="1:3" ht="18.75" x14ac:dyDescent="0.3">
      <c r="A121" s="450" t="s">
        <v>547</v>
      </c>
      <c r="B121" t="s">
        <v>12</v>
      </c>
      <c r="C121">
        <v>490</v>
      </c>
    </row>
    <row r="122" spans="1:3" ht="18.75" x14ac:dyDescent="0.3">
      <c r="A122" s="450" t="s">
        <v>520</v>
      </c>
      <c r="B122" t="s">
        <v>19</v>
      </c>
      <c r="C122">
        <v>85.400000000000034</v>
      </c>
    </row>
    <row r="123" spans="1:3" ht="18.75" x14ac:dyDescent="0.3">
      <c r="A123" s="450" t="s">
        <v>522</v>
      </c>
      <c r="B123" t="s">
        <v>19</v>
      </c>
      <c r="C123">
        <v>119.7</v>
      </c>
    </row>
    <row r="124" spans="1:3" ht="18.75" x14ac:dyDescent="0.3">
      <c r="A124" s="450" t="s">
        <v>521</v>
      </c>
      <c r="B124" t="s">
        <v>19</v>
      </c>
      <c r="C124">
        <v>273.10000000000002</v>
      </c>
    </row>
    <row r="125" spans="1:3" ht="37.5" x14ac:dyDescent="0.3">
      <c r="A125" s="451" t="s">
        <v>523</v>
      </c>
      <c r="B125" t="s">
        <v>19</v>
      </c>
      <c r="C125">
        <v>341.89999999999986</v>
      </c>
    </row>
    <row r="126" spans="1:3" ht="18.75" x14ac:dyDescent="0.3">
      <c r="A126" s="450" t="s">
        <v>519</v>
      </c>
      <c r="B126" t="s">
        <v>19</v>
      </c>
      <c r="C126">
        <v>342.3</v>
      </c>
    </row>
    <row r="127" spans="1:3" ht="18.75" x14ac:dyDescent="0.3">
      <c r="A127" s="451" t="s">
        <v>526</v>
      </c>
      <c r="B127" t="s">
        <v>19</v>
      </c>
      <c r="C127">
        <v>112.60000000000002</v>
      </c>
    </row>
    <row r="128" spans="1:3" ht="18.75" x14ac:dyDescent="0.3">
      <c r="A128" s="450" t="s">
        <v>586</v>
      </c>
      <c r="B128" t="s">
        <v>19</v>
      </c>
      <c r="C128">
        <v>366</v>
      </c>
    </row>
    <row r="129" spans="1:3" ht="18.75" x14ac:dyDescent="0.3">
      <c r="A129" s="450" t="s">
        <v>585</v>
      </c>
      <c r="B129" t="s">
        <v>19</v>
      </c>
      <c r="C129">
        <v>351.59999999999997</v>
      </c>
    </row>
    <row r="130" spans="1:3" ht="18.75" x14ac:dyDescent="0.3">
      <c r="A130" s="450" t="s">
        <v>545</v>
      </c>
      <c r="B130" t="s">
        <v>19</v>
      </c>
      <c r="C130">
        <v>189.70000000000002</v>
      </c>
    </row>
    <row r="131" spans="1:3" ht="18.75" x14ac:dyDescent="0.3">
      <c r="A131" s="450" t="s">
        <v>569</v>
      </c>
      <c r="B131" t="s">
        <v>19</v>
      </c>
      <c r="C131">
        <v>223.5</v>
      </c>
    </row>
    <row r="132" spans="1:3" x14ac:dyDescent="0.25">
      <c r="A132" t="s">
        <v>587</v>
      </c>
      <c r="B132" t="s">
        <v>12</v>
      </c>
      <c r="C132">
        <v>271</v>
      </c>
    </row>
    <row r="133" spans="1:3" x14ac:dyDescent="0.25">
      <c r="A133" t="s">
        <v>588</v>
      </c>
      <c r="B133" t="s">
        <v>12</v>
      </c>
      <c r="C133">
        <v>0</v>
      </c>
    </row>
    <row r="134" spans="1:3" x14ac:dyDescent="0.25">
      <c r="A134" t="s">
        <v>589</v>
      </c>
      <c r="B134" t="s">
        <v>12</v>
      </c>
      <c r="C134">
        <v>297</v>
      </c>
    </row>
    <row r="135" spans="1:3" x14ac:dyDescent="0.25">
      <c r="A135" t="s">
        <v>590</v>
      </c>
      <c r="B135" t="s">
        <v>12</v>
      </c>
      <c r="C135">
        <v>0</v>
      </c>
    </row>
    <row r="136" spans="1:3" x14ac:dyDescent="0.25">
      <c r="A136" t="s">
        <v>591</v>
      </c>
      <c r="B136" t="s">
        <v>12</v>
      </c>
      <c r="C136">
        <v>0</v>
      </c>
    </row>
    <row r="137" spans="1:3" x14ac:dyDescent="0.25">
      <c r="A137" t="s">
        <v>592</v>
      </c>
      <c r="B137" t="s">
        <v>12</v>
      </c>
      <c r="C137">
        <v>82</v>
      </c>
    </row>
    <row r="138" spans="1:3" x14ac:dyDescent="0.25">
      <c r="A138" t="s">
        <v>593</v>
      </c>
      <c r="B138" t="s">
        <v>23</v>
      </c>
      <c r="C138">
        <v>0</v>
      </c>
    </row>
    <row r="139" spans="1:3" x14ac:dyDescent="0.25">
      <c r="A139" t="s">
        <v>594</v>
      </c>
      <c r="B139" t="s">
        <v>23</v>
      </c>
      <c r="C139">
        <v>1922.1999999999534</v>
      </c>
    </row>
    <row r="140" spans="1:3" x14ac:dyDescent="0.25">
      <c r="A140" t="s">
        <v>595</v>
      </c>
      <c r="B140" t="s">
        <v>23</v>
      </c>
      <c r="C140">
        <v>0</v>
      </c>
    </row>
    <row r="141" spans="1:3" x14ac:dyDescent="0.25">
      <c r="A141" t="s">
        <v>596</v>
      </c>
      <c r="B141" t="s">
        <v>23</v>
      </c>
      <c r="C141">
        <v>0</v>
      </c>
    </row>
    <row r="142" spans="1:3" x14ac:dyDescent="0.25">
      <c r="A142" t="s">
        <v>597</v>
      </c>
      <c r="B142" t="s">
        <v>23</v>
      </c>
      <c r="C142">
        <v>1834.3999999999996</v>
      </c>
    </row>
    <row r="143" spans="1:3" x14ac:dyDescent="0.25">
      <c r="A143" t="s">
        <v>598</v>
      </c>
      <c r="B143" t="s">
        <v>23</v>
      </c>
      <c r="C143">
        <v>23</v>
      </c>
    </row>
    <row r="144" spans="1:3" x14ac:dyDescent="0.25">
      <c r="A144" t="s">
        <v>599</v>
      </c>
      <c r="B144" t="s">
        <v>23</v>
      </c>
      <c r="C144">
        <v>526.09999999999854</v>
      </c>
    </row>
    <row r="145" spans="1:3" x14ac:dyDescent="0.25">
      <c r="A145" t="s">
        <v>600</v>
      </c>
      <c r="B145" t="s">
        <v>23</v>
      </c>
      <c r="C145">
        <v>0</v>
      </c>
    </row>
    <row r="146" spans="1:3" x14ac:dyDescent="0.25">
      <c r="A146" t="s">
        <v>601</v>
      </c>
      <c r="B146" t="s">
        <v>23</v>
      </c>
      <c r="C146">
        <v>1014</v>
      </c>
    </row>
    <row r="147" spans="1:3" x14ac:dyDescent="0.25">
      <c r="A147" t="s">
        <v>602</v>
      </c>
      <c r="B147" t="s">
        <v>603</v>
      </c>
      <c r="C147">
        <v>0</v>
      </c>
    </row>
    <row r="148" spans="1:3" x14ac:dyDescent="0.25">
      <c r="A148" t="s">
        <v>604</v>
      </c>
      <c r="B148" t="s">
        <v>603</v>
      </c>
      <c r="C148">
        <v>0</v>
      </c>
    </row>
    <row r="149" spans="1:3" x14ac:dyDescent="0.25">
      <c r="A149" t="s">
        <v>605</v>
      </c>
      <c r="B149" t="s">
        <v>603</v>
      </c>
      <c r="C149">
        <v>0</v>
      </c>
    </row>
    <row r="150" spans="1:3" x14ac:dyDescent="0.25">
      <c r="A150" t="s">
        <v>606</v>
      </c>
      <c r="B150" t="s">
        <v>19</v>
      </c>
      <c r="C150">
        <v>63.900000000000006</v>
      </c>
    </row>
    <row r="151" spans="1:3" x14ac:dyDescent="0.25">
      <c r="A151" t="s">
        <v>607</v>
      </c>
      <c r="B151" t="s">
        <v>19</v>
      </c>
      <c r="C151">
        <v>0</v>
      </c>
    </row>
    <row r="152" spans="1:3" x14ac:dyDescent="0.25">
      <c r="A152" t="s">
        <v>608</v>
      </c>
      <c r="B152" t="s">
        <v>19</v>
      </c>
      <c r="C152">
        <v>0</v>
      </c>
    </row>
    <row r="153" spans="1:3" x14ac:dyDescent="0.25">
      <c r="A153" t="s">
        <v>609</v>
      </c>
      <c r="B153" t="s">
        <v>19</v>
      </c>
      <c r="C153">
        <v>23.699999999999989</v>
      </c>
    </row>
    <row r="154" spans="1:3" x14ac:dyDescent="0.25">
      <c r="A154" t="s">
        <v>610</v>
      </c>
      <c r="B154" t="s">
        <v>19</v>
      </c>
      <c r="C154">
        <v>61.759999999999536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EF41-1486-4A45-AC34-B4A56F1999A3}">
  <sheetPr codeName="Sheet144"/>
  <dimension ref="A1:C34"/>
  <sheetViews>
    <sheetView workbookViewId="0">
      <selection activeCell="G14" sqref="G14"/>
    </sheetView>
  </sheetViews>
  <sheetFormatPr defaultRowHeight="15" x14ac:dyDescent="0.25"/>
  <cols>
    <col min="1" max="1" width="29.7109375" bestFit="1" customWidth="1"/>
  </cols>
  <sheetData>
    <row r="1" spans="1:3" x14ac:dyDescent="0.25">
      <c r="A1" t="s">
        <v>481</v>
      </c>
      <c r="B1" t="s">
        <v>19</v>
      </c>
      <c r="C1">
        <v>47592.800000000003</v>
      </c>
    </row>
    <row r="2" spans="1:3" x14ac:dyDescent="0.25">
      <c r="A2" t="s">
        <v>490</v>
      </c>
      <c r="B2" t="s">
        <v>19</v>
      </c>
      <c r="C2">
        <v>50379.8</v>
      </c>
    </row>
    <row r="3" spans="1:3" x14ac:dyDescent="0.25">
      <c r="A3" t="s">
        <v>489</v>
      </c>
      <c r="B3" t="s">
        <v>19</v>
      </c>
      <c r="C3">
        <v>16443</v>
      </c>
    </row>
    <row r="4" spans="1:3" x14ac:dyDescent="0.25">
      <c r="A4" t="s">
        <v>488</v>
      </c>
      <c r="B4" t="s">
        <v>19</v>
      </c>
      <c r="C4">
        <v>25309</v>
      </c>
    </row>
    <row r="5" spans="1:3" x14ac:dyDescent="0.25">
      <c r="A5" t="s">
        <v>501</v>
      </c>
      <c r="B5" t="s">
        <v>19</v>
      </c>
      <c r="C5">
        <v>1143</v>
      </c>
    </row>
    <row r="6" spans="1:3" x14ac:dyDescent="0.25">
      <c r="A6" t="s">
        <v>500</v>
      </c>
      <c r="B6" t="s">
        <v>19</v>
      </c>
      <c r="C6">
        <v>384</v>
      </c>
    </row>
    <row r="7" spans="1:3" x14ac:dyDescent="0.25">
      <c r="A7" t="s">
        <v>506</v>
      </c>
      <c r="B7" t="s">
        <v>19</v>
      </c>
      <c r="C7">
        <v>6977</v>
      </c>
    </row>
    <row r="8" spans="1:3" x14ac:dyDescent="0.25">
      <c r="A8" t="s">
        <v>467</v>
      </c>
      <c r="B8" t="s">
        <v>19</v>
      </c>
      <c r="C8">
        <v>18614</v>
      </c>
    </row>
    <row r="9" spans="1:3" x14ac:dyDescent="0.25">
      <c r="A9" t="s">
        <v>483</v>
      </c>
      <c r="B9" t="s">
        <v>19</v>
      </c>
      <c r="C9">
        <v>5710</v>
      </c>
    </row>
    <row r="10" spans="1:3" x14ac:dyDescent="0.25">
      <c r="A10" t="s">
        <v>484</v>
      </c>
      <c r="B10" t="s">
        <v>19</v>
      </c>
      <c r="C10">
        <v>3172</v>
      </c>
    </row>
    <row r="11" spans="1:3" x14ac:dyDescent="0.25">
      <c r="A11" t="s">
        <v>485</v>
      </c>
      <c r="B11" t="s">
        <v>19</v>
      </c>
      <c r="C11">
        <v>0</v>
      </c>
    </row>
    <row r="12" spans="1:3" x14ac:dyDescent="0.25">
      <c r="A12" t="s">
        <v>482</v>
      </c>
      <c r="B12" t="s">
        <v>19</v>
      </c>
      <c r="C12">
        <v>16543</v>
      </c>
    </row>
    <row r="13" spans="1:3" x14ac:dyDescent="0.25">
      <c r="A13" t="s">
        <v>511</v>
      </c>
      <c r="B13" t="s">
        <v>19</v>
      </c>
      <c r="C13">
        <v>4619</v>
      </c>
    </row>
    <row r="14" spans="1:3" x14ac:dyDescent="0.25">
      <c r="A14" t="s">
        <v>505</v>
      </c>
      <c r="B14" t="s">
        <v>19</v>
      </c>
      <c r="C14">
        <v>4111.5</v>
      </c>
    </row>
    <row r="15" spans="1:3" x14ac:dyDescent="0.25">
      <c r="A15" t="s">
        <v>491</v>
      </c>
      <c r="B15" t="s">
        <v>19</v>
      </c>
      <c r="C15">
        <v>6673.4</v>
      </c>
    </row>
    <row r="16" spans="1:3" x14ac:dyDescent="0.25">
      <c r="A16" t="s">
        <v>502</v>
      </c>
      <c r="B16" t="s">
        <v>19</v>
      </c>
      <c r="C16">
        <v>7744.7</v>
      </c>
    </row>
    <row r="17" spans="1:3" x14ac:dyDescent="0.25">
      <c r="A17" t="s">
        <v>492</v>
      </c>
      <c r="B17" t="s">
        <v>19</v>
      </c>
      <c r="C17">
        <v>-0.40000000000009095</v>
      </c>
    </row>
    <row r="18" spans="1:3" x14ac:dyDescent="0.25">
      <c r="A18" t="s">
        <v>493</v>
      </c>
      <c r="B18" t="s">
        <v>19</v>
      </c>
      <c r="C18">
        <v>-53.500000000000909</v>
      </c>
    </row>
    <row r="19" spans="1:3" x14ac:dyDescent="0.25">
      <c r="A19" t="s">
        <v>494</v>
      </c>
      <c r="B19" t="s">
        <v>19</v>
      </c>
      <c r="C19">
        <v>-2.3000000000006366</v>
      </c>
    </row>
    <row r="20" spans="1:3" x14ac:dyDescent="0.25">
      <c r="A20" t="s">
        <v>503</v>
      </c>
      <c r="B20" t="s">
        <v>19</v>
      </c>
      <c r="C20">
        <v>32112.899999999994</v>
      </c>
    </row>
    <row r="21" spans="1:3" x14ac:dyDescent="0.25">
      <c r="A21" t="s">
        <v>495</v>
      </c>
      <c r="B21" t="s">
        <v>19</v>
      </c>
      <c r="C21">
        <v>0</v>
      </c>
    </row>
    <row r="22" spans="1:3" x14ac:dyDescent="0.25">
      <c r="A22" t="s">
        <v>496</v>
      </c>
      <c r="B22" t="s">
        <v>19</v>
      </c>
      <c r="C22">
        <v>4085.8999999999996</v>
      </c>
    </row>
    <row r="23" spans="1:3" x14ac:dyDescent="0.25">
      <c r="A23" t="s">
        <v>504</v>
      </c>
      <c r="B23" t="s">
        <v>19</v>
      </c>
      <c r="C23">
        <v>7162.2999999999956</v>
      </c>
    </row>
    <row r="24" spans="1:3" x14ac:dyDescent="0.25">
      <c r="A24" t="s">
        <v>497</v>
      </c>
      <c r="B24" t="s">
        <v>19</v>
      </c>
      <c r="C24">
        <v>1888.4</v>
      </c>
    </row>
    <row r="25" spans="1:3" x14ac:dyDescent="0.25">
      <c r="A25" t="s">
        <v>498</v>
      </c>
      <c r="B25" t="s">
        <v>19</v>
      </c>
      <c r="C25">
        <v>3549.7999999999993</v>
      </c>
    </row>
    <row r="26" spans="1:3" x14ac:dyDescent="0.25">
      <c r="A26" t="s">
        <v>499</v>
      </c>
      <c r="B26" t="s">
        <v>19</v>
      </c>
      <c r="C26">
        <v>11567.599999999999</v>
      </c>
    </row>
    <row r="27" spans="1:3" x14ac:dyDescent="0.25">
      <c r="A27" t="s">
        <v>507</v>
      </c>
      <c r="B27" t="s">
        <v>19</v>
      </c>
      <c r="C27">
        <v>3927.2000000000007</v>
      </c>
    </row>
    <row r="28" spans="1:3" x14ac:dyDescent="0.25">
      <c r="A28" t="s">
        <v>509</v>
      </c>
      <c r="B28" t="s">
        <v>19</v>
      </c>
      <c r="C28">
        <v>10142.6</v>
      </c>
    </row>
    <row r="29" spans="1:3" x14ac:dyDescent="0.25">
      <c r="A29" t="s">
        <v>510</v>
      </c>
      <c r="B29" t="s">
        <v>19</v>
      </c>
      <c r="C29">
        <v>2587</v>
      </c>
    </row>
    <row r="30" spans="1:3" x14ac:dyDescent="0.25">
      <c r="A30" t="s">
        <v>508</v>
      </c>
      <c r="B30" t="s">
        <v>19</v>
      </c>
      <c r="C30">
        <v>9687.3000000000029</v>
      </c>
    </row>
    <row r="31" spans="1:3" x14ac:dyDescent="0.25">
      <c r="A31" t="s">
        <v>514</v>
      </c>
      <c r="B31" t="s">
        <v>19</v>
      </c>
      <c r="C31">
        <v>10905.100000000002</v>
      </c>
    </row>
    <row r="32" spans="1:3" x14ac:dyDescent="0.25">
      <c r="A32" t="s">
        <v>515</v>
      </c>
      <c r="B32" t="s">
        <v>19</v>
      </c>
      <c r="C32">
        <v>8306.5</v>
      </c>
    </row>
    <row r="33" spans="1:3" x14ac:dyDescent="0.25">
      <c r="A33" t="s">
        <v>512</v>
      </c>
      <c r="B33" t="s">
        <v>19</v>
      </c>
      <c r="C33">
        <v>12310.5</v>
      </c>
    </row>
    <row r="34" spans="1:3" x14ac:dyDescent="0.25">
      <c r="A34" t="s">
        <v>513</v>
      </c>
      <c r="B34" t="s">
        <v>19</v>
      </c>
      <c r="C34">
        <v>6792.7000000000007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144</vt:i4>
      </vt:variant>
    </vt:vector>
  </HeadingPairs>
  <TitlesOfParts>
    <vt:vector size="144" baseType="lpstr">
      <vt:lpstr>Bảng tổng</vt:lpstr>
      <vt:lpstr>Hộp 120 Trắng</vt:lpstr>
      <vt:lpstr>Hộp 80 Trắng 10,10</vt:lpstr>
      <vt:lpstr>Hộp 120 Xanh</vt:lpstr>
      <vt:lpstr>Hộp bướm đen</vt:lpstr>
      <vt:lpstr>Hộp HV</vt:lpstr>
      <vt:lpstr>Hộp hồng đỏ</vt:lpstr>
      <vt:lpstr>Hộp bướm bạc</vt:lpstr>
      <vt:lpstr>Hộp NX</vt:lpstr>
      <vt:lpstr>Hộp oto</vt:lpstr>
      <vt:lpstr>Bao Trắng 180</vt:lpstr>
      <vt:lpstr>Bao vô cây CN </vt:lpstr>
      <vt:lpstr>Bao vô cây CN  10 cuộn</vt:lpstr>
      <vt:lpstr>Bao 5 cuộn CN</vt:lpstr>
      <vt:lpstr>Bao vô cây 12 cuộn</vt:lpstr>
      <vt:lpstr>Bao vô cây 10 cuộn</vt:lpstr>
      <vt:lpstr>Bao vô cây NK 24 TL</vt:lpstr>
      <vt:lpstr>Bao Trắng GVS 10 cuộn có lõi</vt:lpstr>
      <vt:lpstr>Bao Trắng 120</vt:lpstr>
      <vt:lpstr>Bao trăng 23 cân</vt:lpstr>
      <vt:lpstr>Bao trăng 33 cân </vt:lpstr>
      <vt:lpstr>Bao trăng sp cân.3 lơp</vt:lpstr>
      <vt:lpstr>Bao trăng sp cân.2 lơp </vt:lpstr>
      <vt:lpstr>Bao trăng sp 10 gói</vt:lpstr>
      <vt:lpstr>Bao trăng NK 33 600G</vt:lpstr>
      <vt:lpstr>Nilon NK Lá cây</vt:lpstr>
      <vt:lpstr>Túi nilong tròn 33</vt:lpstr>
      <vt:lpstr>Túi nilong tròn 23</vt:lpstr>
      <vt:lpstr>Túi GVS 2 lớp 10 cuộn Có lõi</vt:lpstr>
      <vt:lpstr>Túi GVS 10 cuộn 3 lớp Có lõi </vt:lpstr>
      <vt:lpstr>Túi GVS 12 cuộn 3 lớp Có lõi. </vt:lpstr>
      <vt:lpstr>Túi GVS 10 cuộn 3 lớp không lõi</vt:lpstr>
      <vt:lpstr>Túi GVS 12 cuộn 3 lớp không lõi</vt:lpstr>
      <vt:lpstr>Túi GVS có lõi Shera 12 cuộn</vt:lpstr>
      <vt:lpstr>Nilon NK cánh bướm</vt:lpstr>
      <vt:lpstr>Nilon SP Lá cây</vt:lpstr>
      <vt:lpstr>Nilon SP Tròn</vt:lpstr>
      <vt:lpstr>Màng bọc cuộn CN</vt:lpstr>
      <vt:lpstr>Màng bọc cuộn CN.mới</vt:lpstr>
      <vt:lpstr>Màng ĐN 100 tờ</vt:lpstr>
      <vt:lpstr>MÀNG SP 250 TỜ 2 LỚP M871</vt:lpstr>
      <vt:lpstr>MÀNG SP 100 TỜ 4 LỚP M857</vt:lpstr>
      <vt:lpstr>MÀNG SP 100 TỜ 3 LỚP M864</vt:lpstr>
      <vt:lpstr>MÀNG SP 180 TỜ 3 LỚP </vt:lpstr>
      <vt:lpstr>TÚI VỆ SINH RÚT ĐÁY</vt:lpstr>
      <vt:lpstr>TÚI RÚT ĐA NĂNG</vt:lpstr>
      <vt:lpstr>Thùng catton SP</vt:lpstr>
      <vt:lpstr>Thùng catton 120</vt:lpstr>
      <vt:lpstr>Thùng catton NK 23</vt:lpstr>
      <vt:lpstr>Thùng catton NK 23 cân</vt:lpstr>
      <vt:lpstr>Thùng catton NK 33</vt:lpstr>
      <vt:lpstr>Thùng catton 180</vt:lpstr>
      <vt:lpstr>Thùng catton VS RÚT ĐÁY</vt:lpstr>
      <vt:lpstr>Thùng catton VS RÚT ĐÁY 12g</vt:lpstr>
      <vt:lpstr>Thùng catton ĐA NĂNG RÚT ĐÁY</vt:lpstr>
      <vt:lpstr>Thùng catton ĐA NĂNG RÚT ĐÁY 12</vt:lpstr>
      <vt:lpstr>Thùng catton SP 175- 2 LƠP.60G </vt:lpstr>
      <vt:lpstr>Thùng catton SP 175 - 2 LƠP.18G</vt:lpstr>
      <vt:lpstr>Thùng catton SP 115 - 3 LỚP</vt:lpstr>
      <vt:lpstr>Thùng catton SP 115 - 4 LỚP</vt:lpstr>
      <vt:lpstr>Thùng catton SP 115 - 4 LỚP 100</vt:lpstr>
      <vt:lpstr>Thùng catton SP 115 - 3 LỚP100 </vt:lpstr>
      <vt:lpstr>Phôi NK 325</vt:lpstr>
      <vt:lpstr>Phôi NK 23</vt:lpstr>
      <vt:lpstr>Phôi giấy KH 760</vt:lpstr>
      <vt:lpstr>Phôi Nk 33,XG</vt:lpstr>
      <vt:lpstr>Phôi Nk 21,XG</vt:lpstr>
      <vt:lpstr>Phôi giấy XG .KH 2850 ĐL 17</vt:lpstr>
      <vt:lpstr>Phôi giấy XG .KH 2850 ĐL 17,1L</vt:lpstr>
      <vt:lpstr>Phôi giấy XG. KH 2850 DL 14</vt:lpstr>
      <vt:lpstr>Phôi giấy XG. KH 2850.DL 15.1L</vt:lpstr>
      <vt:lpstr>Phôi giấy XG. KH 2910 DL 15.gộp</vt:lpstr>
      <vt:lpstr>Phôi giấy XG. KH 2870 DL16,5</vt:lpstr>
      <vt:lpstr>Phôi giấy XG. KH 2900 DL17</vt:lpstr>
      <vt:lpstr>Phôi giấy XG. KH 2870 DL15.gộp </vt:lpstr>
      <vt:lpstr>Phôi giấy XG. KH 2870 DL15,3L</vt:lpstr>
      <vt:lpstr>Phôi giấy XG. KH 2870 DL 18,5</vt:lpstr>
      <vt:lpstr>Phôi giấy XG. KH 2870 DL 18</vt:lpstr>
      <vt:lpstr>Phôi giấy XG. KH 2770 DL 17</vt:lpstr>
      <vt:lpstr>Phôi giấy XG. KH 2770 DL 14</vt:lpstr>
      <vt:lpstr>Phôi giấy XGKH 1420 DL 13.2 LỚP</vt:lpstr>
      <vt:lpstr>Phôi giấy XGKH 1420 DL 15,2L </vt:lpstr>
      <vt:lpstr>Phôi giấy XGKH 1420 DL 22.2 LỚP</vt:lpstr>
      <vt:lpstr>Phôi giấy XGKH 1420 DL13, 3 LỚP</vt:lpstr>
      <vt:lpstr>Phôi giấy XGKH 240. DL17 2 LỚP</vt:lpstr>
      <vt:lpstr>Phôi giấy XGK800 . DL22</vt:lpstr>
      <vt:lpstr>Phôi giấy BNKH 240. DL17 2L</vt:lpstr>
      <vt:lpstr>Phôi giấy LAKH 1870 DL13, 2 LỚP</vt:lpstr>
      <vt:lpstr>Phôi giấy  BNKH 1900 DL13, 2L </vt:lpstr>
      <vt:lpstr>Phôi giấy  HLKH 1980 DL13, 4 ớp</vt:lpstr>
      <vt:lpstr>Phôi giấy JP DL12.5 3L K1400 </vt:lpstr>
      <vt:lpstr>Phôi giấy JP DL13 2L K1400  </vt:lpstr>
      <vt:lpstr>Phôi giấy  JPCORELEX DL 15</vt:lpstr>
      <vt:lpstr>Phôi giấy  JPCORELEX DL 18,5</vt:lpstr>
      <vt:lpstr>Phôi giấy  JPCORELEX DL 18</vt:lpstr>
      <vt:lpstr>Phôi giấy  AN HÒA.K2850.DL 17.5</vt:lpstr>
      <vt:lpstr>Phôi   AN HÒA.K2850.DL17,gộp</vt:lpstr>
      <vt:lpstr>Phôi giấy  AN HÒA.K2850.DL17 2L</vt:lpstr>
      <vt:lpstr>Phôi giấy  AN HÒA.K2850.DL15</vt:lpstr>
      <vt:lpstr>lõi 46 1950</vt:lpstr>
      <vt:lpstr>lõi 42 2795</vt:lpstr>
      <vt:lpstr>lõi 46 2880HT</vt:lpstr>
      <vt:lpstr>lõi 35 2880</vt:lpstr>
      <vt:lpstr>lõi 46 2940.A HOC</vt:lpstr>
      <vt:lpstr>lõi 35 2880.A HOC </vt:lpstr>
      <vt:lpstr>lõi 46. 2880.A HOC </vt:lpstr>
      <vt:lpstr>lõi 40. 2940.A HOC (gộp)</vt:lpstr>
      <vt:lpstr>lõi 40. 2940.A HOC.tách</vt:lpstr>
      <vt:lpstr>lõi 40. 2880.A HOC.tách</vt:lpstr>
      <vt:lpstr>lõi 76. 2940.A HOC  </vt:lpstr>
      <vt:lpstr>lõi 76. 2800.A HOC</vt:lpstr>
      <vt:lpstr>lõi 76. 2870.trắng</vt:lpstr>
      <vt:lpstr>lõi 76 2880 </vt:lpstr>
      <vt:lpstr>lõi 76 2880.HT</vt:lpstr>
      <vt:lpstr>lõi 76 2930.HT</vt:lpstr>
      <vt:lpstr>lõi 46 2930.HT</vt:lpstr>
      <vt:lpstr>Băng keo trắng</vt:lpstr>
      <vt:lpstr>Keo 3395FS</vt:lpstr>
      <vt:lpstr>Keo DÁN MÍ MG06</vt:lpstr>
      <vt:lpstr>Keo DÁN MÍ MG06 Đăc</vt:lpstr>
      <vt:lpstr>Keo DÁN MÍ MG125</vt:lpstr>
      <vt:lpstr>Dung môi máy phun date</vt:lpstr>
      <vt:lpstr>Tem NK 23.</vt:lpstr>
      <vt:lpstr>Tem 24</vt:lpstr>
      <vt:lpstr>tem 24 1kg</vt:lpstr>
      <vt:lpstr>Tem GVS</vt:lpstr>
      <vt:lpstr>Tem dán bao vs 10 cuộn</vt:lpstr>
      <vt:lpstr>Tem Cuộn CN 2 lớp</vt:lpstr>
      <vt:lpstr>Tem Shera</vt:lpstr>
      <vt:lpstr>Tem sp cân 2 lớp</vt:lpstr>
      <vt:lpstr>Tem Cuộn CN 3 lớp </vt:lpstr>
      <vt:lpstr>Tem Cuộn CN 3 lớp  TL</vt:lpstr>
      <vt:lpstr>Tem  sp cân 3 lớp</vt:lpstr>
      <vt:lpstr>Tem nk cân 33</vt:lpstr>
      <vt:lpstr>Tem nk cân 33 TL</vt:lpstr>
      <vt:lpstr>Tem nk cân 24,600 TL </vt:lpstr>
      <vt:lpstr>Tem nk cân 24,300 TL </vt:lpstr>
      <vt:lpstr>MÓC TREO</vt:lpstr>
      <vt:lpstr>VT</vt:lpstr>
      <vt:lpstr>VT 2020</vt:lpstr>
      <vt:lpstr>Sheet1</vt:lpstr>
      <vt:lpstr>Sheet2</vt:lpstr>
      <vt:lpstr>Tong hop NVL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Manh Nguyen</cp:lastModifiedBy>
  <cp:lastPrinted>2025-10-03T02:16:13Z</cp:lastPrinted>
  <dcterms:created xsi:type="dcterms:W3CDTF">2020-11-24T02:33:50Z</dcterms:created>
  <dcterms:modified xsi:type="dcterms:W3CDTF">2025-10-20T08:28:13Z</dcterms:modified>
</cp:coreProperties>
</file>