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2585" activeTab="1"/>
  </bookViews>
  <sheets>
    <sheet name="Sheet1" sheetId="1" r:id="rId1"/>
    <sheet name="Sheet1 (2)" sheetId="4" r:id="rId2"/>
  </sheets>
  <calcPr calcId="145621"/>
</workbook>
</file>

<file path=xl/calcChain.xml><?xml version="1.0" encoding="utf-8"?>
<calcChain xmlns="http://schemas.openxmlformats.org/spreadsheetml/2006/main">
  <c r="F8" i="4" l="1"/>
  <c r="H8" i="4" s="1"/>
  <c r="H14" i="4" s="1"/>
  <c r="F7" i="4"/>
  <c r="I7" i="4" s="1"/>
  <c r="I13" i="4" s="1"/>
  <c r="F13" i="4" l="1"/>
  <c r="F14" i="4"/>
  <c r="L7" i="4"/>
  <c r="L13" i="4" s="1"/>
  <c r="H7" i="4"/>
  <c r="H13" i="4" s="1"/>
  <c r="K8" i="4"/>
  <c r="K14" i="4" s="1"/>
  <c r="K7" i="4"/>
  <c r="K13" i="4" s="1"/>
  <c r="J8" i="4"/>
  <c r="J14" i="4" s="1"/>
  <c r="J7" i="4"/>
  <c r="J13" i="4" s="1"/>
  <c r="G8" i="4"/>
  <c r="G14" i="4" s="1"/>
  <c r="I8" i="4"/>
  <c r="I14" i="4" s="1"/>
  <c r="G7" i="4"/>
  <c r="G13" i="4" s="1"/>
  <c r="L8" i="4"/>
  <c r="L14" i="4" s="1"/>
  <c r="J6" i="4"/>
  <c r="H6" i="4"/>
  <c r="G6" i="4"/>
  <c r="J5" i="4"/>
  <c r="H5" i="4"/>
  <c r="G5" i="4"/>
  <c r="H25" i="1"/>
  <c r="I25" i="1" s="1"/>
  <c r="G25" i="1"/>
  <c r="H16" i="1"/>
  <c r="I20" i="1"/>
  <c r="H20" i="1"/>
  <c r="I19" i="1"/>
  <c r="I17" i="1"/>
  <c r="G19" i="1"/>
  <c r="G20" i="1"/>
  <c r="H19" i="1"/>
  <c r="H21" i="1"/>
  <c r="G21" i="1"/>
  <c r="I21" i="1"/>
  <c r="I22" i="1"/>
  <c r="H22" i="1"/>
  <c r="G22" i="1"/>
  <c r="G26" i="1"/>
  <c r="H26" i="1"/>
  <c r="I26" i="1"/>
  <c r="G12" i="1"/>
  <c r="H12" i="1"/>
  <c r="I12" i="1" s="1"/>
  <c r="I11" i="1"/>
  <c r="H11" i="1"/>
  <c r="G11" i="1"/>
  <c r="G10" i="1"/>
  <c r="I10" i="1"/>
  <c r="H10" i="1"/>
  <c r="I7" i="1"/>
  <c r="H7" i="1"/>
  <c r="G7" i="1"/>
  <c r="G6" i="1"/>
  <c r="I6" i="1"/>
  <c r="H6" i="1"/>
  <c r="G4" i="1"/>
  <c r="H4" i="1"/>
  <c r="I16" i="1"/>
  <c r="I15" i="1"/>
  <c r="G15" i="1"/>
  <c r="H15" i="1"/>
  <c r="I14" i="1"/>
  <c r="H14" i="1"/>
  <c r="G14" i="1"/>
  <c r="K5" i="4" l="1"/>
  <c r="J11" i="4"/>
  <c r="F6" i="4"/>
  <c r="F12" i="4" s="1"/>
  <c r="G12" i="4"/>
  <c r="F5" i="4"/>
  <c r="F11" i="4" s="1"/>
  <c r="G11" i="4"/>
  <c r="I6" i="4"/>
  <c r="I12" i="4" s="1"/>
  <c r="H12" i="4"/>
  <c r="I5" i="4"/>
  <c r="I11" i="4" s="1"/>
  <c r="H11" i="4"/>
  <c r="K6" i="4"/>
  <c r="J12" i="4"/>
  <c r="G24" i="1"/>
  <c r="H24" i="1"/>
  <c r="H27" i="1" s="1"/>
  <c r="H28" i="1" s="1"/>
  <c r="I24" i="1"/>
  <c r="I4" i="1"/>
  <c r="G16" i="1"/>
  <c r="G27" i="1" s="1"/>
  <c r="L6" i="4" l="1"/>
  <c r="L12" i="4" s="1"/>
  <c r="K12" i="4"/>
  <c r="L5" i="4"/>
  <c r="L11" i="4" s="1"/>
  <c r="K11" i="4"/>
  <c r="I27" i="1"/>
  <c r="I28" i="1" s="1"/>
  <c r="G28" i="1"/>
</calcChain>
</file>

<file path=xl/comments1.xml><?xml version="1.0" encoding="utf-8"?>
<comments xmlns="http://schemas.openxmlformats.org/spreadsheetml/2006/main">
  <authors>
    <author>Nir Chen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Nir Chen: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Nir Chen: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Nir Chen:</t>
        </r>
        <r>
          <rPr>
            <sz val="9"/>
            <color indexed="81"/>
            <rFont val="Tahoma"/>
            <family val="2"/>
          </rPr>
          <t xml:space="preserve">
870 m2 of Pyrogel Mat</t>
        </r>
      </text>
    </comment>
  </commentList>
</comments>
</file>

<file path=xl/sharedStrings.xml><?xml version="1.0" encoding="utf-8"?>
<sst xmlns="http://schemas.openxmlformats.org/spreadsheetml/2006/main" count="141" uniqueCount="66">
  <si>
    <t>sect</t>
  </si>
  <si>
    <t>f(x) cost of:</t>
  </si>
  <si>
    <t xml:space="preserve">x (variable) definition </t>
  </si>
  <si>
    <t>units of f(x)</t>
  </si>
  <si>
    <t>Notes</t>
  </si>
  <si>
    <t>field</t>
  </si>
  <si>
    <t>HEX skid &amp; steam system</t>
  </si>
  <si>
    <r>
      <t xml:space="preserve">x </t>
    </r>
    <r>
      <rPr>
        <sz val="11"/>
        <color rgb="FF000000"/>
        <rFont val="Arial"/>
        <family val="2"/>
      </rPr>
      <t>≡</t>
    </r>
    <r>
      <rPr>
        <sz val="11"/>
        <color rgb="FF000000"/>
        <rFont val="Calibri"/>
        <family val="2"/>
        <scheme val="minor"/>
      </rPr>
      <t xml:space="preserve"> dish in field/project</t>
    </r>
  </si>
  <si>
    <t>[$/dish]</t>
  </si>
  <si>
    <t>(including work cost)</t>
  </si>
  <si>
    <t>steam pumps</t>
  </si>
  <si>
    <t>compressed air system skid</t>
  </si>
  <si>
    <t>blowers</t>
  </si>
  <si>
    <t>cooling tower skid &amp; pump</t>
  </si>
  <si>
    <t>waste water system</t>
  </si>
  <si>
    <t>receiver cooling cycle &amp; pump</t>
  </si>
  <si>
    <t>dish</t>
  </si>
  <si>
    <t>dish price</t>
  </si>
  <si>
    <t>[$]</t>
  </si>
  <si>
    <t>(including work cost, receiver, hydraulics,  annulus, swivels etc.)</t>
  </si>
  <si>
    <t>annulus</t>
  </si>
  <si>
    <t>Rock wool / glass wool</t>
  </si>
  <si>
    <t>[$/m3]</t>
  </si>
  <si>
    <t>MicroTherm / compatible</t>
  </si>
  <si>
    <t>stainless steel (piping)</t>
  </si>
  <si>
    <t>aluminum (liner)</t>
  </si>
  <si>
    <t>[$/m2] or [$/m3]</t>
  </si>
  <si>
    <t>china</t>
  </si>
  <si>
    <t>RH Israel</t>
  </si>
  <si>
    <t>Steel price</t>
  </si>
  <si>
    <t>inc works</t>
  </si>
  <si>
    <t>Hydraulics</t>
  </si>
  <si>
    <t>Cost 4 Dish Project</t>
  </si>
  <si>
    <t>Cost 8 Dish Project</t>
  </si>
  <si>
    <t>Cost 100 Dish Project-estimated</t>
  </si>
  <si>
    <t>reciever (Press vsl, glass)</t>
  </si>
  <si>
    <t>not including mass production equipment</t>
  </si>
  <si>
    <t>Steel acc (Encoder, wheeles, rails  )</t>
  </si>
  <si>
    <t>Hex-single High Pressure output</t>
  </si>
  <si>
    <t>all included (purchase, production and site works inc)</t>
  </si>
  <si>
    <t>inc</t>
  </si>
  <si>
    <t>not inc heat dissipation and water treatment system</t>
  </si>
  <si>
    <t>system control and instrumentaion</t>
  </si>
  <si>
    <t>Elect and Low voltage</t>
  </si>
  <si>
    <t>S/S 304L (piping)</t>
  </si>
  <si>
    <t>mirror</t>
  </si>
  <si>
    <t>Inc calibration and installation</t>
  </si>
  <si>
    <t>Exclusions:</t>
  </si>
  <si>
    <t>1. Steel works:</t>
  </si>
  <si>
    <t>2. Hex:</t>
  </si>
  <si>
    <t>3. Mirrors:</t>
  </si>
  <si>
    <t>total per project</t>
  </si>
  <si>
    <t>not including civil Eng works , earth works,  concrete and buildings</t>
  </si>
  <si>
    <t>piping accessories and valves</t>
  </si>
  <si>
    <t>pipe fittings</t>
  </si>
  <si>
    <t>contigency 10%</t>
  </si>
  <si>
    <t>Cost 1 Dish Project</t>
  </si>
  <si>
    <t>Cost 120 Dish Project-estimated</t>
  </si>
  <si>
    <t>Cost 160 Dish Project-estimated</t>
  </si>
  <si>
    <t>Cost 80 Dish Project-estimated</t>
  </si>
  <si>
    <t xml:space="preserve">MicroTherm </t>
  </si>
  <si>
    <t>Pyrogel (XT-E)</t>
  </si>
  <si>
    <t>Majus</t>
  </si>
  <si>
    <t>[$/m2]</t>
  </si>
  <si>
    <t>not including work</t>
  </si>
  <si>
    <t>$/Euro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</si>
</sst>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5" xfId="0" applyFont="1" applyFill="1" applyBorder="1"/>
    <xf numFmtId="0" fontId="2" fillId="6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wrapText="1"/>
    </xf>
    <xf numFmtId="3" fontId="0" fillId="0" borderId="5" xfId="0" applyNumberFormat="1" applyBorder="1" applyAlignment="1">
      <alignment horizontal="center" vertical="center"/>
    </xf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3" fontId="0" fillId="0" borderId="6" xfId="0" applyNumberFormat="1" applyBorder="1" applyAlignment="1">
      <alignment horizontal="center" vertical="center"/>
    </xf>
    <xf numFmtId="0" fontId="2" fillId="8" borderId="5" xfId="0" applyFont="1" applyFill="1" applyBorder="1"/>
    <xf numFmtId="0" fontId="2" fillId="8" borderId="5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wrapText="1"/>
    </xf>
    <xf numFmtId="0" fontId="2" fillId="8" borderId="6" xfId="0" applyFont="1" applyFill="1" applyBorder="1"/>
    <xf numFmtId="0" fontId="2" fillId="8" borderId="6" xfId="0" applyFont="1" applyFill="1" applyBorder="1" applyAlignment="1">
      <alignment horizontal="center"/>
    </xf>
    <xf numFmtId="3" fontId="1" fillId="0" borderId="6" xfId="0" applyNumberFormat="1" applyFont="1" applyBorder="1" applyAlignment="1">
      <alignment horizontal="center" vertical="center"/>
    </xf>
    <xf numFmtId="0" fontId="2" fillId="9" borderId="7" xfId="0" applyFont="1" applyFill="1" applyBorder="1"/>
    <xf numFmtId="0" fontId="2" fillId="9" borderId="7" xfId="0" applyFont="1" applyFill="1" applyBorder="1" applyAlignment="1">
      <alignment horizontal="center"/>
    </xf>
    <xf numFmtId="3" fontId="0" fillId="0" borderId="7" xfId="0" applyNumberForma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0" fillId="0" borderId="12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3" fillId="9" borderId="14" xfId="0" applyFont="1" applyFill="1" applyBorder="1" applyAlignment="1">
      <alignment horizontal="center"/>
    </xf>
    <xf numFmtId="3" fontId="0" fillId="0" borderId="17" xfId="0" applyNumberForma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3" fontId="1" fillId="0" borderId="15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3" fontId="0" fillId="9" borderId="5" xfId="0" applyNumberForma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3" fontId="0" fillId="9" borderId="6" xfId="0" applyNumberFormat="1" applyFont="1" applyFill="1" applyBorder="1" applyAlignment="1">
      <alignment horizontal="center" vertical="center"/>
    </xf>
    <xf numFmtId="3" fontId="0" fillId="0" borderId="6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>
      <selection activeCell="M13" sqref="M13"/>
    </sheetView>
  </sheetViews>
  <sheetFormatPr defaultRowHeight="15" x14ac:dyDescent="0.25"/>
  <cols>
    <col min="2" max="2" width="21.42578125" customWidth="1"/>
    <col min="3" max="3" width="27.5703125" customWidth="1"/>
    <col min="4" max="6" width="21.42578125" customWidth="1"/>
    <col min="7" max="8" width="26" customWidth="1"/>
    <col min="9" max="9" width="28.5703125" customWidth="1"/>
  </cols>
  <sheetData>
    <row r="2" spans="2:10" ht="15.75" thickBot="1" x14ac:dyDescent="0.3">
      <c r="G2" t="s">
        <v>28</v>
      </c>
      <c r="H2" t="s">
        <v>27</v>
      </c>
      <c r="I2" t="s">
        <v>27</v>
      </c>
    </row>
    <row r="3" spans="2:10" x14ac:dyDescent="0.25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5" t="s">
        <v>32</v>
      </c>
      <c r="H3" s="35" t="s">
        <v>33</v>
      </c>
      <c r="I3" s="36" t="s">
        <v>34</v>
      </c>
    </row>
    <row r="4" spans="2:10" x14ac:dyDescent="0.25">
      <c r="B4" s="64" t="s">
        <v>5</v>
      </c>
      <c r="C4" s="4" t="s">
        <v>6</v>
      </c>
      <c r="D4" s="5" t="s">
        <v>7</v>
      </c>
      <c r="E4" s="5" t="s">
        <v>8</v>
      </c>
      <c r="F4" s="5" t="s">
        <v>9</v>
      </c>
      <c r="G4" s="12">
        <f>560000-80000+25000*1.3</f>
        <v>512500</v>
      </c>
      <c r="H4" s="12">
        <f>1100000</f>
        <v>1100000</v>
      </c>
      <c r="I4" s="37">
        <f>10*H4</f>
        <v>11000000</v>
      </c>
    </row>
    <row r="5" spans="2:10" x14ac:dyDescent="0.25">
      <c r="B5" s="65"/>
      <c r="C5" s="4" t="s">
        <v>10</v>
      </c>
      <c r="D5" s="5" t="s">
        <v>7</v>
      </c>
      <c r="E5" s="5" t="s">
        <v>8</v>
      </c>
      <c r="F5" s="5" t="s">
        <v>9</v>
      </c>
      <c r="G5" s="12" t="s">
        <v>40</v>
      </c>
      <c r="H5" s="12" t="s">
        <v>40</v>
      </c>
      <c r="I5" s="37"/>
    </row>
    <row r="6" spans="2:10" x14ac:dyDescent="0.25">
      <c r="B6" s="65"/>
      <c r="C6" s="4" t="s">
        <v>11</v>
      </c>
      <c r="D6" s="5" t="s">
        <v>7</v>
      </c>
      <c r="E6" s="5" t="s">
        <v>8</v>
      </c>
      <c r="F6" s="5" t="s">
        <v>9</v>
      </c>
      <c r="G6" s="12">
        <f>60000</f>
        <v>60000</v>
      </c>
      <c r="H6" s="12">
        <f>115000</f>
        <v>115000</v>
      </c>
      <c r="I6" s="37">
        <f>H6*3</f>
        <v>345000</v>
      </c>
    </row>
    <row r="7" spans="2:10" x14ac:dyDescent="0.25">
      <c r="B7" s="65"/>
      <c r="C7" s="4" t="s">
        <v>12</v>
      </c>
      <c r="D7" s="5" t="s">
        <v>7</v>
      </c>
      <c r="E7" s="5" t="s">
        <v>8</v>
      </c>
      <c r="F7" s="5" t="s">
        <v>9</v>
      </c>
      <c r="G7" s="12">
        <f>30000*2</f>
        <v>60000</v>
      </c>
      <c r="H7" s="12">
        <f>2*45000</f>
        <v>90000</v>
      </c>
      <c r="I7" s="37">
        <f>10*50000</f>
        <v>500000</v>
      </c>
    </row>
    <row r="8" spans="2:10" x14ac:dyDescent="0.25">
      <c r="B8" s="65"/>
      <c r="C8" s="4" t="s">
        <v>13</v>
      </c>
      <c r="D8" s="5" t="s">
        <v>7</v>
      </c>
      <c r="E8" s="5" t="s">
        <v>8</v>
      </c>
      <c r="F8" s="5" t="s">
        <v>9</v>
      </c>
      <c r="G8" s="12"/>
      <c r="H8" s="12"/>
      <c r="I8" s="37"/>
    </row>
    <row r="9" spans="2:10" x14ac:dyDescent="0.25">
      <c r="B9" s="65"/>
      <c r="C9" s="4" t="s">
        <v>14</v>
      </c>
      <c r="D9" s="5" t="s">
        <v>7</v>
      </c>
      <c r="E9" s="5" t="s">
        <v>8</v>
      </c>
      <c r="F9" s="5" t="s">
        <v>9</v>
      </c>
      <c r="G9" s="12">
        <v>15000</v>
      </c>
      <c r="H9" s="12">
        <v>30000</v>
      </c>
      <c r="I9" s="37">
        <v>120000</v>
      </c>
    </row>
    <row r="10" spans="2:10" x14ac:dyDescent="0.25">
      <c r="B10" s="65"/>
      <c r="C10" s="4" t="s">
        <v>15</v>
      </c>
      <c r="D10" s="5" t="s">
        <v>7</v>
      </c>
      <c r="E10" s="5" t="s">
        <v>8</v>
      </c>
      <c r="F10" s="5" t="s">
        <v>9</v>
      </c>
      <c r="G10" s="12">
        <f>45000*4</f>
        <v>180000</v>
      </c>
      <c r="H10" s="12">
        <f>40000*8</f>
        <v>320000</v>
      </c>
      <c r="I10" s="37">
        <f>40000*100*0.8</f>
        <v>3200000</v>
      </c>
    </row>
    <row r="11" spans="2:10" x14ac:dyDescent="0.25">
      <c r="B11" s="65"/>
      <c r="C11" s="4" t="s">
        <v>42</v>
      </c>
      <c r="D11" s="5" t="s">
        <v>7</v>
      </c>
      <c r="E11" s="5" t="s">
        <v>8</v>
      </c>
      <c r="F11" s="5" t="s">
        <v>9</v>
      </c>
      <c r="G11" s="12">
        <f>80000+12000+4*12500+1*63000</f>
        <v>205000</v>
      </c>
      <c r="H11" s="12">
        <f>80000+12000+8*12500+1*80000</f>
        <v>272000</v>
      </c>
      <c r="I11" s="37">
        <f>80000+12000+8*8500+1*150000</f>
        <v>310000</v>
      </c>
    </row>
    <row r="12" spans="2:10" ht="15.75" thickBot="1" x14ac:dyDescent="0.3">
      <c r="B12" s="66"/>
      <c r="C12" s="20" t="s">
        <v>43</v>
      </c>
      <c r="D12" s="21" t="s">
        <v>7</v>
      </c>
      <c r="E12" s="21" t="s">
        <v>8</v>
      </c>
      <c r="F12" s="21" t="s">
        <v>9</v>
      </c>
      <c r="G12" s="22">
        <f>120000</f>
        <v>120000</v>
      </c>
      <c r="H12" s="22">
        <f>150000</f>
        <v>150000</v>
      </c>
      <c r="I12" s="38">
        <f>H12/8*0.5*100</f>
        <v>937500</v>
      </c>
    </row>
    <row r="13" spans="2:10" ht="45" x14ac:dyDescent="0.25">
      <c r="B13" s="62" t="s">
        <v>16</v>
      </c>
      <c r="C13" s="16" t="s">
        <v>17</v>
      </c>
      <c r="D13" s="17" t="s">
        <v>7</v>
      </c>
      <c r="E13" s="17" t="s">
        <v>18</v>
      </c>
      <c r="F13" s="18" t="s">
        <v>19</v>
      </c>
      <c r="G13" s="19"/>
      <c r="H13" s="19"/>
      <c r="I13" s="39"/>
    </row>
    <row r="14" spans="2:10" x14ac:dyDescent="0.25">
      <c r="B14" s="62"/>
      <c r="C14" s="6" t="s">
        <v>29</v>
      </c>
      <c r="D14" s="7" t="s">
        <v>7</v>
      </c>
      <c r="E14" s="7" t="s">
        <v>18</v>
      </c>
      <c r="F14" s="8" t="s">
        <v>30</v>
      </c>
      <c r="G14" s="12">
        <f>4*62000*5.5</f>
        <v>1364000</v>
      </c>
      <c r="H14" s="12">
        <f>8*60500*3.6</f>
        <v>1742400</v>
      </c>
      <c r="I14" s="37">
        <f>100*55000*3.2</f>
        <v>17600000</v>
      </c>
    </row>
    <row r="15" spans="2:10" x14ac:dyDescent="0.25">
      <c r="B15" s="62"/>
      <c r="C15" s="6" t="s">
        <v>35</v>
      </c>
      <c r="D15" s="7"/>
      <c r="E15" s="7"/>
      <c r="F15" s="8"/>
      <c r="G15" s="11">
        <f>81000+4*8500*1.3</f>
        <v>125200</v>
      </c>
      <c r="H15" s="12">
        <f>278000</f>
        <v>278000</v>
      </c>
      <c r="I15" s="37">
        <f>29000*100</f>
        <v>2900000</v>
      </c>
    </row>
    <row r="16" spans="2:10" x14ac:dyDescent="0.25">
      <c r="B16" s="62"/>
      <c r="C16" s="6" t="s">
        <v>31</v>
      </c>
      <c r="D16" s="7"/>
      <c r="E16" s="7"/>
      <c r="F16" s="8"/>
      <c r="G16" s="11">
        <f>H16/8*4</f>
        <v>280000</v>
      </c>
      <c r="H16" s="12">
        <f>(53000+17000)*8</f>
        <v>560000</v>
      </c>
      <c r="I16" s="37">
        <f>60000*100</f>
        <v>6000000</v>
      </c>
      <c r="J16" s="34"/>
    </row>
    <row r="17" spans="2:9" x14ac:dyDescent="0.25">
      <c r="B17" s="62"/>
      <c r="C17" s="6" t="s">
        <v>37</v>
      </c>
      <c r="D17" s="7"/>
      <c r="E17" s="7"/>
      <c r="F17" s="8"/>
      <c r="G17" s="12">
        <v>600000</v>
      </c>
      <c r="H17" s="12">
        <v>560000</v>
      </c>
      <c r="I17" s="37">
        <f>H17/8*0.9*100</f>
        <v>6300000</v>
      </c>
    </row>
    <row r="18" spans="2:9" ht="15.75" thickBot="1" x14ac:dyDescent="0.3">
      <c r="B18" s="63"/>
      <c r="C18" s="25"/>
      <c r="D18" s="26"/>
      <c r="E18" s="26"/>
      <c r="F18" s="27"/>
      <c r="G18" s="22"/>
      <c r="H18" s="22"/>
      <c r="I18" s="38"/>
    </row>
    <row r="19" spans="2:9" x14ac:dyDescent="0.25">
      <c r="B19" s="60" t="s">
        <v>20</v>
      </c>
      <c r="C19" s="23" t="s">
        <v>21</v>
      </c>
      <c r="D19" s="24" t="s">
        <v>7</v>
      </c>
      <c r="E19" s="24" t="s">
        <v>22</v>
      </c>
      <c r="F19" s="24" t="s">
        <v>9</v>
      </c>
      <c r="G19" s="19">
        <f>(245*1.3*50*4+340*1.3*20*2)*1.5*0.33</f>
        <v>40283.1</v>
      </c>
      <c r="H19" s="19">
        <f>(245*1.3*50*4+340*1.3*20*2+380*1.3*20*2+450*1.3*20*2)*1.5*0.33</f>
        <v>61647.3</v>
      </c>
      <c r="I19" s="39">
        <f>((245*1.3*50*4+340*1.3*20*2+380*1.3*20*2+420*1.3*20*2+450*1.3*20*2+480*1.3*20*2)*10+800*1.3*70*2+1000*1.3*70*2)*1.5*0.33*0.7</f>
        <v>707206.5</v>
      </c>
    </row>
    <row r="20" spans="2:9" x14ac:dyDescent="0.25">
      <c r="B20" s="60"/>
      <c r="C20" s="9" t="s">
        <v>23</v>
      </c>
      <c r="D20" s="10" t="s">
        <v>7</v>
      </c>
      <c r="E20" s="10" t="s">
        <v>22</v>
      </c>
      <c r="F20" s="10" t="s">
        <v>9</v>
      </c>
      <c r="G20" s="12">
        <f>(245*1.3*50*4+340*1.3*20*2)*1.5</f>
        <v>122070</v>
      </c>
      <c r="H20" s="12">
        <f>(245*1.3*50*4+340*1.3*20*2+380*1.3*30*2+450*1.3*20*1)*1.5</f>
        <v>184080</v>
      </c>
      <c r="I20" s="37">
        <f>((245*1.3*50*10+340*1.3*20*2+380*1.3*20*2+420*1.3*20*2+450*1.3*20*2+480*1.3*20*2)*10+800*1.3*70*2+1000*1.3*70*2)*1.5*0.7</f>
        <v>3146325</v>
      </c>
    </row>
    <row r="21" spans="2:9" x14ac:dyDescent="0.25">
      <c r="B21" s="60"/>
      <c r="C21" s="9" t="s">
        <v>24</v>
      </c>
      <c r="D21" s="10" t="s">
        <v>7</v>
      </c>
      <c r="E21" s="10" t="s">
        <v>22</v>
      </c>
      <c r="F21" s="10" t="s">
        <v>9</v>
      </c>
      <c r="G21" s="12">
        <f>(90*50*4+140*20*2)*2</f>
        <v>47200</v>
      </c>
      <c r="H21" s="12">
        <f>(90*50*8+140*20*2)*1.5</f>
        <v>62400</v>
      </c>
      <c r="I21" s="37">
        <f>(90*50*100+(140*20+180*20+250*20)*10)*1.5*0.7</f>
        <v>592200</v>
      </c>
    </row>
    <row r="22" spans="2:9" x14ac:dyDescent="0.25">
      <c r="B22" s="60"/>
      <c r="C22" s="9" t="s">
        <v>44</v>
      </c>
      <c r="D22" s="10" t="s">
        <v>7</v>
      </c>
      <c r="E22" s="10" t="s">
        <v>22</v>
      </c>
      <c r="F22" s="10" t="s">
        <v>9</v>
      </c>
      <c r="G22" s="12">
        <f>(140*50*4+330*20*2)*2</f>
        <v>82400</v>
      </c>
      <c r="H22" s="12">
        <f>(140*50*8+330*30*2+360*20*2)*1.5</f>
        <v>135300</v>
      </c>
      <c r="I22" s="37">
        <f>(140*50*10+330*20*2+360*20*2+390*20*2+420*20*2+450*20*2)*10*1.5*0.7</f>
        <v>1554000</v>
      </c>
    </row>
    <row r="23" spans="2:9" x14ac:dyDescent="0.25">
      <c r="B23" s="60"/>
      <c r="C23" s="9" t="s">
        <v>25</v>
      </c>
      <c r="D23" s="10" t="s">
        <v>7</v>
      </c>
      <c r="E23" s="10" t="s">
        <v>26</v>
      </c>
      <c r="F23" s="10" t="s">
        <v>9</v>
      </c>
      <c r="G23" s="12" t="s">
        <v>40</v>
      </c>
      <c r="H23" s="12" t="s">
        <v>40</v>
      </c>
      <c r="I23" s="37" t="s">
        <v>40</v>
      </c>
    </row>
    <row r="24" spans="2:9" x14ac:dyDescent="0.25">
      <c r="B24" s="60"/>
      <c r="C24" s="9" t="s">
        <v>54</v>
      </c>
      <c r="D24" s="10"/>
      <c r="E24" s="10"/>
      <c r="F24" s="10"/>
      <c r="G24" s="12">
        <f>(G21+G22)*2</f>
        <v>259200</v>
      </c>
      <c r="H24" s="12">
        <f>(H21+H22)*2</f>
        <v>395400</v>
      </c>
      <c r="I24" s="37">
        <f>(I21+I22)*2</f>
        <v>4292400</v>
      </c>
    </row>
    <row r="25" spans="2:9" ht="15.75" thickBot="1" x14ac:dyDescent="0.3">
      <c r="B25" s="61"/>
      <c r="C25" s="28" t="s">
        <v>53</v>
      </c>
      <c r="D25" s="29"/>
      <c r="E25" s="29"/>
      <c r="F25" s="29"/>
      <c r="G25" s="22">
        <f>187000+50000</f>
        <v>237000</v>
      </c>
      <c r="H25" s="22">
        <f>90000+70000</f>
        <v>160000</v>
      </c>
      <c r="I25" s="38">
        <f>H25/8*100</f>
        <v>2000000</v>
      </c>
    </row>
    <row r="26" spans="2:9" ht="15.75" thickBot="1" x14ac:dyDescent="0.3">
      <c r="B26" s="40"/>
      <c r="C26" s="31" t="s">
        <v>45</v>
      </c>
      <c r="D26" s="32" t="s">
        <v>7</v>
      </c>
      <c r="E26" s="32" t="s">
        <v>26</v>
      </c>
      <c r="F26" s="32" t="s">
        <v>9</v>
      </c>
      <c r="G26" s="33">
        <f>(90+10)*500*2*4</f>
        <v>400000</v>
      </c>
      <c r="H26" s="33">
        <f>(90+10)*500*2*8</f>
        <v>800000</v>
      </c>
      <c r="I26" s="41">
        <f>(90+10)*500*0.85*100*1.7</f>
        <v>7225000</v>
      </c>
    </row>
    <row r="27" spans="2:9" x14ac:dyDescent="0.25">
      <c r="B27" s="42" t="s">
        <v>55</v>
      </c>
      <c r="C27" s="23"/>
      <c r="D27" s="24"/>
      <c r="E27" s="24"/>
      <c r="F27" s="24"/>
      <c r="G27" s="19">
        <f>0.1*SUM(G4:G26)</f>
        <v>470985.31</v>
      </c>
      <c r="H27" s="19">
        <f t="shared" ref="H27:I27" si="0">0.1*SUM(H4:H26)</f>
        <v>701622.73</v>
      </c>
      <c r="I27" s="39">
        <f t="shared" si="0"/>
        <v>6872963.1500000004</v>
      </c>
    </row>
    <row r="28" spans="2:9" ht="15.75" thickBot="1" x14ac:dyDescent="0.3">
      <c r="B28" s="43" t="s">
        <v>51</v>
      </c>
      <c r="C28" s="28"/>
      <c r="D28" s="29"/>
      <c r="E28" s="29"/>
      <c r="F28" s="29"/>
      <c r="G28" s="30">
        <f>SUM(G4:G27)</f>
        <v>5180838.4099999992</v>
      </c>
      <c r="H28" s="30">
        <f t="shared" ref="H28:I28" si="1">SUM(H4:H27)</f>
        <v>7717850.0299999993</v>
      </c>
      <c r="I28" s="44">
        <f t="shared" si="1"/>
        <v>75602594.650000006</v>
      </c>
    </row>
    <row r="29" spans="2:9" ht="21" x14ac:dyDescent="0.35">
      <c r="B29" s="15" t="s">
        <v>47</v>
      </c>
    </row>
    <row r="30" spans="2:9" x14ac:dyDescent="0.25">
      <c r="B30" s="13" t="s">
        <v>48</v>
      </c>
    </row>
    <row r="31" spans="2:9" x14ac:dyDescent="0.25">
      <c r="B31" t="s">
        <v>36</v>
      </c>
      <c r="C31" s="13"/>
    </row>
    <row r="32" spans="2:9" x14ac:dyDescent="0.25">
      <c r="B32" s="14" t="s">
        <v>52</v>
      </c>
    </row>
    <row r="33" spans="2:2" x14ac:dyDescent="0.25">
      <c r="B33" s="13" t="s">
        <v>49</v>
      </c>
    </row>
    <row r="34" spans="2:2" x14ac:dyDescent="0.25">
      <c r="B34" t="s">
        <v>38</v>
      </c>
    </row>
    <row r="35" spans="2:2" x14ac:dyDescent="0.25">
      <c r="B35" t="s">
        <v>39</v>
      </c>
    </row>
    <row r="36" spans="2:2" x14ac:dyDescent="0.25">
      <c r="B36" t="s">
        <v>41</v>
      </c>
    </row>
    <row r="37" spans="2:2" x14ac:dyDescent="0.25">
      <c r="B37" s="13" t="s">
        <v>50</v>
      </c>
    </row>
    <row r="38" spans="2:2" x14ac:dyDescent="0.25">
      <c r="B38" t="s">
        <v>46</v>
      </c>
    </row>
  </sheetData>
  <mergeCells count="3">
    <mergeCell ref="B19:B25"/>
    <mergeCell ref="B13:B18"/>
    <mergeCell ref="B4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F12" sqref="F12:L12"/>
    </sheetView>
  </sheetViews>
  <sheetFormatPr defaultRowHeight="15" x14ac:dyDescent="0.25"/>
  <cols>
    <col min="2" max="2" width="21.42578125" customWidth="1"/>
    <col min="3" max="3" width="27.5703125" customWidth="1"/>
    <col min="4" max="6" width="21.42578125" customWidth="1"/>
    <col min="7" max="10" width="17.140625" customWidth="1"/>
    <col min="11" max="12" width="17.7109375" customWidth="1"/>
  </cols>
  <sheetData>
    <row r="2" spans="2:12" ht="15.75" thickBot="1" x14ac:dyDescent="0.3">
      <c r="F2">
        <v>1</v>
      </c>
      <c r="G2">
        <v>4</v>
      </c>
      <c r="H2">
        <v>8</v>
      </c>
      <c r="I2">
        <v>80</v>
      </c>
      <c r="J2">
        <v>100</v>
      </c>
      <c r="K2">
        <v>120</v>
      </c>
      <c r="L2">
        <v>160</v>
      </c>
    </row>
    <row r="3" spans="2:12" ht="30" x14ac:dyDescent="0.25">
      <c r="B3" s="47" t="s">
        <v>0</v>
      </c>
      <c r="C3" s="48" t="s">
        <v>1</v>
      </c>
      <c r="D3" s="48" t="s">
        <v>3</v>
      </c>
      <c r="E3" s="49" t="s">
        <v>4</v>
      </c>
      <c r="F3" s="50" t="s">
        <v>56</v>
      </c>
      <c r="G3" s="50" t="s">
        <v>32</v>
      </c>
      <c r="H3" s="50" t="s">
        <v>33</v>
      </c>
      <c r="I3" s="51" t="s">
        <v>59</v>
      </c>
      <c r="J3" s="51" t="s">
        <v>34</v>
      </c>
      <c r="K3" s="51" t="s">
        <v>57</v>
      </c>
      <c r="L3" s="51" t="s">
        <v>58</v>
      </c>
    </row>
    <row r="4" spans="2:12" x14ac:dyDescent="0.25">
      <c r="B4" s="53"/>
      <c r="C4" s="54"/>
      <c r="D4" s="54"/>
      <c r="E4" s="54"/>
      <c r="F4" s="55"/>
      <c r="G4" s="55">
        <v>4</v>
      </c>
      <c r="H4" s="55">
        <v>8</v>
      </c>
      <c r="I4" s="56">
        <v>80</v>
      </c>
      <c r="J4" s="57">
        <v>100</v>
      </c>
      <c r="K4" s="57">
        <v>120</v>
      </c>
      <c r="L4" s="57">
        <v>160</v>
      </c>
    </row>
    <row r="5" spans="2:12" x14ac:dyDescent="0.25">
      <c r="B5" s="60" t="s">
        <v>20</v>
      </c>
      <c r="C5" s="23" t="s">
        <v>21</v>
      </c>
      <c r="D5" s="24" t="s">
        <v>22</v>
      </c>
      <c r="E5" s="24" t="s">
        <v>9</v>
      </c>
      <c r="F5" s="19">
        <f>G5/4</f>
        <v>10070.775</v>
      </c>
      <c r="G5" s="19">
        <f>(245*1.3*50*4+340*1.3*20*2)*1.5*0.33</f>
        <v>40283.1</v>
      </c>
      <c r="H5" s="19">
        <f>(245*1.3*50*4+340*1.3*20*2+380*1.3*20*2+450*1.3*20*2)*1.5*0.33</f>
        <v>61647.3</v>
      </c>
      <c r="I5" s="45">
        <f>H5*I4/H4</f>
        <v>616473</v>
      </c>
      <c r="J5" s="39">
        <f>((245*1.3*50*4+340*1.3*20*2+380*1.3*20*2+420*1.3*20*2+450*1.3*20*2+480*1.3*20*2)*10+800*1.3*70*2+1000*1.3*70*2)*1.5*0.33*0.7</f>
        <v>707206.5</v>
      </c>
      <c r="K5" s="45">
        <f>J5*K4/J4</f>
        <v>848647.8</v>
      </c>
      <c r="L5" s="45">
        <f>K5*L4/K4</f>
        <v>1131530.3999999999</v>
      </c>
    </row>
    <row r="6" spans="2:12" x14ac:dyDescent="0.25">
      <c r="B6" s="60"/>
      <c r="C6" s="9" t="s">
        <v>60</v>
      </c>
      <c r="D6" s="10" t="s">
        <v>22</v>
      </c>
      <c r="E6" s="10" t="s">
        <v>9</v>
      </c>
      <c r="F6" s="19">
        <f>G6/4</f>
        <v>30517.5</v>
      </c>
      <c r="G6" s="12">
        <f>(245*1.3*50*4+340*1.3*20*2)*1.5</f>
        <v>122070</v>
      </c>
      <c r="H6" s="12">
        <f>(245*1.3*50*4+340*1.3*20*2+380*1.3*30*2+450*1.3*20*1)*1.5</f>
        <v>184080</v>
      </c>
      <c r="I6" s="46">
        <f>H6*I4/H4</f>
        <v>1840800</v>
      </c>
      <c r="J6" s="37">
        <f>((245*1.3*50*10+340*1.3*20*2+380*1.3*20*2+420*1.3*20*2+450*1.3*20*2+480*1.3*20*2)*10+800*1.3*70*2+1000*1.3*70*2)*1.5*0.7</f>
        <v>3146325</v>
      </c>
      <c r="K6" s="46">
        <f>J6*K4/J4</f>
        <v>3775590</v>
      </c>
      <c r="L6" s="46">
        <f>K6*L4/K4</f>
        <v>5034120</v>
      </c>
    </row>
    <row r="7" spans="2:12" x14ac:dyDescent="0.25">
      <c r="B7" s="42"/>
      <c r="C7" s="23" t="s">
        <v>61</v>
      </c>
      <c r="D7" s="10" t="s">
        <v>63</v>
      </c>
      <c r="E7" s="24" t="s">
        <v>64</v>
      </c>
      <c r="F7" s="52">
        <f>31322</f>
        <v>31322</v>
      </c>
      <c r="G7" s="19">
        <f>$F7*G4</f>
        <v>125288</v>
      </c>
      <c r="H7" s="19">
        <f t="shared" ref="H7:L7" si="0">$F7*H4</f>
        <v>250576</v>
      </c>
      <c r="I7" s="19">
        <f t="shared" si="0"/>
        <v>2505760</v>
      </c>
      <c r="J7" s="19">
        <f t="shared" si="0"/>
        <v>3132200</v>
      </c>
      <c r="K7" s="19">
        <f t="shared" si="0"/>
        <v>3758640</v>
      </c>
      <c r="L7" s="19">
        <f t="shared" si="0"/>
        <v>5011520</v>
      </c>
    </row>
    <row r="8" spans="2:12" ht="15.75" thickBot="1" x14ac:dyDescent="0.3">
      <c r="B8" s="43"/>
      <c r="C8" s="28" t="s">
        <v>62</v>
      </c>
      <c r="D8" s="29" t="s">
        <v>22</v>
      </c>
      <c r="E8" s="24" t="s">
        <v>64</v>
      </c>
      <c r="F8" s="58">
        <f>(23000+115000+13200)*C10</f>
        <v>205632.00000000003</v>
      </c>
      <c r="G8" s="59">
        <f>$F8*G4</f>
        <v>822528.00000000012</v>
      </c>
      <c r="H8" s="59">
        <f t="shared" ref="H8:L8" si="1">$F8*H4</f>
        <v>1645056.0000000002</v>
      </c>
      <c r="I8" s="59">
        <f t="shared" si="1"/>
        <v>16450560.000000002</v>
      </c>
      <c r="J8" s="59">
        <f t="shared" si="1"/>
        <v>20563200.000000004</v>
      </c>
      <c r="K8" s="59">
        <f t="shared" si="1"/>
        <v>24675840.000000004</v>
      </c>
      <c r="L8" s="59">
        <f t="shared" si="1"/>
        <v>32901120.000000004</v>
      </c>
    </row>
    <row r="9" spans="2:12" ht="21" x14ac:dyDescent="0.35">
      <c r="B9" s="15"/>
    </row>
    <row r="10" spans="2:12" x14ac:dyDescent="0.25">
      <c r="B10" s="13" t="s">
        <v>65</v>
      </c>
      <c r="C10">
        <v>1.36</v>
      </c>
    </row>
    <row r="11" spans="2:12" x14ac:dyDescent="0.25">
      <c r="C11" s="23" t="s">
        <v>21</v>
      </c>
      <c r="D11" s="24" t="s">
        <v>22</v>
      </c>
      <c r="E11" s="24" t="s">
        <v>9</v>
      </c>
      <c r="F11">
        <f>F5/$F$2</f>
        <v>10070.775</v>
      </c>
      <c r="G11">
        <f>G5/$G$2</f>
        <v>10070.775</v>
      </c>
      <c r="H11">
        <f>H5/$H$2</f>
        <v>7705.9125000000004</v>
      </c>
      <c r="I11">
        <f>I5/$I$2</f>
        <v>7705.9125000000004</v>
      </c>
      <c r="J11">
        <f>J5/$J$2</f>
        <v>7072.0649999999996</v>
      </c>
      <c r="K11">
        <f>K5/$K$2</f>
        <v>7072.0650000000005</v>
      </c>
      <c r="L11">
        <f>L5/$L$2</f>
        <v>7072.0649999999996</v>
      </c>
    </row>
    <row r="12" spans="2:12" x14ac:dyDescent="0.25">
      <c r="C12" s="9" t="s">
        <v>60</v>
      </c>
      <c r="D12" s="10" t="s">
        <v>22</v>
      </c>
      <c r="E12" s="10" t="s">
        <v>9</v>
      </c>
      <c r="F12">
        <f>F6/$F$2</f>
        <v>30517.5</v>
      </c>
      <c r="G12">
        <f>G6/$G$2</f>
        <v>30517.5</v>
      </c>
      <c r="H12">
        <f>H6/$H$2</f>
        <v>23010</v>
      </c>
      <c r="I12">
        <f>I6/$I$2</f>
        <v>23010</v>
      </c>
      <c r="J12">
        <f>J6/$J$2</f>
        <v>31463.25</v>
      </c>
      <c r="K12">
        <f>K6/$K$2</f>
        <v>31463.25</v>
      </c>
      <c r="L12">
        <f>L6/$L$2</f>
        <v>31463.25</v>
      </c>
    </row>
    <row r="13" spans="2:12" x14ac:dyDescent="0.25">
      <c r="C13" s="23" t="s">
        <v>61</v>
      </c>
      <c r="D13" s="10" t="s">
        <v>63</v>
      </c>
      <c r="E13" s="24" t="s">
        <v>64</v>
      </c>
      <c r="F13">
        <f>F7/$F$2</f>
        <v>31322</v>
      </c>
      <c r="G13">
        <f>G7/$G$2</f>
        <v>31322</v>
      </c>
      <c r="H13">
        <f>H7/$H$2</f>
        <v>31322</v>
      </c>
      <c r="I13">
        <f>I7/$I$2</f>
        <v>31322</v>
      </c>
      <c r="J13">
        <f>J7/$J$2</f>
        <v>31322</v>
      </c>
      <c r="K13">
        <f>K7/$K$2</f>
        <v>31322</v>
      </c>
      <c r="L13">
        <f>L7/$L$2</f>
        <v>31322</v>
      </c>
    </row>
    <row r="14" spans="2:12" ht="15.75" thickBot="1" x14ac:dyDescent="0.3">
      <c r="C14" s="28" t="s">
        <v>62</v>
      </c>
      <c r="D14" s="29" t="s">
        <v>22</v>
      </c>
      <c r="E14" s="24" t="s">
        <v>64</v>
      </c>
      <c r="F14">
        <f>F8/$F$2</f>
        <v>205632.00000000003</v>
      </c>
      <c r="G14">
        <f>G8/$G$2</f>
        <v>205632.00000000003</v>
      </c>
      <c r="H14">
        <f>H8/$H$2</f>
        <v>205632.00000000003</v>
      </c>
      <c r="I14">
        <f>I8/$I$2</f>
        <v>205632.00000000003</v>
      </c>
      <c r="J14">
        <f>J8/$J$2</f>
        <v>205632.00000000003</v>
      </c>
      <c r="K14">
        <f>K8/$K$2</f>
        <v>205632.00000000003</v>
      </c>
      <c r="L14">
        <f>L8/$L$2</f>
        <v>205632.00000000003</v>
      </c>
    </row>
  </sheetData>
  <mergeCells count="1">
    <mergeCell ref="B5:B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Chen</dc:creator>
  <cp:lastModifiedBy>Natanel Davidovits</cp:lastModifiedBy>
  <dcterms:created xsi:type="dcterms:W3CDTF">2013-01-31T12:19:58Z</dcterms:created>
  <dcterms:modified xsi:type="dcterms:W3CDTF">2014-06-19T12:14:46Z</dcterms:modified>
</cp:coreProperties>
</file>