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8" windowWidth="15456" windowHeight="11700"/>
  </bookViews>
  <sheets>
    <sheet name="Аркуш1 " sheetId="1" r:id="rId1"/>
  </sheets>
  <definedNames>
    <definedName name="_xlnm.Print_Titles" localSheetId="0">'Аркуш1 '!$4:$9</definedName>
    <definedName name="_xlnm.Print_Area" localSheetId="0">'Аркуш1 '!$A$1:$AG$88</definedName>
  </definedNames>
  <calcPr calcId="145621"/>
</workbook>
</file>

<file path=xl/calcChain.xml><?xml version="1.0" encoding="utf-8"?>
<calcChain xmlns="http://schemas.openxmlformats.org/spreadsheetml/2006/main">
  <c r="H45" i="1" l="1"/>
  <c r="Q45" i="1"/>
  <c r="Q44" i="1"/>
  <c r="I36" i="1" l="1"/>
  <c r="I37" i="1"/>
  <c r="H66" i="1"/>
  <c r="H38" i="1"/>
  <c r="H36" i="1"/>
  <c r="H48" i="1"/>
  <c r="H44" i="1"/>
  <c r="H19" i="1"/>
  <c r="K66" i="1" l="1"/>
  <c r="K57" i="1"/>
  <c r="K54" i="1"/>
  <c r="K53" i="1"/>
  <c r="K52" i="1"/>
  <c r="K51" i="1"/>
  <c r="K49" i="1"/>
  <c r="K48" i="1"/>
  <c r="K47" i="1"/>
  <c r="K45" i="1"/>
  <c r="K44" i="1"/>
  <c r="K42" i="1"/>
  <c r="K38" i="1"/>
  <c r="K37" i="1"/>
  <c r="K36" i="1"/>
  <c r="K33" i="1"/>
  <c r="K32" i="1"/>
  <c r="K31" i="1"/>
  <c r="K27" i="1"/>
  <c r="K24" i="1"/>
  <c r="K22" i="1"/>
  <c r="K19" i="1"/>
  <c r="K18" i="1"/>
  <c r="H57" i="1"/>
  <c r="H54" i="1"/>
  <c r="H53" i="1"/>
  <c r="H52" i="1"/>
  <c r="H51" i="1"/>
  <c r="H49" i="1"/>
  <c r="H47" i="1"/>
  <c r="D57" i="1"/>
  <c r="D54" i="1"/>
  <c r="D53" i="1"/>
  <c r="D52" i="1"/>
  <c r="D51" i="1"/>
  <c r="D49" i="1"/>
  <c r="D48" i="1"/>
  <c r="D47" i="1"/>
  <c r="D45" i="1"/>
  <c r="D44" i="1"/>
  <c r="D66" i="1"/>
  <c r="D42" i="1"/>
  <c r="D41" i="1"/>
  <c r="D38" i="1"/>
  <c r="D37" i="1"/>
  <c r="D36" i="1"/>
  <c r="D33" i="1"/>
  <c r="D32" i="1"/>
  <c r="D27" i="1"/>
  <c r="D24" i="1"/>
  <c r="D22" i="1"/>
  <c r="D19" i="1"/>
  <c r="E19" i="1"/>
  <c r="D18" i="1"/>
  <c r="E18" i="1"/>
  <c r="L81" i="1" l="1"/>
  <c r="L80" i="1"/>
  <c r="L79" i="1"/>
  <c r="L78" i="1"/>
  <c r="L77" i="1"/>
  <c r="L76" i="1"/>
  <c r="L75" i="1"/>
  <c r="L74" i="1"/>
  <c r="L72" i="1"/>
  <c r="L71" i="1"/>
  <c r="L70" i="1"/>
  <c r="L69" i="1"/>
  <c r="L68" i="1"/>
  <c r="L67" i="1"/>
  <c r="L66" i="1"/>
  <c r="L65" i="1"/>
  <c r="L63" i="1"/>
  <c r="L62" i="1"/>
  <c r="L61" i="1"/>
  <c r="L60" i="1"/>
  <c r="L59" i="1"/>
  <c r="L57" i="1"/>
  <c r="L56" i="1"/>
  <c r="L55" i="1"/>
  <c r="L54" i="1"/>
  <c r="L53" i="1"/>
  <c r="L52" i="1"/>
  <c r="L51" i="1"/>
  <c r="L49" i="1"/>
  <c r="L48" i="1"/>
  <c r="L47" i="1"/>
  <c r="L45" i="1"/>
  <c r="L44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19" i="1"/>
  <c r="L18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7" i="1"/>
  <c r="G56" i="1"/>
  <c r="G55" i="1"/>
  <c r="G54" i="1"/>
  <c r="G53" i="1"/>
  <c r="G52" i="1"/>
  <c r="G51" i="1"/>
  <c r="G49" i="1"/>
  <c r="G48" i="1"/>
  <c r="G47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5" i="1"/>
  <c r="G24" i="1"/>
  <c r="G23" i="1"/>
  <c r="G22" i="1"/>
  <c r="G19" i="1"/>
  <c r="G18" i="1"/>
  <c r="R21" i="1" l="1"/>
  <c r="Q21" i="1"/>
  <c r="P21" i="1"/>
  <c r="O21" i="1"/>
  <c r="N21" i="1"/>
  <c r="M21" i="1"/>
  <c r="K21" i="1"/>
  <c r="J21" i="1"/>
  <c r="I21" i="1"/>
  <c r="H21" i="1"/>
  <c r="E21" i="1"/>
  <c r="D21" i="1"/>
  <c r="D26" i="1"/>
  <c r="L21" i="1" l="1"/>
  <c r="G21" i="1"/>
  <c r="D20" i="1"/>
  <c r="X73" i="1"/>
  <c r="W73" i="1"/>
  <c r="W64" i="1" s="1"/>
  <c r="V73" i="1"/>
  <c r="V64" i="1" s="1"/>
  <c r="U73" i="1"/>
  <c r="T73" i="1"/>
  <c r="S73" i="1"/>
  <c r="R73" i="1"/>
  <c r="Q73" i="1"/>
  <c r="Q64" i="1" s="1"/>
  <c r="P73" i="1"/>
  <c r="P64" i="1" s="1"/>
  <c r="O73" i="1"/>
  <c r="O64" i="1" s="1"/>
  <c r="X64" i="1"/>
  <c r="U64" i="1"/>
  <c r="T64" i="1"/>
  <c r="S64" i="1"/>
  <c r="R64" i="1"/>
  <c r="O58" i="1"/>
  <c r="P58" i="1"/>
  <c r="Q58" i="1"/>
  <c r="R58" i="1"/>
  <c r="S58" i="1"/>
  <c r="T58" i="1"/>
  <c r="U58" i="1"/>
  <c r="V58" i="1"/>
  <c r="W58" i="1"/>
  <c r="X58" i="1"/>
  <c r="X50" i="1"/>
  <c r="X46" i="1" s="1"/>
  <c r="X43" i="1" s="1"/>
  <c r="W50" i="1"/>
  <c r="W46" i="1" s="1"/>
  <c r="W43" i="1" s="1"/>
  <c r="V50" i="1"/>
  <c r="V46" i="1" s="1"/>
  <c r="V43" i="1" s="1"/>
  <c r="U50" i="1"/>
  <c r="U46" i="1" s="1"/>
  <c r="U43" i="1" s="1"/>
  <c r="T50" i="1"/>
  <c r="S50" i="1"/>
  <c r="S46" i="1" s="1"/>
  <c r="S43" i="1" s="1"/>
  <c r="R50" i="1"/>
  <c r="R46" i="1" s="1"/>
  <c r="R43" i="1" s="1"/>
  <c r="Q50" i="1"/>
  <c r="Q46" i="1" s="1"/>
  <c r="Q43" i="1" s="1"/>
  <c r="P50" i="1"/>
  <c r="O50" i="1"/>
  <c r="O46" i="1" s="1"/>
  <c r="O43" i="1" s="1"/>
  <c r="N50" i="1"/>
  <c r="M50" i="1"/>
  <c r="T46" i="1"/>
  <c r="T43" i="1" s="1"/>
  <c r="P46" i="1"/>
  <c r="P43" i="1" s="1"/>
  <c r="N26" i="1"/>
  <c r="O26" i="1"/>
  <c r="P26" i="1"/>
  <c r="Q26" i="1"/>
  <c r="R26" i="1"/>
  <c r="S26" i="1"/>
  <c r="T26" i="1"/>
  <c r="U26" i="1"/>
  <c r="V26" i="1"/>
  <c r="W26" i="1"/>
  <c r="X26" i="1"/>
  <c r="Z26" i="1" s="1"/>
  <c r="P20" i="1"/>
  <c r="R20" i="1"/>
  <c r="S21" i="1"/>
  <c r="T21" i="1"/>
  <c r="T20" i="1" s="1"/>
  <c r="U21" i="1"/>
  <c r="V21" i="1"/>
  <c r="V20" i="1" s="1"/>
  <c r="W21" i="1"/>
  <c r="W20" i="1" s="1"/>
  <c r="X21" i="1"/>
  <c r="O17" i="1"/>
  <c r="P17" i="1"/>
  <c r="Q17" i="1"/>
  <c r="R17" i="1"/>
  <c r="S17" i="1"/>
  <c r="T17" i="1"/>
  <c r="U17" i="1"/>
  <c r="V17" i="1"/>
  <c r="W17" i="1"/>
  <c r="X17" i="1"/>
  <c r="N73" i="1"/>
  <c r="N64" i="1" s="1"/>
  <c r="N58" i="1"/>
  <c r="N46" i="1"/>
  <c r="N17" i="1"/>
  <c r="Z18" i="1"/>
  <c r="AD18" i="1" s="1"/>
  <c r="Z19" i="1"/>
  <c r="AD19" i="1" s="1"/>
  <c r="Z22" i="1"/>
  <c r="AD22" i="1" s="1"/>
  <c r="Z23" i="1"/>
  <c r="AD23" i="1" s="1"/>
  <c r="Z24" i="1"/>
  <c r="AD24" i="1" s="1"/>
  <c r="Z25" i="1"/>
  <c r="AD25" i="1" s="1"/>
  <c r="Z27" i="1"/>
  <c r="AD27" i="1" s="1"/>
  <c r="Z28" i="1"/>
  <c r="AD28" i="1" s="1"/>
  <c r="Z29" i="1"/>
  <c r="AD29" i="1" s="1"/>
  <c r="Z30" i="1"/>
  <c r="AD30" i="1" s="1"/>
  <c r="Z31" i="1"/>
  <c r="AD31" i="1" s="1"/>
  <c r="Z32" i="1"/>
  <c r="AD32" i="1" s="1"/>
  <c r="Z33" i="1"/>
  <c r="AD33" i="1" s="1"/>
  <c r="Z34" i="1"/>
  <c r="AD34" i="1" s="1"/>
  <c r="Z35" i="1"/>
  <c r="AD35" i="1" s="1"/>
  <c r="Z36" i="1"/>
  <c r="AD36" i="1" s="1"/>
  <c r="Z37" i="1"/>
  <c r="AD37" i="1" s="1"/>
  <c r="Z38" i="1"/>
  <c r="AD38" i="1" s="1"/>
  <c r="Z39" i="1"/>
  <c r="AD39" i="1" s="1"/>
  <c r="Z40" i="1"/>
  <c r="AD40" i="1" s="1"/>
  <c r="Z41" i="1"/>
  <c r="AD41" i="1" s="1"/>
  <c r="Z42" i="1"/>
  <c r="AD42" i="1" s="1"/>
  <c r="Z44" i="1"/>
  <c r="AD44" i="1" s="1"/>
  <c r="Z45" i="1"/>
  <c r="AD45" i="1" s="1"/>
  <c r="Z47" i="1"/>
  <c r="AD47" i="1" s="1"/>
  <c r="Z48" i="1"/>
  <c r="AD48" i="1" s="1"/>
  <c r="Z49" i="1"/>
  <c r="AD49" i="1" s="1"/>
  <c r="Z51" i="1"/>
  <c r="AD51" i="1" s="1"/>
  <c r="Z52" i="1"/>
  <c r="AD52" i="1" s="1"/>
  <c r="Z53" i="1"/>
  <c r="AD53" i="1" s="1"/>
  <c r="Z54" i="1"/>
  <c r="AD54" i="1" s="1"/>
  <c r="Z55" i="1"/>
  <c r="AD55" i="1" s="1"/>
  <c r="Z56" i="1"/>
  <c r="AD56" i="1" s="1"/>
  <c r="Z57" i="1"/>
  <c r="AD57" i="1" s="1"/>
  <c r="Z59" i="1"/>
  <c r="AD59" i="1" s="1"/>
  <c r="Z60" i="1"/>
  <c r="AD60" i="1" s="1"/>
  <c r="Z61" i="1"/>
  <c r="AD61" i="1" s="1"/>
  <c r="Z62" i="1"/>
  <c r="AD62" i="1" s="1"/>
  <c r="Z63" i="1"/>
  <c r="AD63" i="1" s="1"/>
  <c r="Z65" i="1"/>
  <c r="AD65" i="1" s="1"/>
  <c r="Z66" i="1"/>
  <c r="AD66" i="1" s="1"/>
  <c r="Z67" i="1"/>
  <c r="AD67" i="1" s="1"/>
  <c r="Z68" i="1"/>
  <c r="AD68" i="1" s="1"/>
  <c r="Z69" i="1"/>
  <c r="AD69" i="1" s="1"/>
  <c r="Z70" i="1"/>
  <c r="AD70" i="1" s="1"/>
  <c r="Z71" i="1"/>
  <c r="AD71" i="1" s="1"/>
  <c r="Z72" i="1"/>
  <c r="AD72" i="1" s="1"/>
  <c r="Z74" i="1"/>
  <c r="AD74" i="1" s="1"/>
  <c r="Z75" i="1"/>
  <c r="AD75" i="1" s="1"/>
  <c r="Z76" i="1"/>
  <c r="AD76" i="1" s="1"/>
  <c r="Z77" i="1"/>
  <c r="AD77" i="1" s="1"/>
  <c r="Z78" i="1"/>
  <c r="AD78" i="1" s="1"/>
  <c r="Z79" i="1"/>
  <c r="AD79" i="1" s="1"/>
  <c r="Z80" i="1"/>
  <c r="AD80" i="1" s="1"/>
  <c r="Z81" i="1"/>
  <c r="AD81" i="1" s="1"/>
  <c r="Z17" i="1"/>
  <c r="Y21" i="1" l="1"/>
  <c r="AC21" i="1" s="1"/>
  <c r="Z58" i="1"/>
  <c r="Z73" i="1"/>
  <c r="Z50" i="1"/>
  <c r="X20" i="1"/>
  <c r="X82" i="1" s="1"/>
  <c r="U20" i="1"/>
  <c r="S20" i="1"/>
  <c r="Q20" i="1"/>
  <c r="Q82" i="1" s="1"/>
  <c r="O20" i="1"/>
  <c r="O82" i="1" s="1"/>
  <c r="U82" i="1"/>
  <c r="T82" i="1"/>
  <c r="R82" i="1"/>
  <c r="S82" i="1"/>
  <c r="W82" i="1"/>
  <c r="V82" i="1"/>
  <c r="Z64" i="1"/>
  <c r="P82" i="1"/>
  <c r="Z21" i="1"/>
  <c r="AD21" i="1" s="1"/>
  <c r="N43" i="1"/>
  <c r="Z43" i="1" s="1"/>
  <c r="Z46" i="1"/>
  <c r="N20" i="1"/>
  <c r="I73" i="1"/>
  <c r="I58" i="1"/>
  <c r="AD58" i="1" s="1"/>
  <c r="I50" i="1"/>
  <c r="AD50" i="1" s="1"/>
  <c r="I26" i="1"/>
  <c r="AD26" i="1" s="1"/>
  <c r="I17" i="1"/>
  <c r="AD17" i="1" s="1"/>
  <c r="AD73" i="1" l="1"/>
  <c r="AE21" i="1"/>
  <c r="I46" i="1"/>
  <c r="AD46" i="1" s="1"/>
  <c r="I64" i="1"/>
  <c r="AD64" i="1" s="1"/>
  <c r="AA21" i="1"/>
  <c r="Z20" i="1"/>
  <c r="N82" i="1"/>
  <c r="Z82" i="1" s="1"/>
  <c r="I20" i="1"/>
  <c r="AD20" i="1" s="1"/>
  <c r="AG21" i="1" l="1"/>
  <c r="AB21" i="1"/>
  <c r="I43" i="1"/>
  <c r="AD43" i="1" s="1"/>
  <c r="J50" i="1"/>
  <c r="K50" i="1"/>
  <c r="K46" i="1" s="1"/>
  <c r="K43" i="1" s="1"/>
  <c r="H50" i="1"/>
  <c r="E50" i="1"/>
  <c r="E46" i="1" s="1"/>
  <c r="E43" i="1" s="1"/>
  <c r="D50" i="1"/>
  <c r="Y81" i="1"/>
  <c r="AC81" i="1" s="1"/>
  <c r="AE81" i="1" s="1"/>
  <c r="Y80" i="1"/>
  <c r="AC80" i="1" s="1"/>
  <c r="AE80" i="1" s="1"/>
  <c r="Y79" i="1"/>
  <c r="AC79" i="1" s="1"/>
  <c r="AE79" i="1" s="1"/>
  <c r="Y78" i="1"/>
  <c r="AC78" i="1" s="1"/>
  <c r="AE78" i="1" s="1"/>
  <c r="Y77" i="1"/>
  <c r="AC77" i="1" s="1"/>
  <c r="AE77" i="1" s="1"/>
  <c r="Y76" i="1"/>
  <c r="AC76" i="1" s="1"/>
  <c r="AE76" i="1" s="1"/>
  <c r="Y75" i="1"/>
  <c r="AC75" i="1" s="1"/>
  <c r="AE75" i="1" s="1"/>
  <c r="Y74" i="1"/>
  <c r="AC74" i="1" s="1"/>
  <c r="AE74" i="1" s="1"/>
  <c r="M73" i="1"/>
  <c r="Y73" i="1" s="1"/>
  <c r="K73" i="1"/>
  <c r="J73" i="1"/>
  <c r="L73" i="1" s="1"/>
  <c r="H73" i="1"/>
  <c r="E73" i="1"/>
  <c r="D73" i="1"/>
  <c r="Y72" i="1"/>
  <c r="AC72" i="1" s="1"/>
  <c r="AE72" i="1" s="1"/>
  <c r="Y71" i="1"/>
  <c r="AC71" i="1" s="1"/>
  <c r="AE71" i="1" s="1"/>
  <c r="Y70" i="1"/>
  <c r="AC70" i="1" s="1"/>
  <c r="AE70" i="1" s="1"/>
  <c r="Y69" i="1"/>
  <c r="AC69" i="1" s="1"/>
  <c r="AE69" i="1" s="1"/>
  <c r="Y68" i="1"/>
  <c r="AC68" i="1" s="1"/>
  <c r="AE68" i="1" s="1"/>
  <c r="Y67" i="1"/>
  <c r="AC67" i="1" s="1"/>
  <c r="AE67" i="1" s="1"/>
  <c r="Y66" i="1"/>
  <c r="AC66" i="1" s="1"/>
  <c r="AE66" i="1" s="1"/>
  <c r="Y65" i="1"/>
  <c r="AC65" i="1" s="1"/>
  <c r="AE65" i="1" s="1"/>
  <c r="K64" i="1"/>
  <c r="E64" i="1"/>
  <c r="Y63" i="1"/>
  <c r="AC63" i="1" s="1"/>
  <c r="AE63" i="1" s="1"/>
  <c r="Y62" i="1"/>
  <c r="AC62" i="1" s="1"/>
  <c r="AE62" i="1" s="1"/>
  <c r="Y61" i="1"/>
  <c r="AC61" i="1" s="1"/>
  <c r="AE61" i="1" s="1"/>
  <c r="Y60" i="1"/>
  <c r="AC60" i="1" s="1"/>
  <c r="AE60" i="1" s="1"/>
  <c r="Y59" i="1"/>
  <c r="AC59" i="1" s="1"/>
  <c r="AE59" i="1" s="1"/>
  <c r="M58" i="1"/>
  <c r="Y58" i="1" s="1"/>
  <c r="K58" i="1"/>
  <c r="J58" i="1"/>
  <c r="H58" i="1"/>
  <c r="E58" i="1"/>
  <c r="D58" i="1"/>
  <c r="Y57" i="1"/>
  <c r="AC57" i="1" s="1"/>
  <c r="AE57" i="1" s="1"/>
  <c r="Y56" i="1"/>
  <c r="AC56" i="1" s="1"/>
  <c r="AE56" i="1" s="1"/>
  <c r="Y55" i="1"/>
  <c r="AC55" i="1" s="1"/>
  <c r="AE55" i="1" s="1"/>
  <c r="Y54" i="1"/>
  <c r="AC54" i="1" s="1"/>
  <c r="AE54" i="1" s="1"/>
  <c r="Y53" i="1"/>
  <c r="AC53" i="1" s="1"/>
  <c r="AE53" i="1" s="1"/>
  <c r="Y52" i="1"/>
  <c r="AC52" i="1" s="1"/>
  <c r="AE52" i="1" s="1"/>
  <c r="Y51" i="1"/>
  <c r="AC51" i="1" s="1"/>
  <c r="AE51" i="1" s="1"/>
  <c r="Y50" i="1"/>
  <c r="Y49" i="1"/>
  <c r="AC49" i="1" s="1"/>
  <c r="AE49" i="1" s="1"/>
  <c r="Y48" i="1"/>
  <c r="AC48" i="1" s="1"/>
  <c r="AE48" i="1" s="1"/>
  <c r="Y47" i="1"/>
  <c r="AC47" i="1" s="1"/>
  <c r="AE47" i="1" s="1"/>
  <c r="M46" i="1"/>
  <c r="Y46" i="1" s="1"/>
  <c r="J46" i="1"/>
  <c r="H46" i="1"/>
  <c r="D46" i="1"/>
  <c r="Y45" i="1"/>
  <c r="AC45" i="1" s="1"/>
  <c r="AE45" i="1" s="1"/>
  <c r="Y44" i="1"/>
  <c r="AC44" i="1" s="1"/>
  <c r="AE44" i="1" s="1"/>
  <c r="Y42" i="1"/>
  <c r="AC42" i="1" s="1"/>
  <c r="AE42" i="1" s="1"/>
  <c r="Y41" i="1"/>
  <c r="AC41" i="1" s="1"/>
  <c r="AE41" i="1" s="1"/>
  <c r="Y40" i="1"/>
  <c r="AC40" i="1" s="1"/>
  <c r="AE40" i="1" s="1"/>
  <c r="Y39" i="1"/>
  <c r="AC39" i="1" s="1"/>
  <c r="AE39" i="1" s="1"/>
  <c r="Y38" i="1"/>
  <c r="AC38" i="1" s="1"/>
  <c r="AE38" i="1" s="1"/>
  <c r="Y37" i="1"/>
  <c r="AC37" i="1" s="1"/>
  <c r="AE37" i="1" s="1"/>
  <c r="Y36" i="1"/>
  <c r="AC36" i="1" s="1"/>
  <c r="AE36" i="1" s="1"/>
  <c r="Y35" i="1"/>
  <c r="AC35" i="1" s="1"/>
  <c r="AE35" i="1" s="1"/>
  <c r="Y34" i="1"/>
  <c r="AC34" i="1" s="1"/>
  <c r="AE34" i="1" s="1"/>
  <c r="Y33" i="1"/>
  <c r="AC33" i="1" s="1"/>
  <c r="AE33" i="1" s="1"/>
  <c r="Y32" i="1"/>
  <c r="AC32" i="1" s="1"/>
  <c r="AE32" i="1" s="1"/>
  <c r="Y31" i="1"/>
  <c r="AC31" i="1" s="1"/>
  <c r="AE31" i="1" s="1"/>
  <c r="Y30" i="1"/>
  <c r="AC30" i="1" s="1"/>
  <c r="AE30" i="1" s="1"/>
  <c r="Y29" i="1"/>
  <c r="AC29" i="1" s="1"/>
  <c r="AE29" i="1" s="1"/>
  <c r="Y28" i="1"/>
  <c r="AC28" i="1" s="1"/>
  <c r="AE28" i="1" s="1"/>
  <c r="Y27" i="1"/>
  <c r="AC27" i="1" s="1"/>
  <c r="AE27" i="1" s="1"/>
  <c r="M26" i="1"/>
  <c r="Y26" i="1" s="1"/>
  <c r="K26" i="1"/>
  <c r="J26" i="1"/>
  <c r="H26" i="1"/>
  <c r="E26" i="1"/>
  <c r="E20" i="1" s="1"/>
  <c r="Y25" i="1"/>
  <c r="AC25" i="1" s="1"/>
  <c r="AE25" i="1" s="1"/>
  <c r="Y24" i="1"/>
  <c r="AC24" i="1" s="1"/>
  <c r="AE24" i="1" s="1"/>
  <c r="Y23" i="1"/>
  <c r="AC23" i="1" s="1"/>
  <c r="AE23" i="1" s="1"/>
  <c r="Y22" i="1"/>
  <c r="AC22" i="1" s="1"/>
  <c r="AE22" i="1" s="1"/>
  <c r="Y19" i="1"/>
  <c r="AC19" i="1" s="1"/>
  <c r="AE19" i="1" s="1"/>
  <c r="Y18" i="1"/>
  <c r="AC18" i="1" s="1"/>
  <c r="AE18" i="1" s="1"/>
  <c r="M17" i="1"/>
  <c r="K17" i="1"/>
  <c r="J17" i="1"/>
  <c r="H17" i="1"/>
  <c r="E17" i="1"/>
  <c r="D17" i="1"/>
  <c r="C9" i="1"/>
  <c r="D9" i="1" s="1"/>
  <c r="E9" i="1" s="1"/>
  <c r="F9" i="1" s="1"/>
  <c r="G9" i="1" s="1"/>
  <c r="H9" i="1" s="1"/>
  <c r="L46" i="1" l="1"/>
  <c r="L26" i="1"/>
  <c r="L50" i="1"/>
  <c r="G17" i="1"/>
  <c r="G46" i="1"/>
  <c r="AC46" i="1"/>
  <c r="AE46" i="1" s="1"/>
  <c r="G58" i="1"/>
  <c r="AC58" i="1"/>
  <c r="AE58" i="1" s="1"/>
  <c r="I82" i="1"/>
  <c r="AD82" i="1" s="1"/>
  <c r="L17" i="1"/>
  <c r="G26" i="1"/>
  <c r="AC26" i="1"/>
  <c r="AE26" i="1" s="1"/>
  <c r="L58" i="1"/>
  <c r="G50" i="1"/>
  <c r="AC50" i="1"/>
  <c r="AE50" i="1" s="1"/>
  <c r="AA73" i="1"/>
  <c r="AC73" i="1"/>
  <c r="AE73" i="1" s="1"/>
  <c r="H64" i="1"/>
  <c r="G73" i="1"/>
  <c r="AA26" i="1"/>
  <c r="AA58" i="1"/>
  <c r="AG58" i="1" s="1"/>
  <c r="J64" i="1"/>
  <c r="L64" i="1" s="1"/>
  <c r="AB73" i="1"/>
  <c r="M64" i="1"/>
  <c r="Y64" i="1" s="1"/>
  <c r="AA64" i="1" s="1"/>
  <c r="M43" i="1"/>
  <c r="Y43" i="1" s="1"/>
  <c r="K20" i="1"/>
  <c r="K82" i="1" s="1"/>
  <c r="D64" i="1"/>
  <c r="D43" i="1"/>
  <c r="AA19" i="1"/>
  <c r="AA23" i="1"/>
  <c r="AA25" i="1"/>
  <c r="AA27" i="1"/>
  <c r="AA29" i="1"/>
  <c r="AA31" i="1"/>
  <c r="AA33" i="1"/>
  <c r="AA35" i="1"/>
  <c r="AA37" i="1"/>
  <c r="AA39" i="1"/>
  <c r="AA42" i="1"/>
  <c r="AA44" i="1"/>
  <c r="AA46" i="1"/>
  <c r="AG46" i="1" s="1"/>
  <c r="AA48" i="1"/>
  <c r="AA50" i="1"/>
  <c r="AA52" i="1"/>
  <c r="AA54" i="1"/>
  <c r="AA56" i="1"/>
  <c r="AA60" i="1"/>
  <c r="AA62" i="1"/>
  <c r="AA66" i="1"/>
  <c r="AA68" i="1"/>
  <c r="AA70" i="1"/>
  <c r="AA72" i="1"/>
  <c r="AA74" i="1"/>
  <c r="AA76" i="1"/>
  <c r="AA78" i="1"/>
  <c r="AA80" i="1"/>
  <c r="AA18" i="1"/>
  <c r="AA22" i="1"/>
  <c r="AA24" i="1"/>
  <c r="AA28" i="1"/>
  <c r="AA30" i="1"/>
  <c r="AA32" i="1"/>
  <c r="AA34" i="1"/>
  <c r="AA36" i="1"/>
  <c r="AA38" i="1"/>
  <c r="AA40" i="1"/>
  <c r="AA41" i="1"/>
  <c r="AA45" i="1"/>
  <c r="AA47" i="1"/>
  <c r="AA49" i="1"/>
  <c r="AA51" i="1"/>
  <c r="AA53" i="1"/>
  <c r="AA55" i="1"/>
  <c r="AA57" i="1"/>
  <c r="AA59" i="1"/>
  <c r="AA61" i="1"/>
  <c r="AA63" i="1"/>
  <c r="AA65" i="1"/>
  <c r="AA67" i="1"/>
  <c r="AA69" i="1"/>
  <c r="AA71" i="1"/>
  <c r="AA75" i="1"/>
  <c r="AA77" i="1"/>
  <c r="AA79" i="1"/>
  <c r="AA81" i="1"/>
  <c r="Z9" i="1"/>
  <c r="AA9" i="1" s="1"/>
  <c r="AB9" i="1" s="1"/>
  <c r="J43" i="1"/>
  <c r="L43" i="1" s="1"/>
  <c r="H43" i="1"/>
  <c r="M20" i="1"/>
  <c r="Y20" i="1" s="1"/>
  <c r="J20" i="1"/>
  <c r="L20" i="1" s="1"/>
  <c r="E82" i="1"/>
  <c r="H20" i="1"/>
  <c r="Y17" i="1"/>
  <c r="AC17" i="1" s="1"/>
  <c r="G20" i="1" l="1"/>
  <c r="AC20" i="1"/>
  <c r="AE20" i="1" s="1"/>
  <c r="G43" i="1"/>
  <c r="AC43" i="1"/>
  <c r="AE43" i="1" s="1"/>
  <c r="G64" i="1"/>
  <c r="AC64" i="1"/>
  <c r="AE64" i="1" s="1"/>
  <c r="AA20" i="1"/>
  <c r="AB71" i="1"/>
  <c r="AG71" i="1"/>
  <c r="AB67" i="1"/>
  <c r="AG67" i="1"/>
  <c r="AG63" i="1"/>
  <c r="AB63" i="1"/>
  <c r="AG59" i="1"/>
  <c r="AB59" i="1"/>
  <c r="AG55" i="1"/>
  <c r="AB55" i="1"/>
  <c r="AG51" i="1"/>
  <c r="AB51" i="1"/>
  <c r="AG47" i="1"/>
  <c r="AB47" i="1"/>
  <c r="AG41" i="1"/>
  <c r="AB41" i="1"/>
  <c r="AB38" i="1"/>
  <c r="AG38" i="1"/>
  <c r="AB34" i="1"/>
  <c r="AG34" i="1"/>
  <c r="AB30" i="1"/>
  <c r="AG30" i="1"/>
  <c r="AB24" i="1"/>
  <c r="AG24" i="1"/>
  <c r="AB18" i="1"/>
  <c r="AG18" i="1"/>
  <c r="AG70" i="1"/>
  <c r="AB70" i="1"/>
  <c r="AG66" i="1"/>
  <c r="AB66" i="1"/>
  <c r="AB60" i="1"/>
  <c r="AG60" i="1"/>
  <c r="AB54" i="1"/>
  <c r="AG54" i="1"/>
  <c r="AB42" i="1"/>
  <c r="AG42" i="1"/>
  <c r="AG37" i="1"/>
  <c r="AB37" i="1"/>
  <c r="AB33" i="1"/>
  <c r="AG33" i="1"/>
  <c r="AB29" i="1"/>
  <c r="AG29" i="1"/>
  <c r="AB25" i="1"/>
  <c r="AG25" i="1"/>
  <c r="AB19" i="1"/>
  <c r="AG19" i="1"/>
  <c r="AB46" i="1"/>
  <c r="AB50" i="1"/>
  <c r="AB26" i="1"/>
  <c r="AG26" i="1"/>
  <c r="AE17" i="1"/>
  <c r="AB20" i="1"/>
  <c r="AG20" i="1"/>
  <c r="AB69" i="1"/>
  <c r="AG69" i="1"/>
  <c r="AB65" i="1"/>
  <c r="AG65" i="1"/>
  <c r="AG61" i="1"/>
  <c r="AB61" i="1"/>
  <c r="AG57" i="1"/>
  <c r="AB57" i="1"/>
  <c r="AG53" i="1"/>
  <c r="AB53" i="1"/>
  <c r="AG49" i="1"/>
  <c r="AB49" i="1"/>
  <c r="AG45" i="1"/>
  <c r="AB45" i="1"/>
  <c r="AB40" i="1"/>
  <c r="AG40" i="1"/>
  <c r="AB36" i="1"/>
  <c r="AG36" i="1"/>
  <c r="AG32" i="1"/>
  <c r="AB32" i="1"/>
  <c r="AG28" i="1"/>
  <c r="AB28" i="1"/>
  <c r="AG22" i="1"/>
  <c r="AB22" i="1"/>
  <c r="AG72" i="1"/>
  <c r="AB72" i="1"/>
  <c r="AG68" i="1"/>
  <c r="AB68" i="1"/>
  <c r="AB62" i="1"/>
  <c r="AG62" i="1"/>
  <c r="AB56" i="1"/>
  <c r="AG56" i="1"/>
  <c r="AB52" i="1"/>
  <c r="AG52" i="1"/>
  <c r="AB48" i="1"/>
  <c r="AG48" i="1"/>
  <c r="AB44" i="1"/>
  <c r="AG44" i="1"/>
  <c r="AG39" i="1"/>
  <c r="AB39" i="1"/>
  <c r="AG35" i="1"/>
  <c r="AB35" i="1"/>
  <c r="AG31" i="1"/>
  <c r="AB31" i="1"/>
  <c r="AG27" i="1"/>
  <c r="AB27" i="1"/>
  <c r="AG23" i="1"/>
  <c r="AB23" i="1"/>
  <c r="AA43" i="1"/>
  <c r="AB43" i="1" s="1"/>
  <c r="AB58" i="1"/>
  <c r="AG50" i="1"/>
  <c r="AG81" i="1"/>
  <c r="AB81" i="1"/>
  <c r="AG79" i="1"/>
  <c r="AB79" i="1"/>
  <c r="AG75" i="1"/>
  <c r="AB75" i="1"/>
  <c r="AB80" i="1"/>
  <c r="AG80" i="1"/>
  <c r="AB76" i="1"/>
  <c r="AG76" i="1"/>
  <c r="AG64" i="1"/>
  <c r="AG73" i="1"/>
  <c r="AG77" i="1"/>
  <c r="AB77" i="1"/>
  <c r="AB78" i="1"/>
  <c r="AG78" i="1"/>
  <c r="AB74" i="1"/>
  <c r="AG74" i="1"/>
  <c r="AB64" i="1"/>
  <c r="H82" i="1"/>
  <c r="M82" i="1"/>
  <c r="Y82" i="1" s="1"/>
  <c r="AA82" i="1" s="1"/>
  <c r="AA17" i="1"/>
  <c r="AG17" i="1" s="1"/>
  <c r="J82" i="1"/>
  <c r="L82" i="1" s="1"/>
  <c r="AD9" i="1"/>
  <c r="AE9" i="1" s="1"/>
  <c r="AF9" i="1" s="1"/>
  <c r="AG9" i="1" s="1"/>
  <c r="D82" i="1"/>
  <c r="AG82" i="1" l="1"/>
  <c r="G82" i="1"/>
  <c r="AC82" i="1"/>
  <c r="AE82" i="1" s="1"/>
  <c r="AG43" i="1"/>
  <c r="AB82" i="1"/>
  <c r="AB17" i="1"/>
</calcChain>
</file>

<file path=xl/sharedStrings.xml><?xml version="1.0" encoding="utf-8"?>
<sst xmlns="http://schemas.openxmlformats.org/spreadsheetml/2006/main" count="511" uniqueCount="146">
  <si>
    <t>Оперативна інформація</t>
  </si>
  <si>
    <t>тис.грн.</t>
  </si>
  <si>
    <t>Заплановані показники</t>
  </si>
  <si>
    <t>Залишок коштів станом на 1 січня 2013</t>
  </si>
  <si>
    <t>Проведено   казначейством  платежів  у 2013 році</t>
  </si>
  <si>
    <t>Всього на 2013 рік (проект)</t>
  </si>
  <si>
    <t>Всього</t>
  </si>
  <si>
    <t xml:space="preserve"> в тому числі на:</t>
  </si>
  <si>
    <t xml:space="preserve"> у тому числі  на:</t>
  </si>
  <si>
    <t>Всього у 2013 році</t>
  </si>
  <si>
    <t>в тому числі</t>
  </si>
  <si>
    <t>Разом</t>
  </si>
  <si>
    <t>за платежами 2012 р.</t>
  </si>
  <si>
    <r>
      <t xml:space="preserve"> </t>
    </r>
    <r>
      <rPr>
        <b/>
        <u/>
        <sz val="11"/>
        <color indexed="8"/>
        <rFont val="Times New Roman"/>
        <family val="1"/>
        <charset val="204"/>
      </rPr>
      <t>І</t>
    </r>
    <r>
      <rPr>
        <b/>
        <i/>
        <u/>
        <sz val="11"/>
        <color indexed="8"/>
        <rFont val="Times New Roman"/>
        <family val="1"/>
        <charset val="204"/>
      </rPr>
      <t>.   Доходи</t>
    </r>
  </si>
  <si>
    <t>Залишок коштів</t>
  </si>
  <si>
    <t>Х</t>
  </si>
  <si>
    <t>Поточні надходження -всього, в т.ч.</t>
  </si>
  <si>
    <t xml:space="preserve"> - єдиний соціальний внесок</t>
  </si>
  <si>
    <t>Відсотки від розміщення ТВК</t>
  </si>
  <si>
    <t>Всього доходів разом із залишком</t>
  </si>
  <si>
    <r>
      <t xml:space="preserve"> </t>
    </r>
    <r>
      <rPr>
        <b/>
        <i/>
        <u/>
        <sz val="11"/>
        <color indexed="8"/>
        <rFont val="Times New Roman"/>
        <family val="1"/>
        <charset val="204"/>
      </rPr>
      <t>ІІ.  Видатки</t>
    </r>
  </si>
  <si>
    <t>Страхові виплати застрахованим особам  - всього, вт.ч.</t>
  </si>
  <si>
    <t>х</t>
  </si>
  <si>
    <t xml:space="preserve">  - одноразові виплати</t>
  </si>
  <si>
    <t xml:space="preserve">- щомісячна виплата </t>
  </si>
  <si>
    <r>
      <t>Інші виплати</t>
    </r>
    <r>
      <rPr>
        <sz val="12"/>
        <color indexed="8"/>
        <rFont val="Times New Roman"/>
        <family val="1"/>
        <charset val="204"/>
      </rPr>
      <t xml:space="preserve"> </t>
    </r>
    <r>
      <rPr>
        <b/>
        <sz val="12"/>
        <color indexed="8"/>
        <rFont val="Times New Roman"/>
        <family val="1"/>
        <charset val="204"/>
      </rPr>
      <t xml:space="preserve">застрахованим особам  - всього в т.ч. </t>
    </r>
  </si>
  <si>
    <t>2.1</t>
  </si>
  <si>
    <t>Виплати застрахованим всього, в т.ч.</t>
  </si>
  <si>
    <t>Тимчасову втрату працездатності</t>
  </si>
  <si>
    <t>Тимчасове переведення на легшу роботу</t>
  </si>
  <si>
    <t>Витрати на поховання потерпілого</t>
  </si>
  <si>
    <t>Витрати на відшкодування грошової суми за моральну (немайнову) шкоду за зобов'язаннями минулих років, що виникли до 23.02.2007 року</t>
  </si>
  <si>
    <t>2.2</t>
  </si>
  <si>
    <t>Медична, професійна та соціальна реабілітація потерпілих на виробництві</t>
  </si>
  <si>
    <t>Витрати на лікування потерпілих на виробництві та їх медичну реабілітацію</t>
  </si>
  <si>
    <t xml:space="preserve">Витрати на санаторно-курортне лікування </t>
  </si>
  <si>
    <t xml:space="preserve">Витрати на технічні та інші засоби реабілітації </t>
  </si>
  <si>
    <t>Витрати на зубопротезування</t>
  </si>
  <si>
    <t>Витрати на очне протезування,придбання окулярів і контактних лінз</t>
  </si>
  <si>
    <t>Витрати на слухові апарати</t>
  </si>
  <si>
    <t xml:space="preserve">Витрати на лікарські засоби та вироби медичного призначення </t>
  </si>
  <si>
    <t>Витрати на додаткове харчування</t>
  </si>
  <si>
    <t>Витрати на професійне навчання або перекваліфікацію за індивідуальними програмами  реабілітації потерпілих та інші витрати</t>
  </si>
  <si>
    <t>Витрати на спеціальний медичний догляд</t>
  </si>
  <si>
    <t>Витрати на постійний сторонній догляд</t>
  </si>
  <si>
    <t>Витрати на побутове обслуговування</t>
  </si>
  <si>
    <t>Витрати на придбання спеціальних засобів пересування (коляски)</t>
  </si>
  <si>
    <t>Витрати на соціальну реабілітацію потерпілих, в тому числі разова грошова допомога непрацюючим інвалідам</t>
  </si>
  <si>
    <t>Компенсація витрат на бензин, ремонт і технічне обслуговування автомобілів та на транспортне обслуговування інвалідів</t>
  </si>
  <si>
    <t>Витрати пов"язані з забезпеченням інвалідів автомобілями</t>
  </si>
  <si>
    <t>Адміністративно - госп. видатки</t>
  </si>
  <si>
    <t>3.1</t>
  </si>
  <si>
    <t xml:space="preserve">Оплата праці      </t>
  </si>
  <si>
    <t>3.2</t>
  </si>
  <si>
    <t>Нарахування на заробітну плату</t>
  </si>
  <si>
    <t>3.3</t>
  </si>
  <si>
    <t>Використання товарів і послуг</t>
  </si>
  <si>
    <t>Предмети, матеріали,обладнання та інвентар</t>
  </si>
  <si>
    <t>Оплата послуг (крім комунальних)</t>
  </si>
  <si>
    <t>Видатки на відрядження</t>
  </si>
  <si>
    <t>Оплата комунальних послуг та енергоносіїв</t>
  </si>
  <si>
    <t>Оплата теплопостачання</t>
  </si>
  <si>
    <t xml:space="preserve">Оплата водопостачання і водовідведення </t>
  </si>
  <si>
    <t>Оплата електроенергії</t>
  </si>
  <si>
    <t>Оплата природного газу</t>
  </si>
  <si>
    <t>Оплата інших енергоносіїв</t>
  </si>
  <si>
    <t>Окремі заходи по реалізації державних (регіональних) програм, не віднесені до заходів розвитку</t>
  </si>
  <si>
    <t>3.4</t>
  </si>
  <si>
    <t>Інші поточні видатки</t>
  </si>
  <si>
    <t>Капітальні видатки</t>
  </si>
  <si>
    <t>Придбання обладнання і предметів довгострокового користування</t>
  </si>
  <si>
    <t>Капітальне будівництво (придбання)</t>
  </si>
  <si>
    <t>Капітальний ремонт</t>
  </si>
  <si>
    <t>Реконструкція та реставрація</t>
  </si>
  <si>
    <t>Придбання землі та нематеріальних активів</t>
  </si>
  <si>
    <t>Інші видатки на статутні напрями</t>
  </si>
  <si>
    <t>5.1</t>
  </si>
  <si>
    <t xml:space="preserve">Відшкодування Пенсійному Фонду </t>
  </si>
  <si>
    <t>5.2</t>
  </si>
  <si>
    <t xml:space="preserve">Видатки по перерахуванню коштів (обслуговування банківськими установами та УДППЗ "Укрпошта") </t>
  </si>
  <si>
    <t>5.3</t>
  </si>
  <si>
    <t>Судові витрати та виконавчий збір</t>
  </si>
  <si>
    <t>5.4</t>
  </si>
  <si>
    <t>Витрати  на забезпечення діяльності по обслуговуванню потерпілих та інвалідів</t>
  </si>
  <si>
    <t>5.5</t>
  </si>
  <si>
    <t>Витрати для створення лікувально-профілактичної бази Фонду</t>
  </si>
  <si>
    <t>5.6</t>
  </si>
  <si>
    <t>Витрати на заходи по координації роботи із страхувальниками</t>
  </si>
  <si>
    <t>5.7</t>
  </si>
  <si>
    <t>Витрати на виконання інших робіт, пов’язаних з координацією страхової діяльності</t>
  </si>
  <si>
    <t>5.8</t>
  </si>
  <si>
    <t xml:space="preserve">Забезпечення роботи правління та наглядової ради Фонду </t>
  </si>
  <si>
    <t>5.9</t>
  </si>
  <si>
    <t>Профілактика нещасних випадків на виробництві та професійних захворювань</t>
  </si>
  <si>
    <t>Фінансування заходів, передбачених Загальнодержавною (Національною) програмою поліпшення стану безпеки, умов  праці і виробничого середовища</t>
  </si>
  <si>
    <t>Фінансування заходів, передбачених регіональними  програмами поліпшення стану безпеки, умов  праці і виробничого середовища</t>
  </si>
  <si>
    <t>Фінансування заходів, передбачених галузевими  програмами поліпшення стану безпеки, умов  праці і виробничого середовища</t>
  </si>
  <si>
    <t>Фінансування видатків на навчання та підвищення рівня знань спеціалістів, які вирішують питання охорони праці</t>
  </si>
  <si>
    <t>Фінансування видатків на організацію розроблення та виробництва засобів індивідуального захисту працівників</t>
  </si>
  <si>
    <t>Фінансування заходів з пропаганди безпечних та нешкідливих умов праці</t>
  </si>
  <si>
    <t>Фінансування інших профілактичних заходів відповідно до завдань страхування від нещасних випадків</t>
  </si>
  <si>
    <t>Нерозподілені кошти (резерв)</t>
  </si>
  <si>
    <t xml:space="preserve">         Всього видатків </t>
  </si>
  <si>
    <t>за платежами березня</t>
  </si>
  <si>
    <t>Разом січень-квітень</t>
  </si>
  <si>
    <t>у т.ч. на квітень 2013 р. (із змінами)</t>
  </si>
  <si>
    <t>квітень</t>
  </si>
  <si>
    <t>01.01.13-01.04.13</t>
  </si>
  <si>
    <t>за 1 квітня</t>
  </si>
  <si>
    <t>за 2 квітня</t>
  </si>
  <si>
    <t>за 3 квітня</t>
  </si>
  <si>
    <t>за 4 квітня</t>
  </si>
  <si>
    <t>за 5 квітня</t>
  </si>
  <si>
    <t>за платежами квітня</t>
  </si>
  <si>
    <t>за 8 квітня</t>
  </si>
  <si>
    <t xml:space="preserve"> за днями квітня</t>
  </si>
  <si>
    <t>за І квартал</t>
  </si>
  <si>
    <t>за платежами за І квартал</t>
  </si>
  <si>
    <r>
      <t xml:space="preserve">Разом за І кв-л </t>
    </r>
    <r>
      <rPr>
        <sz val="18"/>
        <color indexed="8"/>
        <rFont val="Times New Roman"/>
        <family val="1"/>
        <charset val="204"/>
      </rPr>
      <t>(к.10+к.11)</t>
    </r>
  </si>
  <si>
    <t>13.А</t>
  </si>
  <si>
    <t>14.А</t>
  </si>
  <si>
    <t>13.Б</t>
  </si>
  <si>
    <t>14.Б</t>
  </si>
  <si>
    <t>13.В</t>
  </si>
  <si>
    <t>14.В</t>
  </si>
  <si>
    <t>13.Г</t>
  </si>
  <si>
    <t>14.Г</t>
  </si>
  <si>
    <t>13.Д</t>
  </si>
  <si>
    <t>14.Д</t>
  </si>
  <si>
    <r>
      <t xml:space="preserve">всього за платежами березня </t>
    </r>
    <r>
      <rPr>
        <sz val="16"/>
        <color indexed="8"/>
        <rFont val="Times New Roman"/>
        <family val="1"/>
        <charset val="204"/>
      </rPr>
      <t>(к.13+...к.13Д)</t>
    </r>
  </si>
  <si>
    <r>
      <t>всього за днями квітня</t>
    </r>
    <r>
      <rPr>
        <sz val="16"/>
        <color indexed="8"/>
        <rFont val="Times New Roman"/>
        <family val="1"/>
        <charset val="204"/>
      </rPr>
      <t>(к.14+...к.14Д)</t>
    </r>
  </si>
  <si>
    <r>
      <t>Разом за квітень</t>
    </r>
    <r>
      <rPr>
        <b/>
        <sz val="18"/>
        <rFont val="Times New Roman"/>
        <family val="1"/>
        <charset val="204"/>
      </rPr>
      <t xml:space="preserve"> </t>
    </r>
    <r>
      <rPr>
        <sz val="18"/>
        <rFont val="Times New Roman"/>
        <family val="1"/>
        <charset val="204"/>
      </rPr>
      <t>(к.15.+к.16)</t>
    </r>
  </si>
  <si>
    <t>(к.12+к.17)</t>
  </si>
  <si>
    <t>(к.8 -к.11-к.15)</t>
  </si>
  <si>
    <t>(к.9-к.16)</t>
  </si>
  <si>
    <t>(к.19+к.20)</t>
  </si>
  <si>
    <t>(к.4-к.12-к.17)</t>
  </si>
  <si>
    <t xml:space="preserve">В.о.начальника управління               </t>
  </si>
  <si>
    <t>Матковський А.Б.</t>
  </si>
  <si>
    <t>Литвин О.З.</t>
  </si>
  <si>
    <t>Головний бухгалтер</t>
  </si>
  <si>
    <r>
      <t xml:space="preserve">щодо  фінансування  платежів  управління виконавчої  дирекції Фонду  в Тернопільській області  органами Державної казначейської служби за 2013 рік станом  </t>
    </r>
    <r>
      <rPr>
        <b/>
        <u/>
        <sz val="20"/>
        <color indexed="8"/>
        <rFont val="Times New Roman"/>
        <family val="1"/>
        <charset val="204"/>
      </rPr>
      <t>на 04.04.2013 за 03.04.2013 р.</t>
    </r>
  </si>
  <si>
    <t>Подано платежів  станом  на 04.04.2013</t>
  </si>
  <si>
    <t>Залишок не проведених  казначейством платежів станом  на 04.04.2013</t>
  </si>
  <si>
    <t>Залишок коштів станом на 04.04. 2013</t>
  </si>
  <si>
    <t>Відхилення плану січня-квітня станом  на 04.04.2013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</si>
</sst>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6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20"/>
      <color theme="1"/>
      <name val="Times New Roman"/>
      <family val="1"/>
      <charset val="204"/>
    </font>
    <font>
      <b/>
      <u/>
      <sz val="20"/>
      <color indexed="8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7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b/>
      <i/>
      <u/>
      <sz val="11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20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b/>
      <i/>
      <sz val="2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Fill="1"/>
    <xf numFmtId="0" fontId="0" fillId="0" borderId="0" xfId="0" applyFont="1" applyFill="1"/>
    <xf numFmtId="164" fontId="14" fillId="0" borderId="15" xfId="0" applyNumberFormat="1" applyFont="1" applyFill="1" applyBorder="1" applyAlignment="1">
      <alignment horizontal="center" vertical="center" wrapText="1"/>
    </xf>
    <xf numFmtId="164" fontId="14" fillId="0" borderId="36" xfId="0" applyNumberFormat="1" applyFont="1" applyFill="1" applyBorder="1" applyAlignment="1">
      <alignment horizontal="center" vertical="center" wrapText="1"/>
    </xf>
    <xf numFmtId="164" fontId="14" fillId="0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23" xfId="0" applyFont="1" applyFill="1" applyBorder="1" applyAlignment="1">
      <alignment horizontal="center" vertical="center" shrinkToFit="1"/>
    </xf>
    <xf numFmtId="0" fontId="14" fillId="0" borderId="25" xfId="0" applyFont="1" applyFill="1" applyBorder="1" applyAlignment="1">
      <alignment horizontal="center" vertical="center" shrinkToFit="1"/>
    </xf>
    <xf numFmtId="0" fontId="14" fillId="0" borderId="21" xfId="0" applyFont="1" applyFill="1" applyBorder="1" applyAlignment="1">
      <alignment horizontal="center" vertical="center" wrapText="1"/>
    </xf>
    <xf numFmtId="164" fontId="14" fillId="0" borderId="12" xfId="0" applyNumberFormat="1" applyFont="1" applyFill="1" applyBorder="1" applyAlignment="1" applyProtection="1">
      <alignment horizontal="center" vertical="center" wrapText="1"/>
    </xf>
    <xf numFmtId="0" fontId="14" fillId="0" borderId="26" xfId="0" applyFont="1" applyFill="1" applyBorder="1" applyAlignment="1">
      <alignment horizontal="center" vertical="center" shrinkToFit="1"/>
    </xf>
    <xf numFmtId="0" fontId="15" fillId="0" borderId="24" xfId="0" applyFont="1" applyFill="1" applyBorder="1" applyAlignment="1">
      <alignment vertical="center" wrapText="1"/>
    </xf>
    <xf numFmtId="164" fontId="15" fillId="0" borderId="27" xfId="0" applyNumberFormat="1" applyFont="1" applyFill="1" applyBorder="1" applyAlignment="1" applyProtection="1">
      <alignment horizontal="center" vertical="center" wrapText="1"/>
    </xf>
    <xf numFmtId="0" fontId="14" fillId="0" borderId="23" xfId="0" applyFont="1" applyFill="1" applyBorder="1" applyAlignment="1">
      <alignment horizontal="center" vertical="center" shrinkToFit="1"/>
    </xf>
    <xf numFmtId="0" fontId="16" fillId="0" borderId="28" xfId="0" applyFont="1" applyFill="1" applyBorder="1" applyAlignment="1">
      <alignment vertical="center" wrapText="1"/>
    </xf>
    <xf numFmtId="164" fontId="16" fillId="0" borderId="29" xfId="0" applyNumberFormat="1" applyFont="1" applyFill="1" applyBorder="1" applyAlignment="1" applyProtection="1">
      <alignment horizontal="center" vertical="center" wrapText="1"/>
    </xf>
    <xf numFmtId="0" fontId="14" fillId="0" borderId="28" xfId="0" applyFont="1" applyFill="1" applyBorder="1" applyAlignment="1">
      <alignment vertical="center" wrapText="1"/>
    </xf>
    <xf numFmtId="164" fontId="14" fillId="0" borderId="29" xfId="0" applyNumberFormat="1" applyFont="1" applyFill="1" applyBorder="1" applyAlignment="1" applyProtection="1">
      <alignment horizontal="center" vertical="center" wrapText="1"/>
    </xf>
    <xf numFmtId="0" fontId="4" fillId="0" borderId="28" xfId="0" applyFont="1" applyFill="1" applyBorder="1" applyAlignment="1">
      <alignment vertical="center" wrapText="1"/>
    </xf>
    <xf numFmtId="0" fontId="14" fillId="0" borderId="31" xfId="0" applyFont="1" applyFill="1" applyBorder="1" applyAlignment="1">
      <alignment horizontal="center" vertical="center" shrinkToFit="1"/>
    </xf>
    <xf numFmtId="0" fontId="14" fillId="0" borderId="33" xfId="0" applyFont="1" applyFill="1" applyBorder="1" applyAlignment="1">
      <alignment horizontal="center" vertical="center" shrinkToFit="1"/>
    </xf>
    <xf numFmtId="0" fontId="16" fillId="0" borderId="34" xfId="0" applyFont="1" applyFill="1" applyBorder="1" applyAlignment="1">
      <alignment vertical="center" wrapText="1"/>
    </xf>
    <xf numFmtId="164" fontId="14" fillId="0" borderId="22" xfId="0" applyNumberFormat="1" applyFont="1" applyFill="1" applyBorder="1" applyAlignment="1">
      <alignment horizontal="center" vertical="center" wrapText="1"/>
    </xf>
    <xf numFmtId="49" fontId="14" fillId="0" borderId="23" xfId="0" applyNumberFormat="1" applyFont="1" applyFill="1" applyBorder="1" applyAlignment="1">
      <alignment horizontal="center" vertical="center" shrinkToFit="1"/>
    </xf>
    <xf numFmtId="0" fontId="17" fillId="0" borderId="34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shrinkToFit="1"/>
    </xf>
    <xf numFmtId="0" fontId="17" fillId="0" borderId="11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left" vertical="center" wrapText="1"/>
    </xf>
    <xf numFmtId="0" fontId="14" fillId="0" borderId="28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14" fillId="0" borderId="37" xfId="0" applyFont="1" applyFill="1" applyBorder="1" applyAlignment="1">
      <alignment horizontal="center" vertical="center" shrinkToFit="1"/>
    </xf>
    <xf numFmtId="0" fontId="20" fillId="0" borderId="38" xfId="0" applyFont="1" applyFill="1" applyBorder="1" applyAlignment="1">
      <alignment horizontal="left" vertical="center" wrapText="1"/>
    </xf>
    <xf numFmtId="0" fontId="15" fillId="0" borderId="28" xfId="0" applyFont="1" applyFill="1" applyBorder="1" applyAlignment="1">
      <alignment horizontal="left" vertical="center" wrapText="1"/>
    </xf>
    <xf numFmtId="49" fontId="14" fillId="0" borderId="33" xfId="0" applyNumberFormat="1" applyFont="1" applyFill="1" applyBorder="1" applyAlignment="1">
      <alignment horizontal="center" vertical="center" shrinkToFit="1"/>
    </xf>
    <xf numFmtId="0" fontId="17" fillId="0" borderId="34" xfId="0" applyFont="1" applyFill="1" applyBorder="1" applyAlignment="1">
      <alignment horizontal="left" vertical="center" wrapText="1"/>
    </xf>
    <xf numFmtId="49" fontId="14" fillId="0" borderId="10" xfId="0" applyNumberFormat="1" applyFont="1" applyFill="1" applyBorder="1" applyAlignment="1">
      <alignment horizontal="center" vertical="center" shrinkToFit="1"/>
    </xf>
    <xf numFmtId="0" fontId="16" fillId="0" borderId="11" xfId="0" applyFont="1" applyFill="1" applyBorder="1" applyAlignment="1">
      <alignment horizontal="left" vertical="center" wrapText="1"/>
    </xf>
    <xf numFmtId="49" fontId="14" fillId="0" borderId="37" xfId="0" applyNumberFormat="1" applyFont="1" applyFill="1" applyBorder="1" applyAlignment="1">
      <alignment horizontal="center" vertical="center" shrinkToFit="1"/>
    </xf>
    <xf numFmtId="0" fontId="17" fillId="0" borderId="38" xfId="0" applyFont="1" applyFill="1" applyBorder="1" applyAlignment="1">
      <alignment horizontal="left" vertical="center" wrapText="1"/>
    </xf>
    <xf numFmtId="0" fontId="14" fillId="0" borderId="28" xfId="0" applyFont="1" applyFill="1" applyBorder="1" applyAlignment="1">
      <alignment horizontal="center" vertical="center" wrapText="1"/>
    </xf>
    <xf numFmtId="49" fontId="17" fillId="0" borderId="33" xfId="0" applyNumberFormat="1" applyFont="1" applyFill="1" applyBorder="1" applyAlignment="1">
      <alignment horizontal="center" vertical="center" shrinkToFit="1"/>
    </xf>
    <xf numFmtId="49" fontId="17" fillId="0" borderId="10" xfId="0" applyNumberFormat="1" applyFont="1" applyFill="1" applyBorder="1" applyAlignment="1">
      <alignment horizontal="center" vertical="center" shrinkToFit="1"/>
    </xf>
    <xf numFmtId="0" fontId="14" fillId="0" borderId="11" xfId="0" applyFont="1" applyFill="1" applyBorder="1" applyAlignment="1">
      <alignment horizontal="left" vertical="center" wrapText="1"/>
    </xf>
    <xf numFmtId="0" fontId="15" fillId="0" borderId="28" xfId="0" applyFont="1" applyFill="1" applyBorder="1" applyAlignment="1">
      <alignment horizontal="center" vertical="center" wrapText="1"/>
    </xf>
    <xf numFmtId="0" fontId="21" fillId="0" borderId="0" xfId="0" applyFont="1" applyFill="1"/>
    <xf numFmtId="164" fontId="14" fillId="0" borderId="29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22" xfId="0" applyNumberFormat="1" applyFont="1" applyFill="1" applyBorder="1" applyAlignment="1">
      <alignment horizontal="center" vertical="center" shrinkToFit="1"/>
    </xf>
    <xf numFmtId="164" fontId="24" fillId="0" borderId="22" xfId="0" applyNumberFormat="1" applyFont="1" applyFill="1" applyBorder="1" applyAlignment="1" applyProtection="1">
      <alignment horizontal="center" vertical="center" shrinkToFit="1"/>
      <protection locked="0"/>
    </xf>
    <xf numFmtId="164" fontId="25" fillId="0" borderId="22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36" xfId="0" applyNumberFormat="1" applyFont="1" applyFill="1" applyBorder="1" applyAlignment="1">
      <alignment horizontal="center" vertical="center" shrinkToFit="1"/>
    </xf>
    <xf numFmtId="164" fontId="24" fillId="0" borderId="36" xfId="0" applyNumberFormat="1" applyFont="1" applyFill="1" applyBorder="1" applyAlignment="1" applyProtection="1">
      <alignment horizontal="center" vertical="center" shrinkToFit="1"/>
      <protection locked="0"/>
    </xf>
    <xf numFmtId="164" fontId="25" fillId="0" borderId="36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15" xfId="0" applyNumberFormat="1" applyFont="1" applyFill="1" applyBorder="1" applyAlignment="1">
      <alignment horizontal="center" vertical="center" shrinkToFit="1"/>
    </xf>
    <xf numFmtId="164" fontId="2" fillId="0" borderId="15" xfId="0" applyNumberFormat="1" applyFont="1" applyFill="1" applyBorder="1" applyAlignment="1" applyProtection="1">
      <alignment horizontal="center" vertical="center" shrinkToFit="1"/>
      <protection locked="0"/>
    </xf>
    <xf numFmtId="164" fontId="25" fillId="0" borderId="15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36" xfId="0" applyNumberFormat="1" applyFont="1" applyFill="1" applyBorder="1" applyAlignment="1" applyProtection="1">
      <alignment horizontal="center" vertical="center" shrinkToFit="1"/>
      <protection locked="0"/>
    </xf>
    <xf numFmtId="164" fontId="27" fillId="0" borderId="15" xfId="0" applyNumberFormat="1" applyFont="1" applyFill="1" applyBorder="1" applyAlignment="1" applyProtection="1">
      <alignment horizontal="center" vertical="center" shrinkToFit="1"/>
      <protection locked="0"/>
    </xf>
    <xf numFmtId="164" fontId="24" fillId="0" borderId="15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30" xfId="0" applyNumberFormat="1" applyFont="1" applyFill="1" applyBorder="1" applyAlignment="1" applyProtection="1">
      <alignment horizontal="center" vertical="center" shrinkToFit="1"/>
      <protection locked="0"/>
    </xf>
    <xf numFmtId="164" fontId="2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22" fillId="0" borderId="0" xfId="0" applyFont="1" applyFill="1" applyAlignment="1" applyProtection="1">
      <protection locked="0"/>
    </xf>
    <xf numFmtId="0" fontId="22" fillId="0" borderId="0" xfId="0" applyFont="1" applyFill="1" applyAlignment="1" applyProtection="1">
      <alignment wrapText="1"/>
      <protection locked="0"/>
    </xf>
    <xf numFmtId="0" fontId="0" fillId="0" borderId="0" xfId="0" applyFill="1" applyProtection="1">
      <protection locked="0"/>
    </xf>
    <xf numFmtId="0" fontId="23" fillId="0" borderId="30" xfId="0" applyFont="1" applyFill="1" applyBorder="1" applyAlignment="1" applyProtection="1">
      <alignment horizontal="center" vertical="center" wrapText="1"/>
      <protection locked="0"/>
    </xf>
    <xf numFmtId="0" fontId="8" fillId="0" borderId="30" xfId="0" applyFont="1" applyFill="1" applyBorder="1" applyAlignment="1" applyProtection="1">
      <alignment horizontal="center" vertical="center" wrapText="1"/>
      <protection locked="0"/>
    </xf>
    <xf numFmtId="0" fontId="9" fillId="0" borderId="30" xfId="0" applyFont="1" applyFill="1" applyBorder="1" applyAlignment="1" applyProtection="1">
      <alignment horizontal="center"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wrapText="1"/>
      <protection locked="0"/>
    </xf>
    <xf numFmtId="0" fontId="11" fillId="0" borderId="28" xfId="0" applyFont="1" applyFill="1" applyBorder="1" applyAlignment="1">
      <alignment vertical="center" wrapText="1"/>
    </xf>
    <xf numFmtId="164" fontId="11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1" xfId="0" applyFont="1" applyFill="1" applyBorder="1" applyAlignment="1">
      <alignment horizontal="left" vertical="center" wrapText="1"/>
    </xf>
    <xf numFmtId="0" fontId="31" fillId="0" borderId="11" xfId="0" applyFont="1" applyFill="1" applyBorder="1" applyAlignment="1">
      <alignment horizontal="left" vertical="center" wrapText="1"/>
    </xf>
    <xf numFmtId="0" fontId="31" fillId="0" borderId="38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23" fillId="0" borderId="15" xfId="0" applyFont="1" applyFill="1" applyBorder="1" applyAlignment="1" applyProtection="1">
      <alignment horizontal="center" vertical="center" wrapText="1"/>
      <protection locked="0"/>
    </xf>
    <xf numFmtId="0" fontId="34" fillId="0" borderId="26" xfId="0" applyFont="1" applyFill="1" applyBorder="1" applyAlignment="1">
      <alignment horizontal="center" vertical="center" wrapText="1"/>
    </xf>
    <xf numFmtId="0" fontId="34" fillId="0" borderId="24" xfId="0" applyFont="1" applyFill="1" applyBorder="1" applyAlignment="1">
      <alignment horizontal="center" vertical="center" wrapText="1"/>
    </xf>
    <xf numFmtId="0" fontId="34" fillId="0" borderId="27" xfId="0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 wrapText="1"/>
    </xf>
    <xf numFmtId="0" fontId="34" fillId="0" borderId="30" xfId="0" applyFont="1" applyFill="1" applyBorder="1" applyAlignment="1">
      <alignment horizontal="center" vertical="center" wrapText="1"/>
    </xf>
    <xf numFmtId="0" fontId="1" fillId="0" borderId="0" xfId="0" applyFont="1" applyFill="1"/>
    <xf numFmtId="164" fontId="4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45" xfId="0" applyFont="1" applyFill="1" applyBorder="1" applyAlignment="1">
      <alignment vertical="center" wrapText="1"/>
    </xf>
    <xf numFmtId="164" fontId="4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20" xfId="0" applyNumberFormat="1" applyFont="1" applyFill="1" applyBorder="1" applyAlignment="1" applyProtection="1">
      <alignment horizontal="center" vertical="center" wrapText="1"/>
      <protection locked="0"/>
    </xf>
    <xf numFmtId="164" fontId="14" fillId="0" borderId="20" xfId="0" applyNumberFormat="1" applyFont="1" applyFill="1" applyBorder="1" applyAlignment="1" applyProtection="1">
      <alignment horizontal="center" vertical="center" wrapText="1"/>
      <protection locked="0"/>
    </xf>
    <xf numFmtId="164" fontId="14" fillId="0" borderId="26" xfId="0" applyNumberFormat="1" applyFont="1" applyFill="1" applyBorder="1" applyAlignment="1">
      <alignment horizontal="center" vertical="center" wrapText="1"/>
    </xf>
    <xf numFmtId="164" fontId="16" fillId="0" borderId="47" xfId="0" applyNumberFormat="1" applyFont="1" applyFill="1" applyBorder="1" applyAlignment="1">
      <alignment horizontal="center" vertical="center" wrapText="1"/>
    </xf>
    <xf numFmtId="164" fontId="16" fillId="0" borderId="48" xfId="0" applyNumberFormat="1" applyFont="1" applyFill="1" applyBorder="1" applyAlignment="1">
      <alignment horizontal="center" vertical="center" wrapText="1"/>
    </xf>
    <xf numFmtId="164" fontId="17" fillId="0" borderId="47" xfId="0" applyNumberFormat="1" applyFont="1" applyFill="1" applyBorder="1" applyAlignment="1">
      <alignment horizontal="center" vertical="center" wrapText="1"/>
    </xf>
    <xf numFmtId="164" fontId="2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24" fillId="0" borderId="49" xfId="0" applyNumberFormat="1" applyFont="1" applyFill="1" applyBorder="1" applyAlignment="1" applyProtection="1">
      <alignment horizontal="center" vertical="center" shrinkToFit="1"/>
      <protection locked="0"/>
    </xf>
    <xf numFmtId="164" fontId="14" fillId="0" borderId="49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shrinkToFit="1"/>
    </xf>
    <xf numFmtId="164" fontId="25" fillId="0" borderId="49" xfId="0" applyNumberFormat="1" applyFont="1" applyFill="1" applyBorder="1" applyAlignment="1" applyProtection="1">
      <alignment horizontal="center" vertical="center" shrinkToFit="1"/>
      <protection locked="0"/>
    </xf>
    <xf numFmtId="164" fontId="24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>
      <alignment vertical="center" wrapText="1"/>
    </xf>
    <xf numFmtId="164" fontId="14" fillId="0" borderId="0" xfId="0" applyNumberFormat="1" applyFont="1" applyFill="1" applyBorder="1" applyAlignment="1">
      <alignment horizontal="center" vertical="center" wrapText="1"/>
    </xf>
    <xf numFmtId="49" fontId="14" fillId="0" borderId="26" xfId="0" applyNumberFormat="1" applyFont="1" applyFill="1" applyBorder="1" applyAlignment="1">
      <alignment horizontal="center" vertical="center" shrinkToFit="1"/>
    </xf>
    <xf numFmtId="0" fontId="14" fillId="0" borderId="24" xfId="0" applyFont="1" applyFill="1" applyBorder="1" applyAlignment="1">
      <alignment vertical="center" wrapText="1"/>
    </xf>
    <xf numFmtId="164" fontId="14" fillId="0" borderId="50" xfId="0" applyNumberFormat="1" applyFont="1" applyFill="1" applyBorder="1" applyAlignment="1">
      <alignment horizontal="center" vertical="center" wrapText="1"/>
    </xf>
    <xf numFmtId="164" fontId="17" fillId="0" borderId="46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 applyProtection="1">
      <alignment horizontal="center" vertical="center" shrinkToFit="1"/>
    </xf>
    <xf numFmtId="164" fontId="2" fillId="0" borderId="9" xfId="0" applyNumberFormat="1" applyFont="1" applyFill="1" applyBorder="1" applyAlignment="1" applyProtection="1">
      <alignment horizontal="center" vertical="center" shrinkToFit="1"/>
    </xf>
    <xf numFmtId="164" fontId="2" fillId="0" borderId="49" xfId="0" applyNumberFormat="1" applyFont="1" applyFill="1" applyBorder="1" applyAlignment="1" applyProtection="1">
      <alignment horizontal="center" vertical="center" shrinkToFit="1"/>
    </xf>
    <xf numFmtId="164" fontId="2" fillId="0" borderId="2" xfId="0" applyNumberFormat="1" applyFont="1" applyFill="1" applyBorder="1" applyAlignment="1" applyProtection="1">
      <alignment horizontal="center" vertical="center" shrinkToFit="1"/>
    </xf>
    <xf numFmtId="164" fontId="2" fillId="0" borderId="36" xfId="0" applyNumberFormat="1" applyFont="1" applyFill="1" applyBorder="1" applyAlignment="1" applyProtection="1">
      <alignment horizontal="center" vertical="center" shrinkToFit="1"/>
    </xf>
    <xf numFmtId="164" fontId="2" fillId="0" borderId="38" xfId="0" applyNumberFormat="1" applyFont="1" applyFill="1" applyBorder="1" applyAlignment="1" applyProtection="1">
      <alignment horizontal="center" vertical="center" shrinkToFit="1"/>
    </xf>
    <xf numFmtId="164" fontId="2" fillId="0" borderId="20" xfId="0" applyNumberFormat="1" applyFont="1" applyFill="1" applyBorder="1" applyAlignment="1" applyProtection="1">
      <alignment horizontal="center" vertical="center" shrinkToFit="1"/>
    </xf>
    <xf numFmtId="164" fontId="2" fillId="0" borderId="32" xfId="0" applyNumberFormat="1" applyFont="1" applyFill="1" applyBorder="1" applyAlignment="1" applyProtection="1">
      <alignment horizontal="center" vertical="center" shrinkToFit="1"/>
    </xf>
    <xf numFmtId="164" fontId="2" fillId="0" borderId="24" xfId="0" applyNumberFormat="1" applyFont="1" applyFill="1" applyBorder="1" applyAlignment="1" applyProtection="1">
      <alignment horizontal="center" vertical="center" shrinkToFit="1"/>
    </xf>
    <xf numFmtId="164" fontId="2" fillId="0" borderId="22" xfId="0" applyNumberFormat="1" applyFont="1" applyFill="1" applyBorder="1" applyAlignment="1" applyProtection="1">
      <alignment horizontal="center" vertical="center" shrinkToFit="1"/>
    </xf>
    <xf numFmtId="164" fontId="2" fillId="0" borderId="34" xfId="0" applyNumberFormat="1" applyFont="1" applyFill="1" applyBorder="1" applyAlignment="1" applyProtection="1">
      <alignment horizontal="center" vertical="center" shrinkToFit="1"/>
    </xf>
    <xf numFmtId="164" fontId="2" fillId="0" borderId="15" xfId="0" applyNumberFormat="1" applyFont="1" applyFill="1" applyBorder="1" applyAlignment="1" applyProtection="1">
      <alignment horizontal="center" vertical="center" shrinkToFit="1"/>
    </xf>
    <xf numFmtId="164" fontId="2" fillId="0" borderId="11" xfId="0" applyNumberFormat="1" applyFont="1" applyFill="1" applyBorder="1" applyAlignment="1" applyProtection="1">
      <alignment horizontal="center" vertical="center" shrinkToFit="1"/>
    </xf>
    <xf numFmtId="164" fontId="2" fillId="0" borderId="30" xfId="0" applyNumberFormat="1" applyFont="1" applyFill="1" applyBorder="1" applyAlignment="1" applyProtection="1">
      <alignment horizontal="center" vertical="center" shrinkToFit="1"/>
    </xf>
    <xf numFmtId="164" fontId="2" fillId="0" borderId="28" xfId="0" applyNumberFormat="1" applyFont="1" applyFill="1" applyBorder="1" applyAlignment="1" applyProtection="1">
      <alignment horizontal="center" vertical="center" shrinkToFit="1"/>
    </xf>
    <xf numFmtId="164" fontId="14" fillId="0" borderId="8" xfId="0" applyNumberFormat="1" applyFont="1" applyFill="1" applyBorder="1" applyAlignment="1" applyProtection="1">
      <alignment horizontal="center" vertical="center" wrapText="1"/>
    </xf>
    <xf numFmtId="164" fontId="14" fillId="0" borderId="20" xfId="0" applyNumberFormat="1" applyFont="1" applyFill="1" applyBorder="1" applyAlignment="1" applyProtection="1">
      <alignment horizontal="center" vertical="center" wrapText="1"/>
    </xf>
    <xf numFmtId="164" fontId="14" fillId="0" borderId="32" xfId="0" applyNumberFormat="1" applyFont="1" applyFill="1" applyBorder="1" applyAlignment="1" applyProtection="1">
      <alignment horizontal="center" vertical="center" wrapText="1"/>
    </xf>
    <xf numFmtId="164" fontId="14" fillId="0" borderId="30" xfId="0" applyNumberFormat="1" applyFont="1" applyFill="1" applyBorder="1" applyAlignment="1" applyProtection="1">
      <alignment horizontal="center" vertical="center" wrapText="1"/>
    </xf>
    <xf numFmtId="164" fontId="26" fillId="0" borderId="30" xfId="0" applyNumberFormat="1" applyFont="1" applyFill="1" applyBorder="1" applyAlignment="1" applyProtection="1">
      <alignment horizontal="center" vertical="center" shrinkToFit="1"/>
    </xf>
    <xf numFmtId="164" fontId="25" fillId="0" borderId="15" xfId="0" applyNumberFormat="1" applyFont="1" applyFill="1" applyBorder="1" applyAlignment="1" applyProtection="1">
      <alignment horizontal="center" vertical="center" shrinkToFit="1"/>
    </xf>
    <xf numFmtId="164" fontId="14" fillId="0" borderId="15" xfId="0" applyNumberFormat="1" applyFont="1" applyFill="1" applyBorder="1" applyAlignment="1" applyProtection="1">
      <alignment horizontal="center" vertical="center" wrapText="1"/>
    </xf>
    <xf numFmtId="164" fontId="11" fillId="0" borderId="22" xfId="0" applyNumberFormat="1" applyFont="1" applyFill="1" applyBorder="1" applyAlignment="1" applyProtection="1">
      <alignment horizontal="center" vertical="center" wrapText="1"/>
    </xf>
    <xf numFmtId="164" fontId="14" fillId="0" borderId="22" xfId="0" applyNumberFormat="1" applyFont="1" applyFill="1" applyBorder="1" applyAlignment="1" applyProtection="1">
      <alignment horizontal="center" vertical="center" wrapText="1"/>
    </xf>
    <xf numFmtId="164" fontId="14" fillId="0" borderId="22" xfId="0" applyNumberFormat="1" applyFont="1" applyFill="1" applyBorder="1" applyAlignment="1" applyProtection="1">
      <alignment horizontal="center" vertical="center" wrapText="1"/>
    </xf>
    <xf numFmtId="164" fontId="14" fillId="0" borderId="3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21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2" fontId="8" fillId="0" borderId="0" xfId="0" applyNumberFormat="1" applyFont="1" applyFill="1" applyProtection="1">
      <protection locked="0"/>
    </xf>
    <xf numFmtId="0" fontId="35" fillId="0" borderId="0" xfId="0" applyFont="1" applyFill="1" applyProtection="1">
      <protection locked="0"/>
    </xf>
    <xf numFmtId="0" fontId="17" fillId="0" borderId="0" xfId="0" applyFont="1" applyFill="1" applyBorder="1" applyAlignment="1">
      <alignment horizontal="center" vertical="center" wrapText="1"/>
    </xf>
    <xf numFmtId="0" fontId="28" fillId="0" borderId="13" xfId="0" applyFont="1" applyFill="1" applyBorder="1" applyAlignment="1" applyProtection="1">
      <alignment horizontal="center" vertical="center" wrapText="1"/>
      <protection locked="0"/>
    </xf>
    <xf numFmtId="0" fontId="28" fillId="0" borderId="30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5" fillId="0" borderId="30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textRotation="90" wrapText="1"/>
      <protection locked="0"/>
    </xf>
    <xf numFmtId="0" fontId="5" fillId="0" borderId="21" xfId="0" applyFont="1" applyFill="1" applyBorder="1" applyAlignment="1" applyProtection="1">
      <alignment horizontal="center" vertical="center" textRotation="90" wrapText="1"/>
      <protection locked="0"/>
    </xf>
    <xf numFmtId="0" fontId="28" fillId="0" borderId="39" xfId="0" applyFont="1" applyFill="1" applyBorder="1" applyAlignment="1" applyProtection="1">
      <alignment horizontal="center" vertical="center" textRotation="90" wrapText="1"/>
      <protection locked="0"/>
    </xf>
    <xf numFmtId="0" fontId="28" fillId="0" borderId="25" xfId="0" applyFont="1" applyFill="1" applyBorder="1" applyAlignment="1" applyProtection="1">
      <alignment horizontal="center" vertical="center" textRotation="90" wrapText="1"/>
      <protection locked="0"/>
    </xf>
    <xf numFmtId="0" fontId="28" fillId="0" borderId="23" xfId="0" applyFont="1" applyFill="1" applyBorder="1" applyAlignment="1" applyProtection="1">
      <alignment horizontal="center" vertical="center" textRotation="90" wrapText="1"/>
      <protection locked="0"/>
    </xf>
    <xf numFmtId="0" fontId="5" fillId="0" borderId="2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37" xfId="0" applyFont="1" applyFill="1" applyBorder="1" applyAlignment="1" applyProtection="1">
      <alignment horizontal="center" vertical="center" wrapText="1"/>
      <protection locked="0"/>
    </xf>
    <xf numFmtId="0" fontId="5" fillId="0" borderId="16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 wrapText="1"/>
      <protection locked="0"/>
    </xf>
    <xf numFmtId="0" fontId="5" fillId="0" borderId="18" xfId="0" applyFont="1" applyFill="1" applyBorder="1" applyAlignment="1" applyProtection="1">
      <alignment horizontal="center" vertical="center" wrapText="1"/>
      <protection locked="0"/>
    </xf>
    <xf numFmtId="0" fontId="5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5" xfId="0" applyFont="1" applyFill="1" applyBorder="1" applyAlignment="1" applyProtection="1">
      <alignment horizontal="center" vertical="center" wrapText="1"/>
      <protection locked="0"/>
    </xf>
    <xf numFmtId="0" fontId="28" fillId="0" borderId="3" xfId="0" applyFont="1" applyFill="1" applyBorder="1" applyAlignment="1" applyProtection="1">
      <alignment horizontal="center" vertical="center" wrapText="1"/>
      <protection locked="0"/>
    </xf>
    <xf numFmtId="0" fontId="28" fillId="0" borderId="43" xfId="0" applyFont="1" applyFill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47" xfId="0" applyFont="1" applyFill="1" applyBorder="1" applyAlignment="1" applyProtection="1">
      <alignment horizontal="center" vertical="center" wrapText="1"/>
      <protection locked="0"/>
    </xf>
    <xf numFmtId="0" fontId="5" fillId="0" borderId="35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Fill="1" applyBorder="1" applyAlignment="1" applyProtection="1">
      <alignment horizontal="center" vertical="center" textRotation="90" wrapText="1"/>
      <protection locked="0"/>
    </xf>
    <xf numFmtId="0" fontId="14" fillId="0" borderId="40" xfId="0" applyFont="1" applyFill="1" applyBorder="1" applyAlignment="1" applyProtection="1">
      <alignment horizontal="center" vertical="center" textRotation="90" wrapText="1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textRotation="90" wrapText="1"/>
      <protection locked="0"/>
    </xf>
    <xf numFmtId="0" fontId="14" fillId="0" borderId="20" xfId="0" applyFont="1" applyFill="1" applyBorder="1" applyAlignment="1" applyProtection="1">
      <alignment horizontal="center" vertical="center" textRotation="90" wrapText="1"/>
      <protection locked="0"/>
    </xf>
    <xf numFmtId="0" fontId="14" fillId="0" borderId="30" xfId="0" applyFont="1" applyFill="1" applyBorder="1" applyAlignment="1" applyProtection="1">
      <alignment horizontal="center" vertical="center" textRotation="90" wrapText="1"/>
      <protection locked="0"/>
    </xf>
    <xf numFmtId="0" fontId="5" fillId="0" borderId="44" xfId="0" applyFont="1" applyFill="1" applyBorder="1" applyAlignment="1" applyProtection="1">
      <alignment horizontal="center" vertical="center" wrapText="1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7"/>
  <sheetViews>
    <sheetView showZeros="0" tabSelected="1" view="pageBreakPreview" zoomScale="50" zoomScaleNormal="59" zoomScaleSheetLayoutView="50" workbookViewId="0">
      <pane xSplit="9" ySplit="15" topLeftCell="N79" activePane="bottomRight" state="frozen"/>
      <selection pane="topRight" activeCell="K1" sqref="K1"/>
      <selection pane="bottomLeft" activeCell="A16" sqref="A16"/>
      <selection pane="bottomRight" activeCell="H46" sqref="H46"/>
    </sheetView>
  </sheetViews>
  <sheetFormatPr defaultColWidth="9.109375" defaultRowHeight="23.4" x14ac:dyDescent="0.45"/>
  <cols>
    <col min="1" max="1" width="5.5546875" style="1" customWidth="1"/>
    <col min="2" max="2" width="30.6640625" style="1" customWidth="1"/>
    <col min="3" max="3" width="8.88671875" style="1" customWidth="1"/>
    <col min="4" max="4" width="18.6640625" style="1" customWidth="1"/>
    <col min="5" max="5" width="19.5546875" style="1" customWidth="1"/>
    <col min="6" max="6" width="5" style="1" customWidth="1"/>
    <col min="7" max="7" width="17.109375" style="1" customWidth="1"/>
    <col min="8" max="8" width="14" style="1" customWidth="1"/>
    <col min="9" max="9" width="15.109375" style="1" customWidth="1"/>
    <col min="10" max="10" width="18.33203125" style="1" customWidth="1"/>
    <col min="11" max="11" width="18.109375" style="1" customWidth="1"/>
    <col min="12" max="12" width="17.5546875" style="1" customWidth="1"/>
    <col min="13" max="18" width="14.44140625" style="1" customWidth="1"/>
    <col min="19" max="19" width="12.6640625" style="1" customWidth="1"/>
    <col min="20" max="20" width="14.88671875" style="1" customWidth="1"/>
    <col min="21" max="21" width="16.33203125" style="1" customWidth="1"/>
    <col min="22" max="22" width="15.6640625" style="1" customWidth="1"/>
    <col min="23" max="23" width="16.5546875" style="1" customWidth="1"/>
    <col min="24" max="24" width="16.33203125" style="1" customWidth="1"/>
    <col min="25" max="30" width="14.44140625" style="1" customWidth="1"/>
    <col min="31" max="31" width="15.44140625" style="1" customWidth="1"/>
    <col min="32" max="32" width="4.6640625" style="1" customWidth="1"/>
    <col min="33" max="33" width="16.88671875" style="1" customWidth="1"/>
    <col min="34" max="35" width="9.109375" style="133"/>
    <col min="36" max="38" width="9.109375" style="65"/>
    <col min="39" max="16384" width="9.109375" style="1"/>
  </cols>
  <sheetData>
    <row r="1" spans="1:38" ht="22.5" customHeight="1" x14ac:dyDescent="0.45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</row>
    <row r="2" spans="1:38" ht="23.25" customHeight="1" x14ac:dyDescent="0.45">
      <c r="A2" s="162" t="s">
        <v>141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</row>
    <row r="3" spans="1:38" ht="24" thickBot="1" x14ac:dyDescent="0.5">
      <c r="AG3" s="1" t="s">
        <v>1</v>
      </c>
    </row>
    <row r="4" spans="1:38" ht="41.25" customHeight="1" x14ac:dyDescent="0.45">
      <c r="A4" s="163"/>
      <c r="B4" s="166"/>
      <c r="C4" s="154" t="s">
        <v>2</v>
      </c>
      <c r="D4" s="154"/>
      <c r="E4" s="169"/>
      <c r="F4" s="170" t="s">
        <v>3</v>
      </c>
      <c r="G4" s="153" t="s">
        <v>142</v>
      </c>
      <c r="H4" s="154"/>
      <c r="I4" s="155"/>
      <c r="J4" s="173" t="s">
        <v>4</v>
      </c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5"/>
      <c r="AC4" s="157" t="s">
        <v>143</v>
      </c>
      <c r="AD4" s="157"/>
      <c r="AE4" s="158"/>
      <c r="AF4" s="176" t="s">
        <v>144</v>
      </c>
      <c r="AG4" s="141" t="s">
        <v>145</v>
      </c>
    </row>
    <row r="5" spans="1:38" ht="40.5" customHeight="1" x14ac:dyDescent="0.45">
      <c r="A5" s="164"/>
      <c r="B5" s="167"/>
      <c r="C5" s="143" t="s">
        <v>5</v>
      </c>
      <c r="D5" s="139" t="s">
        <v>104</v>
      </c>
      <c r="E5" s="139" t="s">
        <v>105</v>
      </c>
      <c r="F5" s="171"/>
      <c r="G5" s="147" t="s">
        <v>6</v>
      </c>
      <c r="H5" s="156" t="s">
        <v>7</v>
      </c>
      <c r="I5" s="179"/>
      <c r="J5" s="149" t="s">
        <v>8</v>
      </c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1"/>
      <c r="AB5" s="139" t="s">
        <v>9</v>
      </c>
      <c r="AC5" s="159"/>
      <c r="AD5" s="159"/>
      <c r="AE5" s="160"/>
      <c r="AF5" s="177"/>
      <c r="AG5" s="142"/>
    </row>
    <row r="6" spans="1:38" ht="24.75" customHeight="1" x14ac:dyDescent="0.45">
      <c r="A6" s="164"/>
      <c r="B6" s="167"/>
      <c r="C6" s="144"/>
      <c r="D6" s="146"/>
      <c r="E6" s="146"/>
      <c r="F6" s="171"/>
      <c r="G6" s="147"/>
      <c r="H6" s="139" t="s">
        <v>116</v>
      </c>
      <c r="I6" s="139" t="s">
        <v>106</v>
      </c>
      <c r="J6" s="152" t="s">
        <v>107</v>
      </c>
      <c r="K6" s="152"/>
      <c r="L6" s="152"/>
      <c r="M6" s="156" t="s">
        <v>115</v>
      </c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1"/>
      <c r="AB6" s="146"/>
      <c r="AC6" s="156" t="s">
        <v>10</v>
      </c>
      <c r="AD6" s="151"/>
      <c r="AE6" s="139" t="s">
        <v>11</v>
      </c>
      <c r="AF6" s="177"/>
      <c r="AG6" s="142"/>
    </row>
    <row r="7" spans="1:38" ht="83.25" customHeight="1" x14ac:dyDescent="0.45">
      <c r="A7" s="164"/>
      <c r="B7" s="167"/>
      <c r="C7" s="144"/>
      <c r="D7" s="146"/>
      <c r="E7" s="146"/>
      <c r="F7" s="171"/>
      <c r="G7" s="147"/>
      <c r="H7" s="146"/>
      <c r="I7" s="146"/>
      <c r="J7" s="156" t="s">
        <v>10</v>
      </c>
      <c r="K7" s="150"/>
      <c r="L7" s="152" t="s">
        <v>118</v>
      </c>
      <c r="M7" s="156" t="s">
        <v>108</v>
      </c>
      <c r="N7" s="151"/>
      <c r="O7" s="156" t="s">
        <v>109</v>
      </c>
      <c r="P7" s="151"/>
      <c r="Q7" s="156" t="s">
        <v>110</v>
      </c>
      <c r="R7" s="151"/>
      <c r="S7" s="156" t="s">
        <v>111</v>
      </c>
      <c r="T7" s="151"/>
      <c r="U7" s="156" t="s">
        <v>112</v>
      </c>
      <c r="V7" s="151"/>
      <c r="W7" s="156" t="s">
        <v>114</v>
      </c>
      <c r="X7" s="151"/>
      <c r="Y7" s="137" t="s">
        <v>129</v>
      </c>
      <c r="Z7" s="137" t="s">
        <v>130</v>
      </c>
      <c r="AA7" s="139" t="s">
        <v>131</v>
      </c>
      <c r="AB7" s="146"/>
      <c r="AC7" s="6" t="s">
        <v>103</v>
      </c>
      <c r="AD7" s="6" t="s">
        <v>113</v>
      </c>
      <c r="AE7" s="146"/>
      <c r="AF7" s="177"/>
      <c r="AG7" s="142"/>
    </row>
    <row r="8" spans="1:38" ht="96" customHeight="1" thickBot="1" x14ac:dyDescent="0.5">
      <c r="A8" s="165"/>
      <c r="B8" s="168"/>
      <c r="C8" s="145"/>
      <c r="D8" s="140"/>
      <c r="E8" s="140"/>
      <c r="F8" s="172"/>
      <c r="G8" s="148"/>
      <c r="H8" s="140"/>
      <c r="I8" s="140"/>
      <c r="J8" s="76" t="s">
        <v>12</v>
      </c>
      <c r="K8" s="75" t="s">
        <v>117</v>
      </c>
      <c r="L8" s="152"/>
      <c r="M8" s="66" t="s">
        <v>103</v>
      </c>
      <c r="N8" s="66" t="s">
        <v>113</v>
      </c>
      <c r="O8" s="66" t="s">
        <v>103</v>
      </c>
      <c r="P8" s="66" t="s">
        <v>113</v>
      </c>
      <c r="Q8" s="66" t="s">
        <v>103</v>
      </c>
      <c r="R8" s="66" t="s">
        <v>113</v>
      </c>
      <c r="S8" s="66" t="s">
        <v>103</v>
      </c>
      <c r="T8" s="66" t="s">
        <v>113</v>
      </c>
      <c r="U8" s="66" t="s">
        <v>103</v>
      </c>
      <c r="V8" s="66" t="s">
        <v>113</v>
      </c>
      <c r="W8" s="66" t="s">
        <v>103</v>
      </c>
      <c r="X8" s="66" t="s">
        <v>113</v>
      </c>
      <c r="Y8" s="138"/>
      <c r="Z8" s="138"/>
      <c r="AA8" s="140"/>
      <c r="AB8" s="67" t="s">
        <v>132</v>
      </c>
      <c r="AC8" s="68" t="s">
        <v>133</v>
      </c>
      <c r="AD8" s="68" t="s">
        <v>134</v>
      </c>
      <c r="AE8" s="68" t="s">
        <v>135</v>
      </c>
      <c r="AF8" s="178"/>
      <c r="AG8" s="69" t="s">
        <v>136</v>
      </c>
    </row>
    <row r="9" spans="1:38" s="82" customFormat="1" ht="24" thickBot="1" x14ac:dyDescent="0.5">
      <c r="A9" s="77">
        <v>1</v>
      </c>
      <c r="B9" s="78">
        <v>2</v>
      </c>
      <c r="C9" s="79">
        <f>B9+1</f>
        <v>3</v>
      </c>
      <c r="D9" s="80">
        <f>C9+1</f>
        <v>4</v>
      </c>
      <c r="E9" s="80">
        <f t="shared" ref="E9:AG9" si="0">D9+1</f>
        <v>5</v>
      </c>
      <c r="F9" s="80">
        <f t="shared" si="0"/>
        <v>6</v>
      </c>
      <c r="G9" s="80">
        <f t="shared" si="0"/>
        <v>7</v>
      </c>
      <c r="H9" s="80">
        <f t="shared" si="0"/>
        <v>8</v>
      </c>
      <c r="I9" s="80">
        <v>9</v>
      </c>
      <c r="J9" s="81">
        <v>10</v>
      </c>
      <c r="K9" s="81">
        <v>11</v>
      </c>
      <c r="L9" s="81">
        <v>12</v>
      </c>
      <c r="M9" s="80">
        <v>13</v>
      </c>
      <c r="N9" s="81">
        <v>14</v>
      </c>
      <c r="O9" s="80" t="s">
        <v>119</v>
      </c>
      <c r="P9" s="80" t="s">
        <v>120</v>
      </c>
      <c r="Q9" s="80" t="s">
        <v>121</v>
      </c>
      <c r="R9" s="80" t="s">
        <v>122</v>
      </c>
      <c r="S9" s="80" t="s">
        <v>123</v>
      </c>
      <c r="T9" s="80" t="s">
        <v>124</v>
      </c>
      <c r="U9" s="80" t="s">
        <v>125</v>
      </c>
      <c r="V9" s="80" t="s">
        <v>126</v>
      </c>
      <c r="W9" s="80" t="s">
        <v>127</v>
      </c>
      <c r="X9" s="80" t="s">
        <v>128</v>
      </c>
      <c r="Y9" s="80">
        <v>15</v>
      </c>
      <c r="Z9" s="80">
        <f t="shared" ref="Z9" si="1">Y9+1</f>
        <v>16</v>
      </c>
      <c r="AA9" s="80">
        <f t="shared" ref="AA9" si="2">Z9+1</f>
        <v>17</v>
      </c>
      <c r="AB9" s="80">
        <f t="shared" si="0"/>
        <v>18</v>
      </c>
      <c r="AC9" s="80">
        <v>19</v>
      </c>
      <c r="AD9" s="80">
        <f t="shared" ref="AD9" si="3">AC9+1</f>
        <v>20</v>
      </c>
      <c r="AE9" s="80">
        <f t="shared" ref="AE9" si="4">AD9+1</f>
        <v>21</v>
      </c>
      <c r="AF9" s="80">
        <f t="shared" si="0"/>
        <v>22</v>
      </c>
      <c r="AG9" s="78">
        <f t="shared" si="0"/>
        <v>23</v>
      </c>
      <c r="AH9" s="133"/>
      <c r="AI9" s="133"/>
      <c r="AJ9" s="130"/>
      <c r="AK9" s="130"/>
      <c r="AL9" s="130"/>
    </row>
    <row r="10" spans="1:38" ht="24" thickBot="1" x14ac:dyDescent="0.5">
      <c r="A10" s="7"/>
      <c r="B10" s="70" t="s">
        <v>13</v>
      </c>
      <c r="C10" s="71"/>
      <c r="D10" s="126"/>
      <c r="E10" s="126"/>
      <c r="F10" s="126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8"/>
      <c r="X10" s="128"/>
      <c r="Y10" s="127"/>
      <c r="Z10" s="127"/>
      <c r="AA10" s="127"/>
      <c r="AB10" s="127"/>
      <c r="AC10" s="128"/>
      <c r="AD10" s="127"/>
      <c r="AE10" s="127"/>
      <c r="AF10" s="127"/>
      <c r="AG10" s="129"/>
    </row>
    <row r="11" spans="1:38" ht="17.25" customHeight="1" thickBot="1" x14ac:dyDescent="0.5">
      <c r="A11" s="8">
        <v>1</v>
      </c>
      <c r="B11" s="9" t="s">
        <v>14</v>
      </c>
      <c r="C11" s="10" t="s">
        <v>15</v>
      </c>
      <c r="D11" s="10" t="s">
        <v>15</v>
      </c>
      <c r="E11" s="10" t="s">
        <v>15</v>
      </c>
      <c r="F11" s="10" t="s">
        <v>15</v>
      </c>
      <c r="G11" s="10" t="s">
        <v>15</v>
      </c>
      <c r="H11" s="10" t="s">
        <v>15</v>
      </c>
      <c r="I11" s="10" t="s">
        <v>15</v>
      </c>
      <c r="J11" s="10" t="s">
        <v>15</v>
      </c>
      <c r="K11" s="10" t="s">
        <v>15</v>
      </c>
      <c r="L11" s="10" t="s">
        <v>15</v>
      </c>
      <c r="M11" s="10" t="s">
        <v>15</v>
      </c>
      <c r="N11" s="10" t="s">
        <v>15</v>
      </c>
      <c r="O11" s="10" t="s">
        <v>15</v>
      </c>
      <c r="P11" s="10" t="s">
        <v>15</v>
      </c>
      <c r="Q11" s="10" t="s">
        <v>15</v>
      </c>
      <c r="R11" s="10" t="s">
        <v>15</v>
      </c>
      <c r="S11" s="10" t="s">
        <v>15</v>
      </c>
      <c r="T11" s="10" t="s">
        <v>15</v>
      </c>
      <c r="U11" s="10" t="s">
        <v>15</v>
      </c>
      <c r="V11" s="10" t="s">
        <v>15</v>
      </c>
      <c r="W11" s="10" t="s">
        <v>15</v>
      </c>
      <c r="X11" s="10" t="s">
        <v>15</v>
      </c>
      <c r="Y11" s="10" t="s">
        <v>15</v>
      </c>
      <c r="Z11" s="10" t="s">
        <v>15</v>
      </c>
      <c r="AA11" s="10" t="s">
        <v>15</v>
      </c>
      <c r="AB11" s="10" t="s">
        <v>15</v>
      </c>
      <c r="AC11" s="10" t="s">
        <v>15</v>
      </c>
      <c r="AD11" s="10" t="s">
        <v>15</v>
      </c>
      <c r="AE11" s="10" t="s">
        <v>15</v>
      </c>
      <c r="AF11" s="10" t="s">
        <v>15</v>
      </c>
      <c r="AG11" s="10" t="s">
        <v>15</v>
      </c>
    </row>
    <row r="12" spans="1:38" ht="31.8" thickBot="1" x14ac:dyDescent="0.5">
      <c r="A12" s="11">
        <v>2</v>
      </c>
      <c r="B12" s="12" t="s">
        <v>16</v>
      </c>
      <c r="C12" s="13" t="s">
        <v>15</v>
      </c>
      <c r="D12" s="13" t="s">
        <v>15</v>
      </c>
      <c r="E12" s="13" t="s">
        <v>15</v>
      </c>
      <c r="F12" s="13" t="s">
        <v>15</v>
      </c>
      <c r="G12" s="13" t="s">
        <v>15</v>
      </c>
      <c r="H12" s="13" t="s">
        <v>15</v>
      </c>
      <c r="I12" s="13" t="s">
        <v>15</v>
      </c>
      <c r="J12" s="13" t="s">
        <v>15</v>
      </c>
      <c r="K12" s="13" t="s">
        <v>15</v>
      </c>
      <c r="L12" s="13" t="s">
        <v>15</v>
      </c>
      <c r="M12" s="13" t="s">
        <v>15</v>
      </c>
      <c r="N12" s="13" t="s">
        <v>15</v>
      </c>
      <c r="O12" s="13" t="s">
        <v>15</v>
      </c>
      <c r="P12" s="13" t="s">
        <v>15</v>
      </c>
      <c r="Q12" s="13" t="s">
        <v>15</v>
      </c>
      <c r="R12" s="13" t="s">
        <v>15</v>
      </c>
      <c r="S12" s="13" t="s">
        <v>15</v>
      </c>
      <c r="T12" s="13" t="s">
        <v>15</v>
      </c>
      <c r="U12" s="13" t="s">
        <v>15</v>
      </c>
      <c r="V12" s="13" t="s">
        <v>15</v>
      </c>
      <c r="W12" s="13" t="s">
        <v>15</v>
      </c>
      <c r="X12" s="13" t="s">
        <v>15</v>
      </c>
      <c r="Y12" s="13" t="s">
        <v>15</v>
      </c>
      <c r="Z12" s="13" t="s">
        <v>15</v>
      </c>
      <c r="AA12" s="13" t="s">
        <v>15</v>
      </c>
      <c r="AB12" s="13" t="s">
        <v>15</v>
      </c>
      <c r="AC12" s="13" t="s">
        <v>15</v>
      </c>
      <c r="AD12" s="13" t="s">
        <v>15</v>
      </c>
      <c r="AE12" s="13" t="s">
        <v>15</v>
      </c>
      <c r="AF12" s="13" t="s">
        <v>15</v>
      </c>
      <c r="AG12" s="13" t="s">
        <v>15</v>
      </c>
    </row>
    <row r="13" spans="1:38" ht="24" thickBot="1" x14ac:dyDescent="0.5">
      <c r="A13" s="14"/>
      <c r="B13" s="15" t="s">
        <v>17</v>
      </c>
      <c r="C13" s="16" t="s">
        <v>15</v>
      </c>
      <c r="D13" s="16" t="s">
        <v>15</v>
      </c>
      <c r="E13" s="16" t="s">
        <v>15</v>
      </c>
      <c r="F13" s="16" t="s">
        <v>15</v>
      </c>
      <c r="G13" s="16" t="s">
        <v>15</v>
      </c>
      <c r="H13" s="16" t="s">
        <v>15</v>
      </c>
      <c r="I13" s="16" t="s">
        <v>15</v>
      </c>
      <c r="J13" s="16" t="s">
        <v>15</v>
      </c>
      <c r="K13" s="16" t="s">
        <v>15</v>
      </c>
      <c r="L13" s="16" t="s">
        <v>15</v>
      </c>
      <c r="M13" s="16" t="s">
        <v>15</v>
      </c>
      <c r="N13" s="16" t="s">
        <v>15</v>
      </c>
      <c r="O13" s="16" t="s">
        <v>15</v>
      </c>
      <c r="P13" s="16" t="s">
        <v>15</v>
      </c>
      <c r="Q13" s="16" t="s">
        <v>15</v>
      </c>
      <c r="R13" s="16" t="s">
        <v>15</v>
      </c>
      <c r="S13" s="16" t="s">
        <v>15</v>
      </c>
      <c r="T13" s="16" t="s">
        <v>15</v>
      </c>
      <c r="U13" s="16" t="s">
        <v>15</v>
      </c>
      <c r="V13" s="16" t="s">
        <v>15</v>
      </c>
      <c r="W13" s="16" t="s">
        <v>15</v>
      </c>
      <c r="X13" s="16" t="s">
        <v>15</v>
      </c>
      <c r="Y13" s="16" t="s">
        <v>15</v>
      </c>
      <c r="Z13" s="16" t="s">
        <v>15</v>
      </c>
      <c r="AA13" s="16" t="s">
        <v>15</v>
      </c>
      <c r="AB13" s="16" t="s">
        <v>15</v>
      </c>
      <c r="AC13" s="16" t="s">
        <v>15</v>
      </c>
      <c r="AD13" s="16" t="s">
        <v>15</v>
      </c>
      <c r="AE13" s="16" t="s">
        <v>15</v>
      </c>
      <c r="AF13" s="16" t="s">
        <v>15</v>
      </c>
      <c r="AG13" s="16" t="s">
        <v>15</v>
      </c>
    </row>
    <row r="14" spans="1:38" ht="38.25" customHeight="1" thickBot="1" x14ac:dyDescent="0.5">
      <c r="A14" s="14">
        <v>3</v>
      </c>
      <c r="B14" s="15" t="s">
        <v>18</v>
      </c>
      <c r="C14" s="16" t="s">
        <v>15</v>
      </c>
      <c r="D14" s="16" t="s">
        <v>15</v>
      </c>
      <c r="E14" s="16" t="s">
        <v>15</v>
      </c>
      <c r="F14" s="16" t="s">
        <v>15</v>
      </c>
      <c r="G14" s="16" t="s">
        <v>15</v>
      </c>
      <c r="H14" s="16" t="s">
        <v>15</v>
      </c>
      <c r="I14" s="16" t="s">
        <v>15</v>
      </c>
      <c r="J14" s="16" t="s">
        <v>15</v>
      </c>
      <c r="K14" s="16" t="s">
        <v>15</v>
      </c>
      <c r="L14" s="16" t="s">
        <v>15</v>
      </c>
      <c r="M14" s="16" t="s">
        <v>15</v>
      </c>
      <c r="N14" s="16" t="s">
        <v>15</v>
      </c>
      <c r="O14" s="16" t="s">
        <v>15</v>
      </c>
      <c r="P14" s="16" t="s">
        <v>15</v>
      </c>
      <c r="Q14" s="16" t="s">
        <v>15</v>
      </c>
      <c r="R14" s="16" t="s">
        <v>15</v>
      </c>
      <c r="S14" s="16" t="s">
        <v>15</v>
      </c>
      <c r="T14" s="16" t="s">
        <v>15</v>
      </c>
      <c r="U14" s="16" t="s">
        <v>15</v>
      </c>
      <c r="V14" s="16" t="s">
        <v>15</v>
      </c>
      <c r="W14" s="16" t="s">
        <v>15</v>
      </c>
      <c r="X14" s="16" t="s">
        <v>15</v>
      </c>
      <c r="Y14" s="16" t="s">
        <v>15</v>
      </c>
      <c r="Z14" s="16" t="s">
        <v>15</v>
      </c>
      <c r="AA14" s="16" t="s">
        <v>15</v>
      </c>
      <c r="AB14" s="16" t="s">
        <v>15</v>
      </c>
      <c r="AC14" s="16" t="s">
        <v>15</v>
      </c>
      <c r="AD14" s="16" t="s">
        <v>15</v>
      </c>
      <c r="AE14" s="16" t="s">
        <v>15</v>
      </c>
      <c r="AF14" s="16" t="s">
        <v>15</v>
      </c>
      <c r="AG14" s="16" t="s">
        <v>15</v>
      </c>
    </row>
    <row r="15" spans="1:38" ht="31.8" thickBot="1" x14ac:dyDescent="0.5">
      <c r="A15" s="14"/>
      <c r="B15" s="17" t="s">
        <v>19</v>
      </c>
      <c r="C15" s="18" t="s">
        <v>15</v>
      </c>
      <c r="D15" s="18" t="s">
        <v>15</v>
      </c>
      <c r="E15" s="18" t="s">
        <v>15</v>
      </c>
      <c r="F15" s="18" t="s">
        <v>15</v>
      </c>
      <c r="G15" s="18" t="s">
        <v>15</v>
      </c>
      <c r="H15" s="18" t="s">
        <v>15</v>
      </c>
      <c r="I15" s="18" t="s">
        <v>15</v>
      </c>
      <c r="J15" s="18" t="s">
        <v>15</v>
      </c>
      <c r="K15" s="18" t="s">
        <v>15</v>
      </c>
      <c r="L15" s="18" t="s">
        <v>15</v>
      </c>
      <c r="M15" s="18" t="s">
        <v>15</v>
      </c>
      <c r="N15" s="18" t="s">
        <v>15</v>
      </c>
      <c r="O15" s="18" t="s">
        <v>15</v>
      </c>
      <c r="P15" s="18" t="s">
        <v>15</v>
      </c>
      <c r="Q15" s="18" t="s">
        <v>15</v>
      </c>
      <c r="R15" s="18" t="s">
        <v>15</v>
      </c>
      <c r="S15" s="18" t="s">
        <v>15</v>
      </c>
      <c r="T15" s="18" t="s">
        <v>15</v>
      </c>
      <c r="U15" s="18" t="s">
        <v>15</v>
      </c>
      <c r="V15" s="18" t="s">
        <v>15</v>
      </c>
      <c r="W15" s="18" t="s">
        <v>15</v>
      </c>
      <c r="X15" s="18" t="s">
        <v>15</v>
      </c>
      <c r="Y15" s="18" t="s">
        <v>15</v>
      </c>
      <c r="Z15" s="18" t="s">
        <v>15</v>
      </c>
      <c r="AA15" s="18" t="s">
        <v>15</v>
      </c>
      <c r="AB15" s="18" t="s">
        <v>15</v>
      </c>
      <c r="AC15" s="18" t="s">
        <v>15</v>
      </c>
      <c r="AD15" s="18" t="s">
        <v>15</v>
      </c>
      <c r="AE15" s="18" t="s">
        <v>15</v>
      </c>
      <c r="AF15" s="18" t="s">
        <v>15</v>
      </c>
      <c r="AG15" s="18" t="s">
        <v>15</v>
      </c>
    </row>
    <row r="16" spans="1:38" ht="24" thickBot="1" x14ac:dyDescent="0.5">
      <c r="A16" s="7"/>
      <c r="B16" s="19" t="s">
        <v>20</v>
      </c>
      <c r="C16" s="85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7"/>
      <c r="Z16" s="87"/>
      <c r="AA16" s="86"/>
      <c r="AB16" s="86"/>
      <c r="AC16" s="86"/>
      <c r="AD16" s="86"/>
      <c r="AE16" s="86"/>
      <c r="AF16" s="86"/>
      <c r="AG16" s="83"/>
    </row>
    <row r="17" spans="1:35" ht="51" customHeight="1" thickBot="1" x14ac:dyDescent="0.5">
      <c r="A17" s="20">
        <v>1</v>
      </c>
      <c r="B17" s="84" t="s">
        <v>21</v>
      </c>
      <c r="C17" s="88" t="s">
        <v>15</v>
      </c>
      <c r="D17" s="104">
        <f t="shared" ref="D17:X17" si="5">D18+D19</f>
        <v>6083.02</v>
      </c>
      <c r="E17" s="104">
        <f t="shared" si="5"/>
        <v>1726.31</v>
      </c>
      <c r="F17" s="119" t="s">
        <v>22</v>
      </c>
      <c r="G17" s="104">
        <f>H17++I17</f>
        <v>4413.0540000000001</v>
      </c>
      <c r="H17" s="104">
        <f t="shared" si="5"/>
        <v>4356.6980000000003</v>
      </c>
      <c r="I17" s="104">
        <f t="shared" si="5"/>
        <v>56.356000000000002</v>
      </c>
      <c r="J17" s="104">
        <f t="shared" si="5"/>
        <v>354.9</v>
      </c>
      <c r="K17" s="104">
        <f t="shared" si="5"/>
        <v>4356.6549999999997</v>
      </c>
      <c r="L17" s="104">
        <f>J17+K17</f>
        <v>4711.5549999999994</v>
      </c>
      <c r="M17" s="104">
        <f t="shared" si="5"/>
        <v>0</v>
      </c>
      <c r="N17" s="104">
        <f t="shared" si="5"/>
        <v>0</v>
      </c>
      <c r="O17" s="104">
        <f t="shared" si="5"/>
        <v>0</v>
      </c>
      <c r="P17" s="104">
        <f t="shared" si="5"/>
        <v>0</v>
      </c>
      <c r="Q17" s="104">
        <f t="shared" si="5"/>
        <v>0</v>
      </c>
      <c r="R17" s="104">
        <f t="shared" si="5"/>
        <v>0</v>
      </c>
      <c r="S17" s="104">
        <f t="shared" si="5"/>
        <v>0</v>
      </c>
      <c r="T17" s="104">
        <f t="shared" si="5"/>
        <v>0</v>
      </c>
      <c r="U17" s="104">
        <f t="shared" si="5"/>
        <v>0</v>
      </c>
      <c r="V17" s="104">
        <f t="shared" si="5"/>
        <v>0</v>
      </c>
      <c r="W17" s="104">
        <f t="shared" si="5"/>
        <v>0</v>
      </c>
      <c r="X17" s="104">
        <f t="shared" si="5"/>
        <v>0</v>
      </c>
      <c r="Y17" s="104">
        <f t="shared" ref="Y17:Y48" si="6">M17+O17+Q17+S17+U17+W17</f>
        <v>0</v>
      </c>
      <c r="Z17" s="104">
        <f t="shared" ref="Z17:Z48" si="7">N17+P17+R17+T17+V17+X17</f>
        <v>0</v>
      </c>
      <c r="AA17" s="104">
        <f t="shared" ref="AA17:AA29" si="8">Y17+Z17</f>
        <v>0</v>
      </c>
      <c r="AB17" s="104">
        <f>L17+AA17</f>
        <v>4711.5549999999994</v>
      </c>
      <c r="AC17" s="104">
        <f>H17-K17-Y17</f>
        <v>4.3000000000574801E-2</v>
      </c>
      <c r="AD17" s="104">
        <f>I17-Z17</f>
        <v>56.356000000000002</v>
      </c>
      <c r="AE17" s="104">
        <f>AC17+AD17</f>
        <v>56.399000000000576</v>
      </c>
      <c r="AF17" s="104" t="s">
        <v>22</v>
      </c>
      <c r="AG17" s="105">
        <f t="shared" ref="AG17:AG48" si="9">D17-L17-AA17</f>
        <v>1371.4650000000011</v>
      </c>
      <c r="AH17" s="134"/>
      <c r="AI17" s="134"/>
    </row>
    <row r="18" spans="1:35" ht="19.5" customHeight="1" x14ac:dyDescent="0.45">
      <c r="A18" s="21"/>
      <c r="B18" s="22" t="s">
        <v>23</v>
      </c>
      <c r="C18" s="89" t="s">
        <v>15</v>
      </c>
      <c r="D18" s="92">
        <f>532.77+E18</f>
        <v>805.89</v>
      </c>
      <c r="E18" s="93">
        <f>220.96+52.16</f>
        <v>273.12</v>
      </c>
      <c r="F18" s="94" t="s">
        <v>22</v>
      </c>
      <c r="G18" s="95">
        <f t="shared" ref="G18:G81" si="10">H18++I18</f>
        <v>532.75800000000004</v>
      </c>
      <c r="H18" s="93">
        <v>532.75800000000004</v>
      </c>
      <c r="I18" s="96"/>
      <c r="J18" s="96">
        <v>305.2</v>
      </c>
      <c r="K18" s="96">
        <f>363.2+18.08+151.478</f>
        <v>532.75800000000004</v>
      </c>
      <c r="L18" s="95">
        <f t="shared" ref="L18:L81" si="11">J18+K18</f>
        <v>837.95800000000008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106">
        <f t="shared" si="6"/>
        <v>0</v>
      </c>
      <c r="Z18" s="106">
        <f t="shared" si="7"/>
        <v>0</v>
      </c>
      <c r="AA18" s="106">
        <f t="shared" si="8"/>
        <v>0</v>
      </c>
      <c r="AB18" s="106">
        <f t="shared" ref="AB18:AB81" si="12">L18+AA18</f>
        <v>837.95800000000008</v>
      </c>
      <c r="AC18" s="106">
        <f t="shared" ref="AC18:AC81" si="13">H18-K18-Y18</f>
        <v>0</v>
      </c>
      <c r="AD18" s="106">
        <f t="shared" ref="AD18:AD81" si="14">I18-Z18</f>
        <v>0</v>
      </c>
      <c r="AE18" s="106">
        <f t="shared" ref="AE18:AE81" si="15">AC18+AD18</f>
        <v>0</v>
      </c>
      <c r="AF18" s="106" t="s">
        <v>22</v>
      </c>
      <c r="AG18" s="107">
        <f t="shared" si="9"/>
        <v>-32.068000000000097</v>
      </c>
    </row>
    <row r="19" spans="1:35" ht="25.8" thickBot="1" x14ac:dyDescent="0.5">
      <c r="A19" s="14"/>
      <c r="B19" s="15" t="s">
        <v>24</v>
      </c>
      <c r="C19" s="90" t="s">
        <v>15</v>
      </c>
      <c r="D19" s="97">
        <f>3823.94+E19</f>
        <v>5277.13</v>
      </c>
      <c r="E19" s="52">
        <f>1304.4+148.79</f>
        <v>1453.19</v>
      </c>
      <c r="F19" s="4" t="s">
        <v>22</v>
      </c>
      <c r="G19" s="51">
        <f t="shared" si="10"/>
        <v>3880.2960000000003</v>
      </c>
      <c r="H19" s="52">
        <f>3823.897+0.043</f>
        <v>3823.94</v>
      </c>
      <c r="I19" s="53">
        <v>56.356000000000002</v>
      </c>
      <c r="J19" s="53">
        <v>49.7</v>
      </c>
      <c r="K19" s="53">
        <f>1269.37+1275.024+1279.503</f>
        <v>3823.8969999999999</v>
      </c>
      <c r="L19" s="51">
        <f t="shared" si="11"/>
        <v>3873.5969999999998</v>
      </c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108">
        <f t="shared" si="6"/>
        <v>0</v>
      </c>
      <c r="Z19" s="108">
        <f t="shared" si="7"/>
        <v>0</v>
      </c>
      <c r="AA19" s="108">
        <f t="shared" si="8"/>
        <v>0</v>
      </c>
      <c r="AB19" s="108">
        <f t="shared" si="12"/>
        <v>3873.5969999999998</v>
      </c>
      <c r="AC19" s="108">
        <f t="shared" si="13"/>
        <v>4.3000000000120053E-2</v>
      </c>
      <c r="AD19" s="108">
        <f t="shared" si="14"/>
        <v>56.356000000000002</v>
      </c>
      <c r="AE19" s="108">
        <f t="shared" si="15"/>
        <v>56.399000000000122</v>
      </c>
      <c r="AF19" s="108" t="s">
        <v>22</v>
      </c>
      <c r="AG19" s="109">
        <f t="shared" si="9"/>
        <v>1403.5330000000004</v>
      </c>
    </row>
    <row r="20" spans="1:35" ht="53.25" customHeight="1" thickBot="1" x14ac:dyDescent="0.5">
      <c r="A20" s="8">
        <v>2</v>
      </c>
      <c r="B20" s="98" t="s">
        <v>25</v>
      </c>
      <c r="C20" s="99" t="s">
        <v>15</v>
      </c>
      <c r="D20" s="110">
        <f>D21+D26</f>
        <v>577.41</v>
      </c>
      <c r="E20" s="110">
        <f>E21+E26</f>
        <v>149.20999999999998</v>
      </c>
      <c r="F20" s="120" t="s">
        <v>22</v>
      </c>
      <c r="G20" s="110">
        <f t="shared" si="10"/>
        <v>431.17999999999995</v>
      </c>
      <c r="H20" s="110">
        <f t="shared" ref="H20:M20" si="16">H21+H26</f>
        <v>423.97699999999998</v>
      </c>
      <c r="I20" s="110">
        <f t="shared" ref="I20" si="17">I21+I26</f>
        <v>7.2030000000000012</v>
      </c>
      <c r="J20" s="110">
        <f t="shared" si="16"/>
        <v>81.2</v>
      </c>
      <c r="K20" s="110">
        <f t="shared" si="16"/>
        <v>423.65600000000001</v>
      </c>
      <c r="L20" s="110">
        <f t="shared" si="11"/>
        <v>504.85599999999999</v>
      </c>
      <c r="M20" s="110">
        <f t="shared" si="16"/>
        <v>0</v>
      </c>
      <c r="N20" s="110">
        <f t="shared" ref="N20:X20" si="18">N21+N26</f>
        <v>0</v>
      </c>
      <c r="O20" s="110">
        <f t="shared" si="18"/>
        <v>0</v>
      </c>
      <c r="P20" s="110">
        <f t="shared" si="18"/>
        <v>0</v>
      </c>
      <c r="Q20" s="110">
        <f t="shared" si="18"/>
        <v>0</v>
      </c>
      <c r="R20" s="110">
        <f t="shared" si="18"/>
        <v>0</v>
      </c>
      <c r="S20" s="110">
        <f t="shared" si="18"/>
        <v>0</v>
      </c>
      <c r="T20" s="110">
        <f t="shared" si="18"/>
        <v>0</v>
      </c>
      <c r="U20" s="110">
        <f t="shared" si="18"/>
        <v>0</v>
      </c>
      <c r="V20" s="110">
        <f t="shared" si="18"/>
        <v>0</v>
      </c>
      <c r="W20" s="110">
        <f t="shared" si="18"/>
        <v>0</v>
      </c>
      <c r="X20" s="110">
        <f t="shared" si="18"/>
        <v>0</v>
      </c>
      <c r="Y20" s="110">
        <f t="shared" si="6"/>
        <v>0</v>
      </c>
      <c r="Z20" s="110">
        <f>N20+P20+R20+T20+V20+X20</f>
        <v>0</v>
      </c>
      <c r="AA20" s="110">
        <f>Y20+Z20</f>
        <v>0</v>
      </c>
      <c r="AB20" s="110">
        <f t="shared" si="12"/>
        <v>504.85599999999999</v>
      </c>
      <c r="AC20" s="110">
        <f t="shared" si="13"/>
        <v>0.32099999999996953</v>
      </c>
      <c r="AD20" s="110">
        <f t="shared" si="14"/>
        <v>7.2030000000000012</v>
      </c>
      <c r="AE20" s="110">
        <f t="shared" si="15"/>
        <v>7.5239999999999707</v>
      </c>
      <c r="AF20" s="110" t="s">
        <v>22</v>
      </c>
      <c r="AG20" s="110">
        <f t="shared" si="9"/>
        <v>72.553999999999974</v>
      </c>
      <c r="AH20" s="134"/>
    </row>
    <row r="21" spans="1:35" ht="31.8" thickBot="1" x14ac:dyDescent="0.5">
      <c r="A21" s="100" t="s">
        <v>26</v>
      </c>
      <c r="B21" s="101" t="s">
        <v>27</v>
      </c>
      <c r="C21" s="102" t="s">
        <v>15</v>
      </c>
      <c r="D21" s="111">
        <f>D22+D23+D24+D25</f>
        <v>180.47</v>
      </c>
      <c r="E21" s="111">
        <f>E22+E23+E24+E25</f>
        <v>50.87</v>
      </c>
      <c r="F21" s="121" t="s">
        <v>22</v>
      </c>
      <c r="G21" s="111">
        <f t="shared" si="10"/>
        <v>126.063</v>
      </c>
      <c r="H21" s="111">
        <f>H22+H23+H24+H25</f>
        <v>126.063</v>
      </c>
      <c r="I21" s="111">
        <f>I22+I23+I24+I25</f>
        <v>0</v>
      </c>
      <c r="J21" s="111">
        <f>J22+J23+J24+J25</f>
        <v>1.4</v>
      </c>
      <c r="K21" s="111">
        <f>K22+K23+K24+K25</f>
        <v>126.063</v>
      </c>
      <c r="L21" s="111">
        <f t="shared" si="11"/>
        <v>127.46300000000001</v>
      </c>
      <c r="M21" s="111">
        <f t="shared" ref="M21:R21" si="19">M22+M23+M24+M25</f>
        <v>0</v>
      </c>
      <c r="N21" s="111">
        <f t="shared" si="19"/>
        <v>0</v>
      </c>
      <c r="O21" s="111">
        <f t="shared" si="19"/>
        <v>0</v>
      </c>
      <c r="P21" s="111">
        <f t="shared" si="19"/>
        <v>0</v>
      </c>
      <c r="Q21" s="111">
        <f t="shared" si="19"/>
        <v>0</v>
      </c>
      <c r="R21" s="111">
        <f t="shared" si="19"/>
        <v>0</v>
      </c>
      <c r="S21" s="111">
        <f t="shared" ref="S21:X21" si="20">S22+S23+S24+S25</f>
        <v>0</v>
      </c>
      <c r="T21" s="111">
        <f t="shared" si="20"/>
        <v>0</v>
      </c>
      <c r="U21" s="111">
        <f t="shared" si="20"/>
        <v>0</v>
      </c>
      <c r="V21" s="111">
        <f t="shared" si="20"/>
        <v>0</v>
      </c>
      <c r="W21" s="111">
        <f t="shared" si="20"/>
        <v>0</v>
      </c>
      <c r="X21" s="111">
        <f t="shared" si="20"/>
        <v>0</v>
      </c>
      <c r="Y21" s="111">
        <f>M21+O21+Q21+S21+U21+W21</f>
        <v>0</v>
      </c>
      <c r="Z21" s="111">
        <f t="shared" si="7"/>
        <v>0</v>
      </c>
      <c r="AA21" s="111">
        <f>Y21+Z21</f>
        <v>0</v>
      </c>
      <c r="AB21" s="111">
        <f t="shared" si="12"/>
        <v>127.46300000000001</v>
      </c>
      <c r="AC21" s="111">
        <f t="shared" si="13"/>
        <v>0</v>
      </c>
      <c r="AD21" s="111">
        <f t="shared" si="14"/>
        <v>0</v>
      </c>
      <c r="AE21" s="111">
        <f t="shared" si="15"/>
        <v>0</v>
      </c>
      <c r="AF21" s="111" t="s">
        <v>22</v>
      </c>
      <c r="AG21" s="112">
        <f t="shared" si="9"/>
        <v>53.006999999999991</v>
      </c>
      <c r="AH21" s="134"/>
    </row>
    <row r="22" spans="1:35" ht="35.25" customHeight="1" x14ac:dyDescent="0.45">
      <c r="A22" s="21"/>
      <c r="B22" s="25" t="s">
        <v>28</v>
      </c>
      <c r="C22" s="91" t="s">
        <v>15</v>
      </c>
      <c r="D22" s="54">
        <f>124.99+E22</f>
        <v>169.93</v>
      </c>
      <c r="E22" s="54">
        <v>44.94</v>
      </c>
      <c r="F22" s="23" t="s">
        <v>22</v>
      </c>
      <c r="G22" s="48">
        <f t="shared" si="10"/>
        <v>122.378</v>
      </c>
      <c r="H22" s="54">
        <v>122.378</v>
      </c>
      <c r="I22" s="50"/>
      <c r="J22" s="50">
        <v>1.4</v>
      </c>
      <c r="K22" s="50">
        <f>41.97+35.792+44.616</f>
        <v>122.378</v>
      </c>
      <c r="L22" s="48">
        <f t="shared" si="11"/>
        <v>123.77800000000001</v>
      </c>
      <c r="M22" s="54"/>
      <c r="N22" s="54"/>
      <c r="O22" s="54"/>
      <c r="P22" s="54"/>
      <c r="Q22" s="54"/>
      <c r="R22" s="54"/>
      <c r="S22" s="54"/>
      <c r="T22" s="54"/>
      <c r="U22" s="50"/>
      <c r="V22" s="50"/>
      <c r="W22" s="54"/>
      <c r="X22" s="54"/>
      <c r="Y22" s="113">
        <f t="shared" si="6"/>
        <v>0</v>
      </c>
      <c r="Z22" s="113">
        <f t="shared" si="7"/>
        <v>0</v>
      </c>
      <c r="AA22" s="113">
        <f t="shared" si="8"/>
        <v>0</v>
      </c>
      <c r="AB22" s="113">
        <f t="shared" si="12"/>
        <v>123.77800000000001</v>
      </c>
      <c r="AC22" s="113">
        <f t="shared" si="13"/>
        <v>0</v>
      </c>
      <c r="AD22" s="113">
        <f t="shared" si="14"/>
        <v>0</v>
      </c>
      <c r="AE22" s="113">
        <f t="shared" si="15"/>
        <v>0</v>
      </c>
      <c r="AF22" s="113" t="s">
        <v>22</v>
      </c>
      <c r="AG22" s="114">
        <f t="shared" si="9"/>
        <v>46.152000000000001</v>
      </c>
    </row>
    <row r="23" spans="1:35" ht="30" customHeight="1" x14ac:dyDescent="0.45">
      <c r="A23" s="21"/>
      <c r="B23" s="25" t="s">
        <v>29</v>
      </c>
      <c r="C23" s="91" t="s">
        <v>15</v>
      </c>
      <c r="D23" s="56"/>
      <c r="E23" s="56"/>
      <c r="F23" s="3" t="s">
        <v>22</v>
      </c>
      <c r="G23" s="55">
        <f t="shared" si="10"/>
        <v>0</v>
      </c>
      <c r="H23" s="56"/>
      <c r="I23" s="57"/>
      <c r="J23" s="57"/>
      <c r="K23" s="57"/>
      <c r="L23" s="55">
        <f t="shared" si="11"/>
        <v>0</v>
      </c>
      <c r="M23" s="56"/>
      <c r="N23" s="56"/>
      <c r="O23" s="56"/>
      <c r="P23" s="56"/>
      <c r="Q23" s="56"/>
      <c r="R23" s="56"/>
      <c r="S23" s="56"/>
      <c r="T23" s="56"/>
      <c r="U23" s="57"/>
      <c r="V23" s="57"/>
      <c r="W23" s="56"/>
      <c r="X23" s="56"/>
      <c r="Y23" s="115">
        <f t="shared" si="6"/>
        <v>0</v>
      </c>
      <c r="Z23" s="115">
        <f t="shared" si="7"/>
        <v>0</v>
      </c>
      <c r="AA23" s="115">
        <f t="shared" si="8"/>
        <v>0</v>
      </c>
      <c r="AB23" s="115">
        <f t="shared" si="12"/>
        <v>0</v>
      </c>
      <c r="AC23" s="115">
        <f t="shared" si="13"/>
        <v>0</v>
      </c>
      <c r="AD23" s="115">
        <f t="shared" si="14"/>
        <v>0</v>
      </c>
      <c r="AE23" s="115">
        <f t="shared" si="15"/>
        <v>0</v>
      </c>
      <c r="AF23" s="115" t="s">
        <v>22</v>
      </c>
      <c r="AG23" s="116">
        <f t="shared" si="9"/>
        <v>0</v>
      </c>
    </row>
    <row r="24" spans="1:35" ht="33" customHeight="1" x14ac:dyDescent="0.45">
      <c r="A24" s="26"/>
      <c r="B24" s="27" t="s">
        <v>30</v>
      </c>
      <c r="C24" s="91" t="s">
        <v>15</v>
      </c>
      <c r="D24" s="56">
        <f>4.61+E24</f>
        <v>10.54</v>
      </c>
      <c r="E24" s="56">
        <v>5.93</v>
      </c>
      <c r="F24" s="3" t="s">
        <v>22</v>
      </c>
      <c r="G24" s="55">
        <f t="shared" si="10"/>
        <v>3.6850000000000001</v>
      </c>
      <c r="H24" s="56">
        <v>3.6850000000000001</v>
      </c>
      <c r="I24" s="57"/>
      <c r="J24" s="57"/>
      <c r="K24" s="57">
        <f>0.685+3</f>
        <v>3.6850000000000001</v>
      </c>
      <c r="L24" s="55">
        <f t="shared" si="11"/>
        <v>3.6850000000000001</v>
      </c>
      <c r="M24" s="56"/>
      <c r="N24" s="56"/>
      <c r="O24" s="56"/>
      <c r="P24" s="56"/>
      <c r="Q24" s="56"/>
      <c r="R24" s="56"/>
      <c r="S24" s="56"/>
      <c r="T24" s="56"/>
      <c r="U24" s="57"/>
      <c r="V24" s="57"/>
      <c r="W24" s="56"/>
      <c r="X24" s="56"/>
      <c r="Y24" s="115">
        <f t="shared" si="6"/>
        <v>0</v>
      </c>
      <c r="Z24" s="115">
        <f t="shared" si="7"/>
        <v>0</v>
      </c>
      <c r="AA24" s="115">
        <f t="shared" si="8"/>
        <v>0</v>
      </c>
      <c r="AB24" s="115">
        <f t="shared" si="12"/>
        <v>3.6850000000000001</v>
      </c>
      <c r="AC24" s="115">
        <f t="shared" si="13"/>
        <v>0</v>
      </c>
      <c r="AD24" s="115">
        <f t="shared" si="14"/>
        <v>0</v>
      </c>
      <c r="AE24" s="115">
        <f t="shared" si="15"/>
        <v>0</v>
      </c>
      <c r="AF24" s="115" t="s">
        <v>22</v>
      </c>
      <c r="AG24" s="116">
        <f t="shared" si="9"/>
        <v>6.8549999999999986</v>
      </c>
    </row>
    <row r="25" spans="1:35" ht="92.25" customHeight="1" thickBot="1" x14ac:dyDescent="0.5">
      <c r="A25" s="14"/>
      <c r="B25" s="28" t="s">
        <v>31</v>
      </c>
      <c r="C25" s="103" t="s">
        <v>15</v>
      </c>
      <c r="D25" s="58"/>
      <c r="E25" s="58"/>
      <c r="F25" s="4" t="s">
        <v>22</v>
      </c>
      <c r="G25" s="51">
        <f t="shared" si="10"/>
        <v>0</v>
      </c>
      <c r="H25" s="58"/>
      <c r="I25" s="53"/>
      <c r="J25" s="53"/>
      <c r="K25" s="53"/>
      <c r="L25" s="51">
        <f t="shared" si="11"/>
        <v>0</v>
      </c>
      <c r="M25" s="58"/>
      <c r="N25" s="58"/>
      <c r="O25" s="58"/>
      <c r="P25" s="58"/>
      <c r="Q25" s="58"/>
      <c r="R25" s="58"/>
      <c r="S25" s="58"/>
      <c r="T25" s="58"/>
      <c r="U25" s="53"/>
      <c r="V25" s="53"/>
      <c r="W25" s="58"/>
      <c r="X25" s="58"/>
      <c r="Y25" s="108">
        <f t="shared" si="6"/>
        <v>0</v>
      </c>
      <c r="Z25" s="108">
        <f t="shared" si="7"/>
        <v>0</v>
      </c>
      <c r="AA25" s="108">
        <f t="shared" si="8"/>
        <v>0</v>
      </c>
      <c r="AB25" s="108">
        <f t="shared" si="12"/>
        <v>0</v>
      </c>
      <c r="AC25" s="108">
        <f t="shared" si="13"/>
        <v>0</v>
      </c>
      <c r="AD25" s="108">
        <f t="shared" si="14"/>
        <v>0</v>
      </c>
      <c r="AE25" s="108">
        <f t="shared" si="15"/>
        <v>0</v>
      </c>
      <c r="AF25" s="108" t="s">
        <v>22</v>
      </c>
      <c r="AG25" s="109">
        <f t="shared" si="9"/>
        <v>0</v>
      </c>
    </row>
    <row r="26" spans="1:35" ht="63.75" customHeight="1" thickBot="1" x14ac:dyDescent="0.5">
      <c r="A26" s="24" t="s">
        <v>32</v>
      </c>
      <c r="B26" s="29" t="s">
        <v>33</v>
      </c>
      <c r="C26" s="103" t="s">
        <v>15</v>
      </c>
      <c r="D26" s="117">
        <f>SUM(D27:D42)</f>
        <v>396.94</v>
      </c>
      <c r="E26" s="117">
        <f t="shared" ref="E26:X26" si="21">SUM(E27:E42)</f>
        <v>98.339999999999989</v>
      </c>
      <c r="F26" s="122" t="s">
        <v>22</v>
      </c>
      <c r="G26" s="117">
        <f t="shared" si="10"/>
        <v>305.11699999999996</v>
      </c>
      <c r="H26" s="117">
        <f t="shared" si="21"/>
        <v>297.91399999999999</v>
      </c>
      <c r="I26" s="117">
        <f t="shared" si="21"/>
        <v>7.2030000000000012</v>
      </c>
      <c r="J26" s="117">
        <f t="shared" si="21"/>
        <v>79.8</v>
      </c>
      <c r="K26" s="117">
        <f t="shared" si="21"/>
        <v>297.59300000000002</v>
      </c>
      <c r="L26" s="117">
        <f t="shared" si="11"/>
        <v>377.39300000000003</v>
      </c>
      <c r="M26" s="117">
        <f t="shared" si="21"/>
        <v>0</v>
      </c>
      <c r="N26" s="117">
        <f t="shared" si="21"/>
        <v>0</v>
      </c>
      <c r="O26" s="117">
        <f t="shared" si="21"/>
        <v>0</v>
      </c>
      <c r="P26" s="117">
        <f t="shared" si="21"/>
        <v>0</v>
      </c>
      <c r="Q26" s="117">
        <f t="shared" si="21"/>
        <v>0</v>
      </c>
      <c r="R26" s="117">
        <f t="shared" si="21"/>
        <v>0</v>
      </c>
      <c r="S26" s="117">
        <f t="shared" si="21"/>
        <v>0</v>
      </c>
      <c r="T26" s="117">
        <f t="shared" si="21"/>
        <v>0</v>
      </c>
      <c r="U26" s="117">
        <f t="shared" si="21"/>
        <v>0</v>
      </c>
      <c r="V26" s="117">
        <f t="shared" si="21"/>
        <v>0</v>
      </c>
      <c r="W26" s="117">
        <f t="shared" si="21"/>
        <v>0</v>
      </c>
      <c r="X26" s="117">
        <f t="shared" si="21"/>
        <v>0</v>
      </c>
      <c r="Y26" s="117">
        <f t="shared" si="6"/>
        <v>0</v>
      </c>
      <c r="Z26" s="117">
        <f t="shared" si="7"/>
        <v>0</v>
      </c>
      <c r="AA26" s="117">
        <f t="shared" si="8"/>
        <v>0</v>
      </c>
      <c r="AB26" s="117">
        <f t="shared" si="12"/>
        <v>377.39300000000003</v>
      </c>
      <c r="AC26" s="117">
        <f t="shared" si="13"/>
        <v>0.32099999999996953</v>
      </c>
      <c r="AD26" s="117">
        <f t="shared" si="14"/>
        <v>7.2030000000000012</v>
      </c>
      <c r="AE26" s="117">
        <f t="shared" si="15"/>
        <v>7.5239999999999707</v>
      </c>
      <c r="AF26" s="117" t="s">
        <v>22</v>
      </c>
      <c r="AG26" s="118">
        <f t="shared" si="9"/>
        <v>19.546999999999969</v>
      </c>
      <c r="AH26" s="134"/>
    </row>
    <row r="27" spans="1:35" ht="46.8" x14ac:dyDescent="0.45">
      <c r="A27" s="21"/>
      <c r="B27" s="30" t="s">
        <v>34</v>
      </c>
      <c r="C27" s="91" t="s">
        <v>15</v>
      </c>
      <c r="D27" s="54">
        <f>37.44+E27</f>
        <v>56.9</v>
      </c>
      <c r="E27" s="54">
        <v>19.46</v>
      </c>
      <c r="F27" s="23" t="s">
        <v>22</v>
      </c>
      <c r="G27" s="48">
        <f t="shared" si="10"/>
        <v>37.44</v>
      </c>
      <c r="H27" s="54">
        <v>37.44</v>
      </c>
      <c r="I27" s="50"/>
      <c r="J27" s="50"/>
      <c r="K27" s="50">
        <f>4.43+15.816+17.194</f>
        <v>37.44</v>
      </c>
      <c r="L27" s="48">
        <f t="shared" si="11"/>
        <v>37.44</v>
      </c>
      <c r="M27" s="54"/>
      <c r="N27" s="54"/>
      <c r="O27" s="54"/>
      <c r="P27" s="54"/>
      <c r="Q27" s="54"/>
      <c r="R27" s="54"/>
      <c r="S27" s="54"/>
      <c r="T27" s="54"/>
      <c r="U27" s="50"/>
      <c r="V27" s="50"/>
      <c r="W27" s="54"/>
      <c r="X27" s="54"/>
      <c r="Y27" s="113">
        <f t="shared" si="6"/>
        <v>0</v>
      </c>
      <c r="Z27" s="113">
        <f t="shared" si="7"/>
        <v>0</v>
      </c>
      <c r="AA27" s="113">
        <f t="shared" si="8"/>
        <v>0</v>
      </c>
      <c r="AB27" s="113">
        <f t="shared" si="12"/>
        <v>37.44</v>
      </c>
      <c r="AC27" s="113">
        <f t="shared" si="13"/>
        <v>0</v>
      </c>
      <c r="AD27" s="113">
        <f t="shared" si="14"/>
        <v>0</v>
      </c>
      <c r="AE27" s="113">
        <f t="shared" si="15"/>
        <v>0</v>
      </c>
      <c r="AF27" s="113" t="s">
        <v>22</v>
      </c>
      <c r="AG27" s="114">
        <f t="shared" si="9"/>
        <v>19.46</v>
      </c>
    </row>
    <row r="28" spans="1:35" ht="31.2" x14ac:dyDescent="0.45">
      <c r="A28" s="26"/>
      <c r="B28" s="31" t="s">
        <v>35</v>
      </c>
      <c r="C28" s="91" t="s">
        <v>15</v>
      </c>
      <c r="D28" s="56"/>
      <c r="E28" s="56"/>
      <c r="F28" s="3" t="s">
        <v>22</v>
      </c>
      <c r="G28" s="55">
        <f t="shared" si="10"/>
        <v>0</v>
      </c>
      <c r="H28" s="56"/>
      <c r="I28" s="57"/>
      <c r="J28" s="57"/>
      <c r="K28" s="57"/>
      <c r="L28" s="55">
        <f t="shared" si="11"/>
        <v>0</v>
      </c>
      <c r="M28" s="56"/>
      <c r="N28" s="56"/>
      <c r="O28" s="56"/>
      <c r="P28" s="56"/>
      <c r="Q28" s="56"/>
      <c r="R28" s="56"/>
      <c r="S28" s="56"/>
      <c r="T28" s="56"/>
      <c r="U28" s="57"/>
      <c r="V28" s="57"/>
      <c r="W28" s="56"/>
      <c r="X28" s="56"/>
      <c r="Y28" s="115">
        <f t="shared" si="6"/>
        <v>0</v>
      </c>
      <c r="Z28" s="115">
        <f t="shared" si="7"/>
        <v>0</v>
      </c>
      <c r="AA28" s="115">
        <f t="shared" si="8"/>
        <v>0</v>
      </c>
      <c r="AB28" s="115">
        <f t="shared" si="12"/>
        <v>0</v>
      </c>
      <c r="AC28" s="115">
        <f t="shared" si="13"/>
        <v>0</v>
      </c>
      <c r="AD28" s="115">
        <f t="shared" si="14"/>
        <v>0</v>
      </c>
      <c r="AE28" s="115">
        <f t="shared" si="15"/>
        <v>0</v>
      </c>
      <c r="AF28" s="115" t="s">
        <v>22</v>
      </c>
      <c r="AG28" s="116">
        <f t="shared" si="9"/>
        <v>0</v>
      </c>
    </row>
    <row r="29" spans="1:35" ht="31.2" x14ac:dyDescent="0.45">
      <c r="A29" s="26"/>
      <c r="B29" s="31" t="s">
        <v>36</v>
      </c>
      <c r="C29" s="91" t="s">
        <v>15</v>
      </c>
      <c r="D29" s="56"/>
      <c r="E29" s="56"/>
      <c r="F29" s="3" t="s">
        <v>22</v>
      </c>
      <c r="G29" s="55">
        <f t="shared" si="10"/>
        <v>0</v>
      </c>
      <c r="H29" s="56"/>
      <c r="I29" s="57"/>
      <c r="J29" s="57">
        <v>74.099999999999994</v>
      </c>
      <c r="K29" s="57"/>
      <c r="L29" s="55">
        <f t="shared" si="11"/>
        <v>74.099999999999994</v>
      </c>
      <c r="M29" s="56"/>
      <c r="N29" s="56"/>
      <c r="O29" s="56"/>
      <c r="P29" s="56"/>
      <c r="Q29" s="56"/>
      <c r="R29" s="56"/>
      <c r="S29" s="56"/>
      <c r="T29" s="56"/>
      <c r="U29" s="57"/>
      <c r="V29" s="57"/>
      <c r="W29" s="56"/>
      <c r="X29" s="56"/>
      <c r="Y29" s="115">
        <f t="shared" si="6"/>
        <v>0</v>
      </c>
      <c r="Z29" s="115">
        <f t="shared" si="7"/>
        <v>0</v>
      </c>
      <c r="AA29" s="115">
        <f t="shared" si="8"/>
        <v>0</v>
      </c>
      <c r="AB29" s="115">
        <f t="shared" si="12"/>
        <v>74.099999999999994</v>
      </c>
      <c r="AC29" s="115">
        <f t="shared" si="13"/>
        <v>0</v>
      </c>
      <c r="AD29" s="115">
        <f t="shared" si="14"/>
        <v>0</v>
      </c>
      <c r="AE29" s="115">
        <f t="shared" si="15"/>
        <v>0</v>
      </c>
      <c r="AF29" s="115" t="s">
        <v>22</v>
      </c>
      <c r="AG29" s="116">
        <f t="shared" si="9"/>
        <v>-74.099999999999994</v>
      </c>
    </row>
    <row r="30" spans="1:35" ht="36" customHeight="1" x14ac:dyDescent="0.45">
      <c r="A30" s="26"/>
      <c r="B30" s="31" t="s">
        <v>37</v>
      </c>
      <c r="C30" s="91" t="s">
        <v>15</v>
      </c>
      <c r="D30" s="56"/>
      <c r="E30" s="56"/>
      <c r="F30" s="3" t="s">
        <v>22</v>
      </c>
      <c r="G30" s="55">
        <f t="shared" si="10"/>
        <v>0</v>
      </c>
      <c r="H30" s="56"/>
      <c r="I30" s="57"/>
      <c r="J30" s="57"/>
      <c r="K30" s="57"/>
      <c r="L30" s="55">
        <f t="shared" si="11"/>
        <v>0</v>
      </c>
      <c r="M30" s="56"/>
      <c r="N30" s="56"/>
      <c r="O30" s="56"/>
      <c r="P30" s="56"/>
      <c r="Q30" s="56"/>
      <c r="R30" s="56"/>
      <c r="S30" s="56"/>
      <c r="T30" s="56"/>
      <c r="U30" s="57"/>
      <c r="V30" s="57"/>
      <c r="W30" s="56"/>
      <c r="X30" s="56"/>
      <c r="Y30" s="115">
        <f t="shared" si="6"/>
        <v>0</v>
      </c>
      <c r="Z30" s="115">
        <f t="shared" si="7"/>
        <v>0</v>
      </c>
      <c r="AA30" s="115">
        <f>Y30+Z30</f>
        <v>0</v>
      </c>
      <c r="AB30" s="115">
        <f t="shared" si="12"/>
        <v>0</v>
      </c>
      <c r="AC30" s="115">
        <f t="shared" si="13"/>
        <v>0</v>
      </c>
      <c r="AD30" s="115">
        <f t="shared" si="14"/>
        <v>0</v>
      </c>
      <c r="AE30" s="115">
        <f t="shared" si="15"/>
        <v>0</v>
      </c>
      <c r="AF30" s="115" t="s">
        <v>22</v>
      </c>
      <c r="AG30" s="116">
        <f t="shared" si="9"/>
        <v>0</v>
      </c>
    </row>
    <row r="31" spans="1:35" ht="46.8" x14ac:dyDescent="0.45">
      <c r="A31" s="26"/>
      <c r="B31" s="31" t="s">
        <v>38</v>
      </c>
      <c r="C31" s="91" t="s">
        <v>15</v>
      </c>
      <c r="D31" s="56">
        <v>0.55000000000000004</v>
      </c>
      <c r="E31" s="56"/>
      <c r="F31" s="3" t="s">
        <v>22</v>
      </c>
      <c r="G31" s="55">
        <f t="shared" si="10"/>
        <v>0.55000000000000004</v>
      </c>
      <c r="H31" s="56">
        <v>0.55000000000000004</v>
      </c>
      <c r="I31" s="57"/>
      <c r="J31" s="57"/>
      <c r="K31" s="57">
        <f>0.55</f>
        <v>0.55000000000000004</v>
      </c>
      <c r="L31" s="55">
        <f t="shared" si="11"/>
        <v>0.55000000000000004</v>
      </c>
      <c r="M31" s="56"/>
      <c r="N31" s="56"/>
      <c r="O31" s="56"/>
      <c r="P31" s="56"/>
      <c r="Q31" s="56"/>
      <c r="R31" s="56"/>
      <c r="S31" s="56"/>
      <c r="T31" s="56"/>
      <c r="U31" s="57"/>
      <c r="V31" s="57"/>
      <c r="W31" s="56"/>
      <c r="X31" s="56"/>
      <c r="Y31" s="115">
        <f t="shared" si="6"/>
        <v>0</v>
      </c>
      <c r="Z31" s="115">
        <f t="shared" si="7"/>
        <v>0</v>
      </c>
      <c r="AA31" s="115">
        <f t="shared" ref="AA31:AA82" si="22">Y31+Z31</f>
        <v>0</v>
      </c>
      <c r="AB31" s="115">
        <f t="shared" si="12"/>
        <v>0.55000000000000004</v>
      </c>
      <c r="AC31" s="115">
        <f t="shared" si="13"/>
        <v>0</v>
      </c>
      <c r="AD31" s="115">
        <f t="shared" si="14"/>
        <v>0</v>
      </c>
      <c r="AE31" s="115">
        <f t="shared" si="15"/>
        <v>0</v>
      </c>
      <c r="AF31" s="115" t="s">
        <v>22</v>
      </c>
      <c r="AG31" s="116">
        <f t="shared" si="9"/>
        <v>0</v>
      </c>
    </row>
    <row r="32" spans="1:35" ht="25.2" x14ac:dyDescent="0.45">
      <c r="A32" s="26"/>
      <c r="B32" s="27" t="s">
        <v>39</v>
      </c>
      <c r="C32" s="91" t="s">
        <v>15</v>
      </c>
      <c r="D32" s="56">
        <f>4.56+E32</f>
        <v>6.02</v>
      </c>
      <c r="E32" s="56">
        <v>1.46</v>
      </c>
      <c r="F32" s="3" t="s">
        <v>22</v>
      </c>
      <c r="G32" s="55">
        <f t="shared" si="10"/>
        <v>4.55</v>
      </c>
      <c r="H32" s="56">
        <v>4.55</v>
      </c>
      <c r="I32" s="57"/>
      <c r="J32" s="57"/>
      <c r="K32" s="57">
        <f>3.82+0.73</f>
        <v>4.55</v>
      </c>
      <c r="L32" s="55">
        <f t="shared" si="11"/>
        <v>4.55</v>
      </c>
      <c r="M32" s="56"/>
      <c r="N32" s="56"/>
      <c r="O32" s="56"/>
      <c r="P32" s="56"/>
      <c r="Q32" s="56"/>
      <c r="R32" s="56"/>
      <c r="S32" s="56"/>
      <c r="T32" s="56"/>
      <c r="U32" s="57"/>
      <c r="V32" s="57"/>
      <c r="W32" s="56"/>
      <c r="X32" s="56"/>
      <c r="Y32" s="115">
        <f t="shared" si="6"/>
        <v>0</v>
      </c>
      <c r="Z32" s="115">
        <f t="shared" si="7"/>
        <v>0</v>
      </c>
      <c r="AA32" s="115">
        <f t="shared" si="22"/>
        <v>0</v>
      </c>
      <c r="AB32" s="115">
        <f t="shared" si="12"/>
        <v>4.55</v>
      </c>
      <c r="AC32" s="115">
        <f t="shared" si="13"/>
        <v>0</v>
      </c>
      <c r="AD32" s="115">
        <f t="shared" si="14"/>
        <v>0</v>
      </c>
      <c r="AE32" s="115">
        <f t="shared" si="15"/>
        <v>0</v>
      </c>
      <c r="AF32" s="115" t="s">
        <v>22</v>
      </c>
      <c r="AG32" s="116">
        <f t="shared" si="9"/>
        <v>1.4699999999999998</v>
      </c>
    </row>
    <row r="33" spans="1:33" ht="46.8" x14ac:dyDescent="0.45">
      <c r="A33" s="26"/>
      <c r="B33" s="27" t="s">
        <v>40</v>
      </c>
      <c r="C33" s="91" t="s">
        <v>15</v>
      </c>
      <c r="D33" s="56">
        <f>70.51+E33</f>
        <v>86.98</v>
      </c>
      <c r="E33" s="56">
        <v>16.47</v>
      </c>
      <c r="F33" s="3" t="s">
        <v>22</v>
      </c>
      <c r="G33" s="55">
        <f t="shared" si="10"/>
        <v>70.268000000000001</v>
      </c>
      <c r="H33" s="56">
        <v>70.268000000000001</v>
      </c>
      <c r="I33" s="57"/>
      <c r="J33" s="57">
        <v>4.5</v>
      </c>
      <c r="K33" s="57">
        <f>13.73+31.561+24.977</f>
        <v>70.268000000000001</v>
      </c>
      <c r="L33" s="55">
        <f t="shared" si="11"/>
        <v>74.768000000000001</v>
      </c>
      <c r="M33" s="56"/>
      <c r="N33" s="56"/>
      <c r="O33" s="56"/>
      <c r="P33" s="56"/>
      <c r="Q33" s="56"/>
      <c r="R33" s="56"/>
      <c r="S33" s="56"/>
      <c r="T33" s="56"/>
      <c r="U33" s="57"/>
      <c r="V33" s="57"/>
      <c r="W33" s="56"/>
      <c r="X33" s="56"/>
      <c r="Y33" s="115">
        <f t="shared" si="6"/>
        <v>0</v>
      </c>
      <c r="Z33" s="115">
        <f t="shared" si="7"/>
        <v>0</v>
      </c>
      <c r="AA33" s="115">
        <f t="shared" si="22"/>
        <v>0</v>
      </c>
      <c r="AB33" s="115">
        <f t="shared" si="12"/>
        <v>74.768000000000001</v>
      </c>
      <c r="AC33" s="115">
        <f t="shared" si="13"/>
        <v>0</v>
      </c>
      <c r="AD33" s="115">
        <f t="shared" si="14"/>
        <v>0</v>
      </c>
      <c r="AE33" s="115">
        <f t="shared" si="15"/>
        <v>0</v>
      </c>
      <c r="AF33" s="115" t="s">
        <v>22</v>
      </c>
      <c r="AG33" s="116">
        <f t="shared" si="9"/>
        <v>12.212000000000003</v>
      </c>
    </row>
    <row r="34" spans="1:33" ht="33.75" customHeight="1" x14ac:dyDescent="0.45">
      <c r="A34" s="26"/>
      <c r="B34" s="31" t="s">
        <v>41</v>
      </c>
      <c r="C34" s="91" t="s">
        <v>15</v>
      </c>
      <c r="D34" s="56"/>
      <c r="E34" s="56"/>
      <c r="F34" s="3" t="s">
        <v>22</v>
      </c>
      <c r="G34" s="55">
        <f t="shared" si="10"/>
        <v>0</v>
      </c>
      <c r="H34" s="56"/>
      <c r="I34" s="57"/>
      <c r="J34" s="57"/>
      <c r="K34" s="57"/>
      <c r="L34" s="55">
        <f t="shared" si="11"/>
        <v>0</v>
      </c>
      <c r="M34" s="56"/>
      <c r="N34" s="56"/>
      <c r="O34" s="56"/>
      <c r="P34" s="56"/>
      <c r="Q34" s="56"/>
      <c r="R34" s="56"/>
      <c r="S34" s="56"/>
      <c r="T34" s="56"/>
      <c r="U34" s="57"/>
      <c r="V34" s="57"/>
      <c r="W34" s="56"/>
      <c r="X34" s="56"/>
      <c r="Y34" s="115">
        <f t="shared" si="6"/>
        <v>0</v>
      </c>
      <c r="Z34" s="115">
        <f t="shared" si="7"/>
        <v>0</v>
      </c>
      <c r="AA34" s="115">
        <f t="shared" si="22"/>
        <v>0</v>
      </c>
      <c r="AB34" s="115">
        <f t="shared" si="12"/>
        <v>0</v>
      </c>
      <c r="AC34" s="115">
        <f t="shared" si="13"/>
        <v>0</v>
      </c>
      <c r="AD34" s="115">
        <f t="shared" si="14"/>
        <v>0</v>
      </c>
      <c r="AE34" s="115">
        <f t="shared" si="15"/>
        <v>0</v>
      </c>
      <c r="AF34" s="115" t="s">
        <v>22</v>
      </c>
      <c r="AG34" s="116">
        <f t="shared" si="9"/>
        <v>0</v>
      </c>
    </row>
    <row r="35" spans="1:33" ht="93.6" x14ac:dyDescent="0.45">
      <c r="A35" s="26"/>
      <c r="B35" s="31" t="s">
        <v>42</v>
      </c>
      <c r="C35" s="91" t="s">
        <v>15</v>
      </c>
      <c r="D35" s="56"/>
      <c r="E35" s="56"/>
      <c r="F35" s="3" t="s">
        <v>22</v>
      </c>
      <c r="G35" s="55">
        <f t="shared" si="10"/>
        <v>0</v>
      </c>
      <c r="H35" s="56"/>
      <c r="I35" s="57"/>
      <c r="J35" s="57"/>
      <c r="K35" s="57"/>
      <c r="L35" s="55">
        <f t="shared" si="11"/>
        <v>0</v>
      </c>
      <c r="M35" s="56"/>
      <c r="N35" s="56"/>
      <c r="O35" s="56"/>
      <c r="P35" s="56"/>
      <c r="Q35" s="56"/>
      <c r="R35" s="56"/>
      <c r="S35" s="56"/>
      <c r="T35" s="56"/>
      <c r="U35" s="57"/>
      <c r="V35" s="57"/>
      <c r="W35" s="56"/>
      <c r="X35" s="56"/>
      <c r="Y35" s="115">
        <f t="shared" si="6"/>
        <v>0</v>
      </c>
      <c r="Z35" s="115">
        <f t="shared" si="7"/>
        <v>0</v>
      </c>
      <c r="AA35" s="115">
        <f t="shared" si="22"/>
        <v>0</v>
      </c>
      <c r="AB35" s="115">
        <f t="shared" si="12"/>
        <v>0</v>
      </c>
      <c r="AC35" s="115">
        <f t="shared" si="13"/>
        <v>0</v>
      </c>
      <c r="AD35" s="115">
        <f t="shared" si="14"/>
        <v>0</v>
      </c>
      <c r="AE35" s="115">
        <f t="shared" si="15"/>
        <v>0</v>
      </c>
      <c r="AF35" s="115" t="s">
        <v>22</v>
      </c>
      <c r="AG35" s="116">
        <f t="shared" si="9"/>
        <v>0</v>
      </c>
    </row>
    <row r="36" spans="1:33" ht="31.8" thickBot="1" x14ac:dyDescent="0.5">
      <c r="A36" s="32"/>
      <c r="B36" s="33" t="s">
        <v>43</v>
      </c>
      <c r="C36" s="91" t="s">
        <v>15</v>
      </c>
      <c r="D36" s="56">
        <f>45.22+E36</f>
        <v>61.28</v>
      </c>
      <c r="E36" s="56">
        <v>16.059999999999999</v>
      </c>
      <c r="F36" s="3" t="s">
        <v>22</v>
      </c>
      <c r="G36" s="55">
        <f t="shared" si="10"/>
        <v>47.463000000000001</v>
      </c>
      <c r="H36" s="56">
        <f>44.909+0.311</f>
        <v>45.22</v>
      </c>
      <c r="I36" s="57">
        <f>2.294-0.311+0.26</f>
        <v>2.2430000000000003</v>
      </c>
      <c r="J36" s="57"/>
      <c r="K36" s="57">
        <f>13.34+15.456+16.113</f>
        <v>44.908999999999999</v>
      </c>
      <c r="L36" s="55">
        <f t="shared" si="11"/>
        <v>44.908999999999999</v>
      </c>
      <c r="M36" s="56"/>
      <c r="N36" s="56"/>
      <c r="O36" s="56"/>
      <c r="P36" s="56"/>
      <c r="Q36" s="56"/>
      <c r="R36" s="56"/>
      <c r="S36" s="56"/>
      <c r="T36" s="56"/>
      <c r="U36" s="57"/>
      <c r="V36" s="57"/>
      <c r="W36" s="56"/>
      <c r="X36" s="56"/>
      <c r="Y36" s="115">
        <f t="shared" si="6"/>
        <v>0</v>
      </c>
      <c r="Z36" s="115">
        <f t="shared" si="7"/>
        <v>0</v>
      </c>
      <c r="AA36" s="115">
        <f t="shared" si="22"/>
        <v>0</v>
      </c>
      <c r="AB36" s="115">
        <f t="shared" si="12"/>
        <v>44.908999999999999</v>
      </c>
      <c r="AC36" s="115">
        <f t="shared" si="13"/>
        <v>0.31099999999999994</v>
      </c>
      <c r="AD36" s="115">
        <f t="shared" si="14"/>
        <v>2.2430000000000003</v>
      </c>
      <c r="AE36" s="115">
        <f t="shared" si="15"/>
        <v>2.5540000000000003</v>
      </c>
      <c r="AF36" s="115" t="s">
        <v>22</v>
      </c>
      <c r="AG36" s="116">
        <f t="shared" si="9"/>
        <v>16.371000000000002</v>
      </c>
    </row>
    <row r="37" spans="1:33" ht="31.2" x14ac:dyDescent="0.45">
      <c r="A37" s="21"/>
      <c r="B37" s="30" t="s">
        <v>44</v>
      </c>
      <c r="C37" s="91" t="s">
        <v>15</v>
      </c>
      <c r="D37" s="56">
        <f>87.55+E37</f>
        <v>116.75999999999999</v>
      </c>
      <c r="E37" s="56">
        <v>29.21</v>
      </c>
      <c r="F37" s="3" t="s">
        <v>22</v>
      </c>
      <c r="G37" s="55">
        <f t="shared" si="10"/>
        <v>90.87299999999999</v>
      </c>
      <c r="H37" s="56">
        <v>87.55</v>
      </c>
      <c r="I37" s="57">
        <f>3.441-0.118</f>
        <v>3.323</v>
      </c>
      <c r="J37" s="57">
        <v>0.8</v>
      </c>
      <c r="K37" s="57">
        <f>28.61+29.237+29.703</f>
        <v>87.55</v>
      </c>
      <c r="L37" s="55">
        <f t="shared" si="11"/>
        <v>88.35</v>
      </c>
      <c r="M37" s="56"/>
      <c r="N37" s="56"/>
      <c r="O37" s="56"/>
      <c r="P37" s="56"/>
      <c r="Q37" s="56"/>
      <c r="R37" s="56"/>
      <c r="S37" s="56"/>
      <c r="T37" s="56"/>
      <c r="U37" s="57"/>
      <c r="V37" s="57"/>
      <c r="W37" s="56"/>
      <c r="X37" s="56"/>
      <c r="Y37" s="115">
        <f t="shared" si="6"/>
        <v>0</v>
      </c>
      <c r="Z37" s="115">
        <f t="shared" si="7"/>
        <v>0</v>
      </c>
      <c r="AA37" s="115">
        <f t="shared" si="22"/>
        <v>0</v>
      </c>
      <c r="AB37" s="115">
        <f t="shared" si="12"/>
        <v>88.35</v>
      </c>
      <c r="AC37" s="115">
        <f t="shared" si="13"/>
        <v>0</v>
      </c>
      <c r="AD37" s="115">
        <f t="shared" si="14"/>
        <v>3.323</v>
      </c>
      <c r="AE37" s="115">
        <f t="shared" si="15"/>
        <v>3.323</v>
      </c>
      <c r="AF37" s="115" t="s">
        <v>22</v>
      </c>
      <c r="AG37" s="116">
        <f t="shared" si="9"/>
        <v>28.409999999999997</v>
      </c>
    </row>
    <row r="38" spans="1:33" ht="31.2" x14ac:dyDescent="0.45">
      <c r="A38" s="26"/>
      <c r="B38" s="31" t="s">
        <v>45</v>
      </c>
      <c r="C38" s="91" t="s">
        <v>15</v>
      </c>
      <c r="D38" s="56">
        <f>43.8+E38</f>
        <v>58.43</v>
      </c>
      <c r="E38" s="56">
        <v>14.63</v>
      </c>
      <c r="F38" s="3" t="s">
        <v>22</v>
      </c>
      <c r="G38" s="55">
        <f t="shared" si="10"/>
        <v>45.436999999999998</v>
      </c>
      <c r="H38" s="56">
        <f>43.79+0.01</f>
        <v>43.8</v>
      </c>
      <c r="I38" s="57">
        <v>1.637</v>
      </c>
      <c r="J38" s="57">
        <v>0.4</v>
      </c>
      <c r="K38" s="57">
        <f>13.53+15.66+14.6</f>
        <v>43.79</v>
      </c>
      <c r="L38" s="55">
        <f t="shared" si="11"/>
        <v>44.19</v>
      </c>
      <c r="M38" s="56"/>
      <c r="N38" s="56"/>
      <c r="O38" s="56"/>
      <c r="P38" s="56"/>
      <c r="Q38" s="56"/>
      <c r="R38" s="56"/>
      <c r="S38" s="56"/>
      <c r="T38" s="56"/>
      <c r="U38" s="57"/>
      <c r="V38" s="57"/>
      <c r="W38" s="56"/>
      <c r="X38" s="56"/>
      <c r="Y38" s="115">
        <f t="shared" si="6"/>
        <v>0</v>
      </c>
      <c r="Z38" s="115">
        <f t="shared" si="7"/>
        <v>0</v>
      </c>
      <c r="AA38" s="115">
        <f t="shared" si="22"/>
        <v>0</v>
      </c>
      <c r="AB38" s="115">
        <f t="shared" si="12"/>
        <v>44.19</v>
      </c>
      <c r="AC38" s="115">
        <f t="shared" si="13"/>
        <v>9.9999999999980105E-3</v>
      </c>
      <c r="AD38" s="115">
        <f t="shared" si="14"/>
        <v>1.637</v>
      </c>
      <c r="AE38" s="115">
        <f t="shared" si="15"/>
        <v>1.646999999999998</v>
      </c>
      <c r="AF38" s="115" t="s">
        <v>22</v>
      </c>
      <c r="AG38" s="116">
        <f t="shared" si="9"/>
        <v>14.240000000000002</v>
      </c>
    </row>
    <row r="39" spans="1:33" ht="46.8" x14ac:dyDescent="0.45">
      <c r="A39" s="26"/>
      <c r="B39" s="31" t="s">
        <v>46</v>
      </c>
      <c r="C39" s="91" t="s">
        <v>15</v>
      </c>
      <c r="D39" s="56"/>
      <c r="E39" s="56"/>
      <c r="F39" s="3" t="s">
        <v>22</v>
      </c>
      <c r="G39" s="55">
        <f t="shared" si="10"/>
        <v>0</v>
      </c>
      <c r="H39" s="56"/>
      <c r="I39" s="57"/>
      <c r="J39" s="57"/>
      <c r="K39" s="57"/>
      <c r="L39" s="55">
        <f t="shared" si="11"/>
        <v>0</v>
      </c>
      <c r="M39" s="56"/>
      <c r="N39" s="56"/>
      <c r="O39" s="56"/>
      <c r="P39" s="56"/>
      <c r="Q39" s="56"/>
      <c r="R39" s="56"/>
      <c r="S39" s="56"/>
      <c r="T39" s="56"/>
      <c r="U39" s="57"/>
      <c r="V39" s="57"/>
      <c r="W39" s="56"/>
      <c r="X39" s="56"/>
      <c r="Y39" s="115">
        <f t="shared" si="6"/>
        <v>0</v>
      </c>
      <c r="Z39" s="115">
        <f t="shared" si="7"/>
        <v>0</v>
      </c>
      <c r="AA39" s="115">
        <f t="shared" si="22"/>
        <v>0</v>
      </c>
      <c r="AB39" s="115">
        <f t="shared" si="12"/>
        <v>0</v>
      </c>
      <c r="AC39" s="115">
        <f t="shared" si="13"/>
        <v>0</v>
      </c>
      <c r="AD39" s="115">
        <f t="shared" si="14"/>
        <v>0</v>
      </c>
      <c r="AE39" s="115">
        <f t="shared" si="15"/>
        <v>0</v>
      </c>
      <c r="AF39" s="115" t="s">
        <v>22</v>
      </c>
      <c r="AG39" s="116">
        <f t="shared" si="9"/>
        <v>0</v>
      </c>
    </row>
    <row r="40" spans="1:33" ht="78" x14ac:dyDescent="0.45">
      <c r="A40" s="26"/>
      <c r="B40" s="31" t="s">
        <v>47</v>
      </c>
      <c r="C40" s="91" t="s">
        <v>15</v>
      </c>
      <c r="D40" s="56"/>
      <c r="E40" s="56"/>
      <c r="F40" s="3" t="s">
        <v>22</v>
      </c>
      <c r="G40" s="55">
        <f t="shared" si="10"/>
        <v>0</v>
      </c>
      <c r="H40" s="56"/>
      <c r="I40" s="57"/>
      <c r="J40" s="57"/>
      <c r="K40" s="57"/>
      <c r="L40" s="55">
        <f t="shared" si="11"/>
        <v>0</v>
      </c>
      <c r="M40" s="56"/>
      <c r="N40" s="56"/>
      <c r="O40" s="56"/>
      <c r="P40" s="56"/>
      <c r="Q40" s="56"/>
      <c r="R40" s="56"/>
      <c r="S40" s="56"/>
      <c r="T40" s="56"/>
      <c r="U40" s="57"/>
      <c r="V40" s="57"/>
      <c r="W40" s="56"/>
      <c r="X40" s="56"/>
      <c r="Y40" s="115">
        <f t="shared" si="6"/>
        <v>0</v>
      </c>
      <c r="Z40" s="115">
        <f t="shared" si="7"/>
        <v>0</v>
      </c>
      <c r="AA40" s="115">
        <f t="shared" si="22"/>
        <v>0</v>
      </c>
      <c r="AB40" s="115">
        <f t="shared" si="12"/>
        <v>0</v>
      </c>
      <c r="AC40" s="115">
        <f t="shared" si="13"/>
        <v>0</v>
      </c>
      <c r="AD40" s="115">
        <f t="shared" si="14"/>
        <v>0</v>
      </c>
      <c r="AE40" s="115">
        <f t="shared" si="15"/>
        <v>0</v>
      </c>
      <c r="AF40" s="115" t="s">
        <v>22</v>
      </c>
      <c r="AG40" s="116">
        <f t="shared" si="9"/>
        <v>0</v>
      </c>
    </row>
    <row r="41" spans="1:33" ht="78" x14ac:dyDescent="0.45">
      <c r="A41" s="26"/>
      <c r="B41" s="31" t="s">
        <v>48</v>
      </c>
      <c r="C41" s="91" t="s">
        <v>15</v>
      </c>
      <c r="D41" s="56">
        <f>6.15</f>
        <v>6.15</v>
      </c>
      <c r="E41" s="56"/>
      <c r="F41" s="3" t="s">
        <v>22</v>
      </c>
      <c r="G41" s="55">
        <f t="shared" si="10"/>
        <v>6.0789999999999997</v>
      </c>
      <c r="H41" s="56">
        <v>6.0789999999999997</v>
      </c>
      <c r="I41" s="57"/>
      <c r="J41" s="57"/>
      <c r="K41" s="57">
        <v>6.0789999999999997</v>
      </c>
      <c r="L41" s="55">
        <f t="shared" si="11"/>
        <v>6.0789999999999997</v>
      </c>
      <c r="M41" s="56"/>
      <c r="N41" s="56"/>
      <c r="O41" s="56"/>
      <c r="P41" s="56"/>
      <c r="Q41" s="56"/>
      <c r="R41" s="56"/>
      <c r="S41" s="56"/>
      <c r="T41" s="56"/>
      <c r="U41" s="57"/>
      <c r="V41" s="57"/>
      <c r="W41" s="56"/>
      <c r="X41" s="56"/>
      <c r="Y41" s="115">
        <f t="shared" si="6"/>
        <v>0</v>
      </c>
      <c r="Z41" s="115">
        <f t="shared" si="7"/>
        <v>0</v>
      </c>
      <c r="AA41" s="115">
        <f t="shared" si="22"/>
        <v>0</v>
      </c>
      <c r="AB41" s="115">
        <f t="shared" si="12"/>
        <v>6.0789999999999997</v>
      </c>
      <c r="AC41" s="115">
        <f t="shared" si="13"/>
        <v>0</v>
      </c>
      <c r="AD41" s="115">
        <f t="shared" si="14"/>
        <v>0</v>
      </c>
      <c r="AE41" s="115">
        <f t="shared" si="15"/>
        <v>0</v>
      </c>
      <c r="AF41" s="115" t="s">
        <v>22</v>
      </c>
      <c r="AG41" s="116">
        <f t="shared" si="9"/>
        <v>7.1000000000000618E-2</v>
      </c>
    </row>
    <row r="42" spans="1:33" ht="47.4" thickBot="1" x14ac:dyDescent="0.5">
      <c r="A42" s="32"/>
      <c r="B42" s="33" t="s">
        <v>49</v>
      </c>
      <c r="C42" s="103" t="s">
        <v>15</v>
      </c>
      <c r="D42" s="58">
        <f>2.82+E42</f>
        <v>3.87</v>
      </c>
      <c r="E42" s="58">
        <v>1.05</v>
      </c>
      <c r="F42" s="4" t="s">
        <v>22</v>
      </c>
      <c r="G42" s="51">
        <f t="shared" si="10"/>
        <v>2.4569999999999999</v>
      </c>
      <c r="H42" s="58">
        <v>2.4569999999999999</v>
      </c>
      <c r="I42" s="53"/>
      <c r="J42" s="53"/>
      <c r="K42" s="53">
        <f>1.737+0.72</f>
        <v>2.4569999999999999</v>
      </c>
      <c r="L42" s="51">
        <f t="shared" si="11"/>
        <v>2.4569999999999999</v>
      </c>
      <c r="M42" s="58"/>
      <c r="N42" s="58"/>
      <c r="O42" s="58"/>
      <c r="P42" s="58"/>
      <c r="Q42" s="58"/>
      <c r="R42" s="58"/>
      <c r="S42" s="58"/>
      <c r="T42" s="58"/>
      <c r="U42" s="53"/>
      <c r="V42" s="53"/>
      <c r="W42" s="58"/>
      <c r="X42" s="58"/>
      <c r="Y42" s="108">
        <f t="shared" si="6"/>
        <v>0</v>
      </c>
      <c r="Z42" s="108">
        <f t="shared" si="7"/>
        <v>0</v>
      </c>
      <c r="AA42" s="108">
        <f t="shared" si="22"/>
        <v>0</v>
      </c>
      <c r="AB42" s="108">
        <f t="shared" si="12"/>
        <v>2.4569999999999999</v>
      </c>
      <c r="AC42" s="108">
        <f t="shared" si="13"/>
        <v>0</v>
      </c>
      <c r="AD42" s="108">
        <f t="shared" si="14"/>
        <v>0</v>
      </c>
      <c r="AE42" s="108">
        <f t="shared" si="15"/>
        <v>0</v>
      </c>
      <c r="AF42" s="108" t="s">
        <v>22</v>
      </c>
      <c r="AG42" s="109">
        <f t="shared" si="9"/>
        <v>1.4130000000000003</v>
      </c>
    </row>
    <row r="43" spans="1:33" ht="34.5" customHeight="1" thickBot="1" x14ac:dyDescent="0.5">
      <c r="A43" s="14">
        <v>3</v>
      </c>
      <c r="B43" s="34" t="s">
        <v>50</v>
      </c>
      <c r="C43" s="103" t="s">
        <v>15</v>
      </c>
      <c r="D43" s="123">
        <f t="shared" ref="D43:X43" si="23">D44+D45+D46+D57</f>
        <v>2482.9</v>
      </c>
      <c r="E43" s="123">
        <f t="shared" si="23"/>
        <v>615.40000000000009</v>
      </c>
      <c r="F43" s="122" t="s">
        <v>22</v>
      </c>
      <c r="G43" s="117">
        <f t="shared" si="10"/>
        <v>1688.1310000000003</v>
      </c>
      <c r="H43" s="123">
        <f t="shared" si="23"/>
        <v>1688.1310000000003</v>
      </c>
      <c r="I43" s="123">
        <f t="shared" si="23"/>
        <v>0</v>
      </c>
      <c r="J43" s="123">
        <f t="shared" si="23"/>
        <v>25.560000000000002</v>
      </c>
      <c r="K43" s="123">
        <f t="shared" si="23"/>
        <v>1536.6249999999998</v>
      </c>
      <c r="L43" s="117">
        <f t="shared" si="11"/>
        <v>1562.1849999999997</v>
      </c>
      <c r="M43" s="123">
        <f t="shared" si="23"/>
        <v>0</v>
      </c>
      <c r="N43" s="123">
        <f t="shared" si="23"/>
        <v>0</v>
      </c>
      <c r="O43" s="123">
        <f t="shared" si="23"/>
        <v>0</v>
      </c>
      <c r="P43" s="123">
        <f t="shared" si="23"/>
        <v>0</v>
      </c>
      <c r="Q43" s="123">
        <f t="shared" si="23"/>
        <v>44.774000000000001</v>
      </c>
      <c r="R43" s="123">
        <f t="shared" si="23"/>
        <v>0</v>
      </c>
      <c r="S43" s="123">
        <f t="shared" si="23"/>
        <v>0</v>
      </c>
      <c r="T43" s="123">
        <f t="shared" si="23"/>
        <v>0</v>
      </c>
      <c r="U43" s="123">
        <f t="shared" si="23"/>
        <v>0</v>
      </c>
      <c r="V43" s="123">
        <f t="shared" si="23"/>
        <v>0</v>
      </c>
      <c r="W43" s="123">
        <f t="shared" si="23"/>
        <v>0</v>
      </c>
      <c r="X43" s="123">
        <f t="shared" si="23"/>
        <v>0</v>
      </c>
      <c r="Y43" s="117">
        <f t="shared" si="6"/>
        <v>44.774000000000001</v>
      </c>
      <c r="Z43" s="117">
        <f t="shared" si="7"/>
        <v>0</v>
      </c>
      <c r="AA43" s="117">
        <f t="shared" si="22"/>
        <v>44.774000000000001</v>
      </c>
      <c r="AB43" s="117">
        <f t="shared" si="12"/>
        <v>1606.9589999999998</v>
      </c>
      <c r="AC43" s="117">
        <f t="shared" si="13"/>
        <v>106.73200000000054</v>
      </c>
      <c r="AD43" s="117">
        <f t="shared" si="14"/>
        <v>0</v>
      </c>
      <c r="AE43" s="117">
        <f t="shared" si="15"/>
        <v>106.73200000000054</v>
      </c>
      <c r="AF43" s="117" t="s">
        <v>22</v>
      </c>
      <c r="AG43" s="118">
        <f t="shared" si="9"/>
        <v>875.94100000000037</v>
      </c>
    </row>
    <row r="44" spans="1:33" ht="25.2" x14ac:dyDescent="0.45">
      <c r="A44" s="35" t="s">
        <v>51</v>
      </c>
      <c r="B44" s="36" t="s">
        <v>52</v>
      </c>
      <c r="C44" s="91" t="s">
        <v>15</v>
      </c>
      <c r="D44" s="54">
        <f>1171.3+E44</f>
        <v>1561.6999999999998</v>
      </c>
      <c r="E44" s="54">
        <v>390.4</v>
      </c>
      <c r="F44" s="23" t="s">
        <v>22</v>
      </c>
      <c r="G44" s="48">
        <f t="shared" si="10"/>
        <v>1039.5190000000002</v>
      </c>
      <c r="H44" s="54">
        <f>929.355+13.929+5.816+10.45+2.57+0.038+0.065+10.639+12.32+54.337</f>
        <v>1039.5190000000002</v>
      </c>
      <c r="I44" s="50"/>
      <c r="J44" s="50">
        <v>17</v>
      </c>
      <c r="K44" s="50">
        <f>159.73+391.935+373.433</f>
        <v>925.09799999999996</v>
      </c>
      <c r="L44" s="48">
        <f t="shared" si="11"/>
        <v>942.09799999999996</v>
      </c>
      <c r="M44" s="54"/>
      <c r="N44" s="54"/>
      <c r="O44" s="54"/>
      <c r="P44" s="54"/>
      <c r="Q44" s="54">
        <f>1.888+2.57+0.038+0.066+10.639</f>
        <v>15.201000000000001</v>
      </c>
      <c r="R44" s="54"/>
      <c r="S44" s="54"/>
      <c r="T44" s="54"/>
      <c r="U44" s="50"/>
      <c r="V44" s="50"/>
      <c r="W44" s="54"/>
      <c r="X44" s="54"/>
      <c r="Y44" s="113">
        <f t="shared" si="6"/>
        <v>15.201000000000001</v>
      </c>
      <c r="Z44" s="113">
        <f t="shared" si="7"/>
        <v>0</v>
      </c>
      <c r="AA44" s="113">
        <f t="shared" si="22"/>
        <v>15.201000000000001</v>
      </c>
      <c r="AB44" s="113">
        <f t="shared" si="12"/>
        <v>957.29899999999998</v>
      </c>
      <c r="AC44" s="113">
        <f t="shared" si="13"/>
        <v>99.220000000000283</v>
      </c>
      <c r="AD44" s="113">
        <f t="shared" si="14"/>
        <v>0</v>
      </c>
      <c r="AE44" s="113">
        <f t="shared" si="15"/>
        <v>99.220000000000283</v>
      </c>
      <c r="AF44" s="113" t="s">
        <v>22</v>
      </c>
      <c r="AG44" s="114">
        <f t="shared" si="9"/>
        <v>604.40099999999984</v>
      </c>
    </row>
    <row r="45" spans="1:33" ht="39.75" customHeight="1" x14ac:dyDescent="0.45">
      <c r="A45" s="37" t="s">
        <v>53</v>
      </c>
      <c r="B45" s="27" t="s">
        <v>54</v>
      </c>
      <c r="C45" s="91" t="s">
        <v>15</v>
      </c>
      <c r="D45" s="56">
        <f>417.6+E45</f>
        <v>559.40000000000009</v>
      </c>
      <c r="E45" s="56">
        <v>141.80000000000001</v>
      </c>
      <c r="F45" s="3" t="s">
        <v>22</v>
      </c>
      <c r="G45" s="55">
        <f t="shared" si="10"/>
        <v>371.20600000000002</v>
      </c>
      <c r="H45" s="56">
        <f>334.138+5.355+2.14+3.845+24.017+0.833+0.878</f>
        <v>371.20600000000002</v>
      </c>
      <c r="I45" s="57"/>
      <c r="J45" s="57"/>
      <c r="K45" s="57">
        <f>138.567+54.52+141.051</f>
        <v>334.13800000000003</v>
      </c>
      <c r="L45" s="55">
        <f t="shared" si="11"/>
        <v>334.13800000000003</v>
      </c>
      <c r="M45" s="56"/>
      <c r="N45" s="56"/>
      <c r="O45" s="56"/>
      <c r="P45" s="56"/>
      <c r="Q45" s="56">
        <f>3.845+24.017+0.833+0.878</f>
        <v>29.572999999999997</v>
      </c>
      <c r="R45" s="56"/>
      <c r="S45" s="56"/>
      <c r="T45" s="56"/>
      <c r="U45" s="57"/>
      <c r="V45" s="57"/>
      <c r="W45" s="56"/>
      <c r="X45" s="56"/>
      <c r="Y45" s="115">
        <f t="shared" si="6"/>
        <v>29.572999999999997</v>
      </c>
      <c r="Z45" s="115">
        <f t="shared" si="7"/>
        <v>0</v>
      </c>
      <c r="AA45" s="115">
        <f t="shared" si="22"/>
        <v>29.572999999999997</v>
      </c>
      <c r="AB45" s="115">
        <f t="shared" si="12"/>
        <v>363.71100000000001</v>
      </c>
      <c r="AC45" s="115">
        <f t="shared" si="13"/>
        <v>7.4949999999999868</v>
      </c>
      <c r="AD45" s="115">
        <f t="shared" si="14"/>
        <v>0</v>
      </c>
      <c r="AE45" s="115">
        <f t="shared" si="15"/>
        <v>7.4949999999999868</v>
      </c>
      <c r="AF45" s="115" t="s">
        <v>22</v>
      </c>
      <c r="AG45" s="116">
        <f t="shared" si="9"/>
        <v>195.68900000000005</v>
      </c>
    </row>
    <row r="46" spans="1:33" ht="37.5" customHeight="1" x14ac:dyDescent="0.45">
      <c r="A46" s="37" t="s">
        <v>55</v>
      </c>
      <c r="B46" s="27" t="s">
        <v>56</v>
      </c>
      <c r="C46" s="91" t="s">
        <v>15</v>
      </c>
      <c r="D46" s="124">
        <f t="shared" ref="D46:X46" si="24">D47+D48+D49+D50+D56</f>
        <v>361.40000000000003</v>
      </c>
      <c r="E46" s="124">
        <f t="shared" si="24"/>
        <v>83.1</v>
      </c>
      <c r="F46" s="125" t="s">
        <v>22</v>
      </c>
      <c r="G46" s="115">
        <f t="shared" si="10"/>
        <v>277.12599999999998</v>
      </c>
      <c r="H46" s="124">
        <f t="shared" si="24"/>
        <v>277.12599999999998</v>
      </c>
      <c r="I46" s="124">
        <f t="shared" si="24"/>
        <v>0</v>
      </c>
      <c r="J46" s="124">
        <f t="shared" si="24"/>
        <v>8.56</v>
      </c>
      <c r="K46" s="124">
        <f t="shared" si="24"/>
        <v>277.10900000000004</v>
      </c>
      <c r="L46" s="115">
        <f t="shared" si="11"/>
        <v>285.66900000000004</v>
      </c>
      <c r="M46" s="124">
        <f t="shared" si="24"/>
        <v>0</v>
      </c>
      <c r="N46" s="124">
        <f t="shared" si="24"/>
        <v>0</v>
      </c>
      <c r="O46" s="124">
        <f t="shared" si="24"/>
        <v>0</v>
      </c>
      <c r="P46" s="124">
        <f t="shared" si="24"/>
        <v>0</v>
      </c>
      <c r="Q46" s="124">
        <f t="shared" si="24"/>
        <v>0</v>
      </c>
      <c r="R46" s="124">
        <f t="shared" si="24"/>
        <v>0</v>
      </c>
      <c r="S46" s="124">
        <f t="shared" si="24"/>
        <v>0</v>
      </c>
      <c r="T46" s="124">
        <f t="shared" si="24"/>
        <v>0</v>
      </c>
      <c r="U46" s="124">
        <f t="shared" si="24"/>
        <v>0</v>
      </c>
      <c r="V46" s="124">
        <f t="shared" si="24"/>
        <v>0</v>
      </c>
      <c r="W46" s="124">
        <f t="shared" si="24"/>
        <v>0</v>
      </c>
      <c r="X46" s="124">
        <f t="shared" si="24"/>
        <v>0</v>
      </c>
      <c r="Y46" s="115">
        <f t="shared" si="6"/>
        <v>0</v>
      </c>
      <c r="Z46" s="115">
        <f t="shared" si="7"/>
        <v>0</v>
      </c>
      <c r="AA46" s="115">
        <f t="shared" si="22"/>
        <v>0</v>
      </c>
      <c r="AB46" s="115">
        <f t="shared" si="12"/>
        <v>285.66900000000004</v>
      </c>
      <c r="AC46" s="115">
        <f t="shared" si="13"/>
        <v>1.6999999999939064E-2</v>
      </c>
      <c r="AD46" s="115">
        <f t="shared" si="14"/>
        <v>0</v>
      </c>
      <c r="AE46" s="115">
        <f t="shared" si="15"/>
        <v>1.6999999999939064E-2</v>
      </c>
      <c r="AF46" s="115" t="s">
        <v>22</v>
      </c>
      <c r="AG46" s="116">
        <f t="shared" si="9"/>
        <v>75.730999999999995</v>
      </c>
    </row>
    <row r="47" spans="1:33" ht="45" customHeight="1" x14ac:dyDescent="0.45">
      <c r="A47" s="26"/>
      <c r="B47" s="27" t="s">
        <v>57</v>
      </c>
      <c r="C47" s="91" t="s">
        <v>15</v>
      </c>
      <c r="D47" s="56">
        <f>20.7+E47</f>
        <v>28.9</v>
      </c>
      <c r="E47" s="56">
        <v>8.1999999999999993</v>
      </c>
      <c r="F47" s="3" t="s">
        <v>22</v>
      </c>
      <c r="G47" s="55">
        <f t="shared" si="10"/>
        <v>20.7</v>
      </c>
      <c r="H47" s="56">
        <f>20.7</f>
        <v>20.7</v>
      </c>
      <c r="I47" s="57"/>
      <c r="J47" s="57">
        <v>0.18</v>
      </c>
      <c r="K47" s="57">
        <f>7.461+0.5+12.739</f>
        <v>20.700000000000003</v>
      </c>
      <c r="L47" s="55">
        <f t="shared" si="11"/>
        <v>20.880000000000003</v>
      </c>
      <c r="M47" s="56"/>
      <c r="N47" s="56"/>
      <c r="O47" s="56"/>
      <c r="P47" s="56"/>
      <c r="Q47" s="56"/>
      <c r="R47" s="56"/>
      <c r="S47" s="56"/>
      <c r="T47" s="56"/>
      <c r="U47" s="57"/>
      <c r="V47" s="57"/>
      <c r="W47" s="56"/>
      <c r="X47" s="56"/>
      <c r="Y47" s="115">
        <f t="shared" si="6"/>
        <v>0</v>
      </c>
      <c r="Z47" s="115">
        <f t="shared" si="7"/>
        <v>0</v>
      </c>
      <c r="AA47" s="115">
        <f t="shared" si="22"/>
        <v>0</v>
      </c>
      <c r="AB47" s="115">
        <f t="shared" si="12"/>
        <v>20.880000000000003</v>
      </c>
      <c r="AC47" s="115">
        <f t="shared" si="13"/>
        <v>-3.5527136788005009E-15</v>
      </c>
      <c r="AD47" s="115">
        <f t="shared" si="14"/>
        <v>0</v>
      </c>
      <c r="AE47" s="115">
        <f t="shared" si="15"/>
        <v>-3.5527136788005009E-15</v>
      </c>
      <c r="AF47" s="115" t="s">
        <v>22</v>
      </c>
      <c r="AG47" s="116">
        <f t="shared" si="9"/>
        <v>8.019999999999996</v>
      </c>
    </row>
    <row r="48" spans="1:33" ht="33" customHeight="1" x14ac:dyDescent="0.45">
      <c r="A48" s="26"/>
      <c r="B48" s="27" t="s">
        <v>58</v>
      </c>
      <c r="C48" s="91" t="s">
        <v>15</v>
      </c>
      <c r="D48" s="56">
        <f>157.3+E48</f>
        <v>209.70000000000002</v>
      </c>
      <c r="E48" s="56">
        <v>52.4</v>
      </c>
      <c r="F48" s="3" t="s">
        <v>22</v>
      </c>
      <c r="G48" s="55">
        <f t="shared" si="10"/>
        <v>157.29999999999998</v>
      </c>
      <c r="H48" s="56">
        <f>157.289+0.011</f>
        <v>157.29999999999998</v>
      </c>
      <c r="I48" s="57"/>
      <c r="J48" s="57">
        <v>3</v>
      </c>
      <c r="K48" s="57">
        <f>18.79+84.974+53.519</f>
        <v>157.28300000000002</v>
      </c>
      <c r="L48" s="55">
        <f t="shared" si="11"/>
        <v>160.28300000000002</v>
      </c>
      <c r="M48" s="56"/>
      <c r="N48" s="56"/>
      <c r="O48" s="56"/>
      <c r="P48" s="56"/>
      <c r="Q48" s="56"/>
      <c r="R48" s="56"/>
      <c r="S48" s="56"/>
      <c r="T48" s="56"/>
      <c r="U48" s="57"/>
      <c r="V48" s="57"/>
      <c r="W48" s="56"/>
      <c r="X48" s="56"/>
      <c r="Y48" s="115">
        <f t="shared" si="6"/>
        <v>0</v>
      </c>
      <c r="Z48" s="115">
        <f t="shared" si="7"/>
        <v>0</v>
      </c>
      <c r="AA48" s="115">
        <f t="shared" si="22"/>
        <v>0</v>
      </c>
      <c r="AB48" s="115">
        <f t="shared" si="12"/>
        <v>160.28300000000002</v>
      </c>
      <c r="AC48" s="115">
        <f t="shared" si="13"/>
        <v>1.6999999999967486E-2</v>
      </c>
      <c r="AD48" s="115">
        <f t="shared" si="14"/>
        <v>0</v>
      </c>
      <c r="AE48" s="115">
        <f t="shared" si="15"/>
        <v>1.6999999999967486E-2</v>
      </c>
      <c r="AF48" s="115" t="s">
        <v>22</v>
      </c>
      <c r="AG48" s="116">
        <f t="shared" si="9"/>
        <v>49.417000000000002</v>
      </c>
    </row>
    <row r="49" spans="1:33" ht="25.2" x14ac:dyDescent="0.45">
      <c r="A49" s="26"/>
      <c r="B49" s="27" t="s">
        <v>59</v>
      </c>
      <c r="C49" s="91" t="s">
        <v>15</v>
      </c>
      <c r="D49" s="56">
        <f>18.6+E49</f>
        <v>24.8</v>
      </c>
      <c r="E49" s="56">
        <v>6.2</v>
      </c>
      <c r="F49" s="3" t="s">
        <v>22</v>
      </c>
      <c r="G49" s="55">
        <f t="shared" si="10"/>
        <v>18.332000000000001</v>
      </c>
      <c r="H49" s="56">
        <f>18.332</f>
        <v>18.332000000000001</v>
      </c>
      <c r="I49" s="57"/>
      <c r="J49" s="57">
        <v>1.52</v>
      </c>
      <c r="K49" s="57">
        <f>0.8+8.159+8.812+0.561</f>
        <v>18.332000000000001</v>
      </c>
      <c r="L49" s="55">
        <f t="shared" si="11"/>
        <v>19.852</v>
      </c>
      <c r="M49" s="56"/>
      <c r="N49" s="56"/>
      <c r="O49" s="56"/>
      <c r="P49" s="56"/>
      <c r="Q49" s="56"/>
      <c r="R49" s="56"/>
      <c r="S49" s="56"/>
      <c r="T49" s="56"/>
      <c r="U49" s="57"/>
      <c r="V49" s="57"/>
      <c r="W49" s="56"/>
      <c r="X49" s="56"/>
      <c r="Y49" s="115">
        <f t="shared" ref="Y49:Y82" si="25">M49+O49+Q49+S49+U49+W49</f>
        <v>0</v>
      </c>
      <c r="Z49" s="115">
        <f t="shared" ref="Z49:Z82" si="26">N49+P49+R49+T49+V49+X49</f>
        <v>0</v>
      </c>
      <c r="AA49" s="115">
        <f t="shared" si="22"/>
        <v>0</v>
      </c>
      <c r="AB49" s="115">
        <f t="shared" si="12"/>
        <v>19.852</v>
      </c>
      <c r="AC49" s="115">
        <f t="shared" si="13"/>
        <v>0</v>
      </c>
      <c r="AD49" s="115">
        <f t="shared" si="14"/>
        <v>0</v>
      </c>
      <c r="AE49" s="115">
        <f t="shared" si="15"/>
        <v>0</v>
      </c>
      <c r="AF49" s="115" t="s">
        <v>22</v>
      </c>
      <c r="AG49" s="116">
        <f t="shared" ref="AG49:AG82" si="27">D49-L49-AA49</f>
        <v>4.9480000000000004</v>
      </c>
    </row>
    <row r="50" spans="1:33" ht="31.2" x14ac:dyDescent="0.45">
      <c r="A50" s="26"/>
      <c r="B50" s="27" t="s">
        <v>60</v>
      </c>
      <c r="C50" s="91" t="s">
        <v>15</v>
      </c>
      <c r="D50" s="124">
        <f>D51+D52+D53+D55+D54</f>
        <v>98</v>
      </c>
      <c r="E50" s="124">
        <f>E51+E52+E53+E55+E54</f>
        <v>16.3</v>
      </c>
      <c r="F50" s="125" t="s">
        <v>22</v>
      </c>
      <c r="G50" s="115">
        <f t="shared" si="10"/>
        <v>80.793999999999997</v>
      </c>
      <c r="H50" s="124">
        <f>H51+H52+H53+H55+H54</f>
        <v>80.793999999999997</v>
      </c>
      <c r="I50" s="124">
        <f t="shared" ref="I50:X50" si="28">I51+I52+I53+I55+I54</f>
        <v>0</v>
      </c>
      <c r="J50" s="124">
        <f t="shared" si="28"/>
        <v>3.8600000000000003</v>
      </c>
      <c r="K50" s="124">
        <f t="shared" si="28"/>
        <v>80.794000000000011</v>
      </c>
      <c r="L50" s="115">
        <f t="shared" si="11"/>
        <v>84.654000000000011</v>
      </c>
      <c r="M50" s="124">
        <f t="shared" si="28"/>
        <v>0</v>
      </c>
      <c r="N50" s="124">
        <f t="shared" si="28"/>
        <v>0</v>
      </c>
      <c r="O50" s="124">
        <f t="shared" si="28"/>
        <v>0</v>
      </c>
      <c r="P50" s="124">
        <f t="shared" si="28"/>
        <v>0</v>
      </c>
      <c r="Q50" s="124">
        <f t="shared" si="28"/>
        <v>0</v>
      </c>
      <c r="R50" s="124">
        <f t="shared" si="28"/>
        <v>0</v>
      </c>
      <c r="S50" s="124">
        <f t="shared" si="28"/>
        <v>0</v>
      </c>
      <c r="T50" s="124">
        <f t="shared" si="28"/>
        <v>0</v>
      </c>
      <c r="U50" s="124">
        <f t="shared" si="28"/>
        <v>0</v>
      </c>
      <c r="V50" s="124">
        <f t="shared" si="28"/>
        <v>0</v>
      </c>
      <c r="W50" s="124">
        <f t="shared" si="28"/>
        <v>0</v>
      </c>
      <c r="X50" s="124">
        <f t="shared" si="28"/>
        <v>0</v>
      </c>
      <c r="Y50" s="115">
        <f t="shared" si="25"/>
        <v>0</v>
      </c>
      <c r="Z50" s="115">
        <f t="shared" si="26"/>
        <v>0</v>
      </c>
      <c r="AA50" s="115">
        <f t="shared" si="22"/>
        <v>0</v>
      </c>
      <c r="AB50" s="115">
        <f t="shared" si="12"/>
        <v>84.654000000000011</v>
      </c>
      <c r="AC50" s="115">
        <f t="shared" si="13"/>
        <v>-1.4210854715202004E-14</v>
      </c>
      <c r="AD50" s="115">
        <f t="shared" si="14"/>
        <v>0</v>
      </c>
      <c r="AE50" s="115">
        <f t="shared" si="15"/>
        <v>-1.4210854715202004E-14</v>
      </c>
      <c r="AF50" s="115" t="s">
        <v>22</v>
      </c>
      <c r="AG50" s="116">
        <f t="shared" si="27"/>
        <v>13.345999999999989</v>
      </c>
    </row>
    <row r="51" spans="1:33" ht="25.2" x14ac:dyDescent="0.45">
      <c r="A51" s="26"/>
      <c r="B51" s="38" t="s">
        <v>61</v>
      </c>
      <c r="C51" s="91" t="s">
        <v>15</v>
      </c>
      <c r="D51" s="59">
        <f>10+E51</f>
        <v>11.5</v>
      </c>
      <c r="E51" s="59">
        <v>1.5</v>
      </c>
      <c r="F51" s="3" t="s">
        <v>22</v>
      </c>
      <c r="G51" s="55">
        <f t="shared" si="10"/>
        <v>9.9420000000000002</v>
      </c>
      <c r="H51" s="59">
        <f>9.942</f>
        <v>9.9420000000000002</v>
      </c>
      <c r="I51" s="60"/>
      <c r="J51" s="60">
        <v>1.33</v>
      </c>
      <c r="K51" s="60">
        <f>8.1+1.842</f>
        <v>9.9420000000000002</v>
      </c>
      <c r="L51" s="55">
        <f t="shared" si="11"/>
        <v>11.272</v>
      </c>
      <c r="M51" s="59"/>
      <c r="N51" s="59"/>
      <c r="O51" s="59"/>
      <c r="P51" s="59"/>
      <c r="Q51" s="59"/>
      <c r="R51" s="59"/>
      <c r="S51" s="59"/>
      <c r="T51" s="59"/>
      <c r="U51" s="60"/>
      <c r="V51" s="60"/>
      <c r="W51" s="59"/>
      <c r="X51" s="59"/>
      <c r="Y51" s="115">
        <f t="shared" si="25"/>
        <v>0</v>
      </c>
      <c r="Z51" s="115">
        <f t="shared" si="26"/>
        <v>0</v>
      </c>
      <c r="AA51" s="115">
        <f t="shared" si="22"/>
        <v>0</v>
      </c>
      <c r="AB51" s="115">
        <f t="shared" si="12"/>
        <v>11.272</v>
      </c>
      <c r="AC51" s="115">
        <f t="shared" si="13"/>
        <v>0</v>
      </c>
      <c r="AD51" s="115">
        <f t="shared" si="14"/>
        <v>0</v>
      </c>
      <c r="AE51" s="115">
        <f t="shared" si="15"/>
        <v>0</v>
      </c>
      <c r="AF51" s="115" t="s">
        <v>22</v>
      </c>
      <c r="AG51" s="116">
        <f t="shared" si="27"/>
        <v>0.22799999999999976</v>
      </c>
    </row>
    <row r="52" spans="1:33" ht="31.2" x14ac:dyDescent="0.45">
      <c r="A52" s="26"/>
      <c r="B52" s="38" t="s">
        <v>62</v>
      </c>
      <c r="C52" s="91" t="s">
        <v>15</v>
      </c>
      <c r="D52" s="56">
        <f>1.3+E52</f>
        <v>1.8</v>
      </c>
      <c r="E52" s="56">
        <v>0.5</v>
      </c>
      <c r="F52" s="3" t="s">
        <v>22</v>
      </c>
      <c r="G52" s="55">
        <f t="shared" si="10"/>
        <v>0.94</v>
      </c>
      <c r="H52" s="59">
        <f>0.94</f>
        <v>0.94</v>
      </c>
      <c r="I52" s="60"/>
      <c r="J52" s="60">
        <v>0.12</v>
      </c>
      <c r="K52" s="60">
        <f>0.07+0.561+0.309</f>
        <v>0.94</v>
      </c>
      <c r="L52" s="55">
        <f t="shared" si="11"/>
        <v>1.06</v>
      </c>
      <c r="M52" s="59"/>
      <c r="N52" s="59"/>
      <c r="O52" s="59"/>
      <c r="P52" s="59"/>
      <c r="Q52" s="59"/>
      <c r="R52" s="59"/>
      <c r="S52" s="59"/>
      <c r="T52" s="59"/>
      <c r="U52" s="60"/>
      <c r="V52" s="60"/>
      <c r="W52" s="59"/>
      <c r="X52" s="59"/>
      <c r="Y52" s="115">
        <f t="shared" si="25"/>
        <v>0</v>
      </c>
      <c r="Z52" s="115">
        <f t="shared" si="26"/>
        <v>0</v>
      </c>
      <c r="AA52" s="115">
        <f t="shared" si="22"/>
        <v>0</v>
      </c>
      <c r="AB52" s="115">
        <f t="shared" si="12"/>
        <v>1.06</v>
      </c>
      <c r="AC52" s="115">
        <f t="shared" si="13"/>
        <v>0</v>
      </c>
      <c r="AD52" s="115">
        <f t="shared" si="14"/>
        <v>0</v>
      </c>
      <c r="AE52" s="115">
        <f t="shared" si="15"/>
        <v>0</v>
      </c>
      <c r="AF52" s="115" t="s">
        <v>22</v>
      </c>
      <c r="AG52" s="116">
        <f t="shared" si="27"/>
        <v>0.74</v>
      </c>
    </row>
    <row r="53" spans="1:33" ht="25.2" x14ac:dyDescent="0.45">
      <c r="A53" s="26"/>
      <c r="B53" s="38" t="s">
        <v>63</v>
      </c>
      <c r="C53" s="91" t="s">
        <v>15</v>
      </c>
      <c r="D53" s="59">
        <f>14.4+E53</f>
        <v>19.2</v>
      </c>
      <c r="E53" s="59">
        <v>4.8</v>
      </c>
      <c r="F53" s="3" t="s">
        <v>22</v>
      </c>
      <c r="G53" s="55">
        <f t="shared" si="10"/>
        <v>14.4</v>
      </c>
      <c r="H53" s="59">
        <f>14.4</f>
        <v>14.4</v>
      </c>
      <c r="I53" s="60"/>
      <c r="J53" s="60">
        <v>0.41</v>
      </c>
      <c r="K53" s="60">
        <f>0.65+9.387+4.363</f>
        <v>14.400000000000002</v>
      </c>
      <c r="L53" s="55">
        <f t="shared" si="11"/>
        <v>14.810000000000002</v>
      </c>
      <c r="M53" s="59"/>
      <c r="N53" s="59"/>
      <c r="O53" s="59"/>
      <c r="P53" s="59"/>
      <c r="Q53" s="59"/>
      <c r="R53" s="59"/>
      <c r="S53" s="59"/>
      <c r="T53" s="59"/>
      <c r="U53" s="60"/>
      <c r="V53" s="60"/>
      <c r="W53" s="59"/>
      <c r="X53" s="59"/>
      <c r="Y53" s="115">
        <f t="shared" si="25"/>
        <v>0</v>
      </c>
      <c r="Z53" s="115">
        <f t="shared" si="26"/>
        <v>0</v>
      </c>
      <c r="AA53" s="115">
        <f t="shared" si="22"/>
        <v>0</v>
      </c>
      <c r="AB53" s="115">
        <f t="shared" si="12"/>
        <v>14.810000000000002</v>
      </c>
      <c r="AC53" s="115">
        <f t="shared" si="13"/>
        <v>-1.7763568394002505E-15</v>
      </c>
      <c r="AD53" s="115">
        <f t="shared" si="14"/>
        <v>0</v>
      </c>
      <c r="AE53" s="115">
        <f t="shared" si="15"/>
        <v>-1.7763568394002505E-15</v>
      </c>
      <c r="AF53" s="115" t="s">
        <v>22</v>
      </c>
      <c r="AG53" s="116">
        <f t="shared" si="27"/>
        <v>4.389999999999997</v>
      </c>
    </row>
    <row r="54" spans="1:33" ht="25.2" x14ac:dyDescent="0.45">
      <c r="A54" s="26"/>
      <c r="B54" s="38" t="s">
        <v>64</v>
      </c>
      <c r="C54" s="91" t="s">
        <v>15</v>
      </c>
      <c r="D54" s="59">
        <f>56+E54</f>
        <v>65.5</v>
      </c>
      <c r="E54" s="59">
        <v>9.5</v>
      </c>
      <c r="F54" s="3" t="s">
        <v>22</v>
      </c>
      <c r="G54" s="55">
        <f t="shared" si="10"/>
        <v>55.512</v>
      </c>
      <c r="H54" s="59">
        <f>55.512</f>
        <v>55.512</v>
      </c>
      <c r="I54" s="60"/>
      <c r="J54" s="60">
        <v>2</v>
      </c>
      <c r="K54" s="60">
        <f>4.34+33.068+18.104</f>
        <v>55.512</v>
      </c>
      <c r="L54" s="55">
        <f t="shared" si="11"/>
        <v>57.512</v>
      </c>
      <c r="M54" s="59"/>
      <c r="N54" s="59"/>
      <c r="O54" s="59"/>
      <c r="P54" s="59"/>
      <c r="Q54" s="59"/>
      <c r="R54" s="59"/>
      <c r="S54" s="59"/>
      <c r="T54" s="59"/>
      <c r="U54" s="60"/>
      <c r="V54" s="60"/>
      <c r="W54" s="59"/>
      <c r="X54" s="59"/>
      <c r="Y54" s="115">
        <f t="shared" si="25"/>
        <v>0</v>
      </c>
      <c r="Z54" s="115">
        <f t="shared" si="26"/>
        <v>0</v>
      </c>
      <c r="AA54" s="115">
        <f t="shared" si="22"/>
        <v>0</v>
      </c>
      <c r="AB54" s="115">
        <f t="shared" si="12"/>
        <v>57.512</v>
      </c>
      <c r="AC54" s="115">
        <f t="shared" si="13"/>
        <v>0</v>
      </c>
      <c r="AD54" s="115">
        <f t="shared" si="14"/>
        <v>0</v>
      </c>
      <c r="AE54" s="115">
        <f t="shared" si="15"/>
        <v>0</v>
      </c>
      <c r="AF54" s="115" t="s">
        <v>22</v>
      </c>
      <c r="AG54" s="116">
        <f t="shared" si="27"/>
        <v>7.9879999999999995</v>
      </c>
    </row>
    <row r="55" spans="1:33" ht="25.2" x14ac:dyDescent="0.45">
      <c r="A55" s="26"/>
      <c r="B55" s="38" t="s">
        <v>65</v>
      </c>
      <c r="C55" s="91" t="s">
        <v>15</v>
      </c>
      <c r="D55" s="59"/>
      <c r="E55" s="59"/>
      <c r="F55" s="3" t="s">
        <v>22</v>
      </c>
      <c r="G55" s="55">
        <f t="shared" si="10"/>
        <v>0</v>
      </c>
      <c r="H55" s="59"/>
      <c r="I55" s="60"/>
      <c r="J55" s="60"/>
      <c r="K55" s="60"/>
      <c r="L55" s="55">
        <f t="shared" si="11"/>
        <v>0</v>
      </c>
      <c r="M55" s="59"/>
      <c r="N55" s="59"/>
      <c r="O55" s="59"/>
      <c r="P55" s="59"/>
      <c r="Q55" s="59"/>
      <c r="R55" s="59"/>
      <c r="S55" s="59"/>
      <c r="T55" s="59"/>
      <c r="U55" s="60"/>
      <c r="V55" s="60"/>
      <c r="W55" s="59"/>
      <c r="X55" s="59"/>
      <c r="Y55" s="115">
        <f t="shared" si="25"/>
        <v>0</v>
      </c>
      <c r="Z55" s="115">
        <f t="shared" si="26"/>
        <v>0</v>
      </c>
      <c r="AA55" s="115">
        <f t="shared" si="22"/>
        <v>0</v>
      </c>
      <c r="AB55" s="115">
        <f t="shared" si="12"/>
        <v>0</v>
      </c>
      <c r="AC55" s="115">
        <f t="shared" si="13"/>
        <v>0</v>
      </c>
      <c r="AD55" s="115">
        <f t="shared" si="14"/>
        <v>0</v>
      </c>
      <c r="AE55" s="115">
        <f t="shared" si="15"/>
        <v>0</v>
      </c>
      <c r="AF55" s="115" t="s">
        <v>22</v>
      </c>
      <c r="AG55" s="116">
        <f t="shared" si="27"/>
        <v>0</v>
      </c>
    </row>
    <row r="56" spans="1:33" ht="62.4" x14ac:dyDescent="0.45">
      <c r="A56" s="26"/>
      <c r="B56" s="27" t="s">
        <v>66</v>
      </c>
      <c r="C56" s="91" t="s">
        <v>15</v>
      </c>
      <c r="D56" s="56"/>
      <c r="E56" s="56"/>
      <c r="F56" s="3" t="s">
        <v>22</v>
      </c>
      <c r="G56" s="55">
        <f t="shared" si="10"/>
        <v>0</v>
      </c>
      <c r="H56" s="56"/>
      <c r="I56" s="57"/>
      <c r="J56" s="57"/>
      <c r="K56" s="57"/>
      <c r="L56" s="55">
        <f t="shared" si="11"/>
        <v>0</v>
      </c>
      <c r="M56" s="56"/>
      <c r="N56" s="56"/>
      <c r="O56" s="56"/>
      <c r="P56" s="56"/>
      <c r="Q56" s="56"/>
      <c r="R56" s="56"/>
      <c r="S56" s="56"/>
      <c r="T56" s="56"/>
      <c r="U56" s="57"/>
      <c r="V56" s="57"/>
      <c r="W56" s="56"/>
      <c r="X56" s="56"/>
      <c r="Y56" s="115">
        <f t="shared" si="25"/>
        <v>0</v>
      </c>
      <c r="Z56" s="115">
        <f t="shared" si="26"/>
        <v>0</v>
      </c>
      <c r="AA56" s="115">
        <f t="shared" si="22"/>
        <v>0</v>
      </c>
      <c r="AB56" s="115">
        <f t="shared" si="12"/>
        <v>0</v>
      </c>
      <c r="AC56" s="115">
        <f t="shared" si="13"/>
        <v>0</v>
      </c>
      <c r="AD56" s="115">
        <f t="shared" si="14"/>
        <v>0</v>
      </c>
      <c r="AE56" s="115">
        <f t="shared" si="15"/>
        <v>0</v>
      </c>
      <c r="AF56" s="115" t="s">
        <v>22</v>
      </c>
      <c r="AG56" s="116">
        <f t="shared" si="27"/>
        <v>0</v>
      </c>
    </row>
    <row r="57" spans="1:33" ht="25.8" thickBot="1" x14ac:dyDescent="0.5">
      <c r="A57" s="39" t="s">
        <v>67</v>
      </c>
      <c r="B57" s="40" t="s">
        <v>68</v>
      </c>
      <c r="C57" s="103" t="s">
        <v>15</v>
      </c>
      <c r="D57" s="58">
        <f>0.3+E57</f>
        <v>0.4</v>
      </c>
      <c r="E57" s="58">
        <v>0.1</v>
      </c>
      <c r="F57" s="4" t="s">
        <v>22</v>
      </c>
      <c r="G57" s="51">
        <f t="shared" si="10"/>
        <v>0.28000000000000003</v>
      </c>
      <c r="H57" s="58">
        <f>0.28</f>
        <v>0.28000000000000003</v>
      </c>
      <c r="I57" s="53"/>
      <c r="J57" s="53"/>
      <c r="K57" s="53">
        <f>0.07+0.05+0.16</f>
        <v>0.28000000000000003</v>
      </c>
      <c r="L57" s="51">
        <f t="shared" si="11"/>
        <v>0.28000000000000003</v>
      </c>
      <c r="M57" s="58"/>
      <c r="N57" s="58"/>
      <c r="O57" s="58"/>
      <c r="P57" s="58"/>
      <c r="Q57" s="58"/>
      <c r="R57" s="58"/>
      <c r="S57" s="58"/>
      <c r="T57" s="58"/>
      <c r="U57" s="53"/>
      <c r="V57" s="53"/>
      <c r="W57" s="58"/>
      <c r="X57" s="58"/>
      <c r="Y57" s="108">
        <f t="shared" si="25"/>
        <v>0</v>
      </c>
      <c r="Z57" s="108">
        <f t="shared" si="26"/>
        <v>0</v>
      </c>
      <c r="AA57" s="108">
        <f t="shared" si="22"/>
        <v>0</v>
      </c>
      <c r="AB57" s="108">
        <f t="shared" si="12"/>
        <v>0.28000000000000003</v>
      </c>
      <c r="AC57" s="108">
        <f t="shared" si="13"/>
        <v>0</v>
      </c>
      <c r="AD57" s="108">
        <f t="shared" si="14"/>
        <v>0</v>
      </c>
      <c r="AE57" s="108">
        <f t="shared" si="15"/>
        <v>0</v>
      </c>
      <c r="AF57" s="108" t="s">
        <v>22</v>
      </c>
      <c r="AG57" s="109">
        <f t="shared" si="27"/>
        <v>0.12</v>
      </c>
    </row>
    <row r="58" spans="1:33" ht="25.2" thickBot="1" x14ac:dyDescent="0.5">
      <c r="A58" s="14">
        <v>4</v>
      </c>
      <c r="B58" s="41" t="s">
        <v>69</v>
      </c>
      <c r="C58" s="103" t="s">
        <v>15</v>
      </c>
      <c r="D58" s="117">
        <f t="shared" ref="D58:X58" si="29">D59+D60+D61+D62+D63</f>
        <v>0</v>
      </c>
      <c r="E58" s="117">
        <f t="shared" si="29"/>
        <v>0</v>
      </c>
      <c r="F58" s="122" t="s">
        <v>22</v>
      </c>
      <c r="G58" s="117">
        <f t="shared" si="10"/>
        <v>0</v>
      </c>
      <c r="H58" s="117">
        <f t="shared" si="29"/>
        <v>0</v>
      </c>
      <c r="I58" s="117">
        <f t="shared" si="29"/>
        <v>0</v>
      </c>
      <c r="J58" s="117">
        <f t="shared" si="29"/>
        <v>0.12</v>
      </c>
      <c r="K58" s="117">
        <f t="shared" si="29"/>
        <v>0</v>
      </c>
      <c r="L58" s="117">
        <f t="shared" si="11"/>
        <v>0.12</v>
      </c>
      <c r="M58" s="117">
        <f t="shared" si="29"/>
        <v>0</v>
      </c>
      <c r="N58" s="117">
        <f t="shared" si="29"/>
        <v>0</v>
      </c>
      <c r="O58" s="117">
        <f t="shared" si="29"/>
        <v>0</v>
      </c>
      <c r="P58" s="117">
        <f t="shared" si="29"/>
        <v>0</v>
      </c>
      <c r="Q58" s="117">
        <f t="shared" si="29"/>
        <v>0</v>
      </c>
      <c r="R58" s="117">
        <f t="shared" si="29"/>
        <v>0</v>
      </c>
      <c r="S58" s="117">
        <f t="shared" si="29"/>
        <v>0</v>
      </c>
      <c r="T58" s="117">
        <f t="shared" si="29"/>
        <v>0</v>
      </c>
      <c r="U58" s="117">
        <f t="shared" si="29"/>
        <v>0</v>
      </c>
      <c r="V58" s="117">
        <f t="shared" si="29"/>
        <v>0</v>
      </c>
      <c r="W58" s="117">
        <f t="shared" si="29"/>
        <v>0</v>
      </c>
      <c r="X58" s="117">
        <f t="shared" si="29"/>
        <v>0</v>
      </c>
      <c r="Y58" s="117">
        <f t="shared" si="25"/>
        <v>0</v>
      </c>
      <c r="Z58" s="117">
        <f t="shared" si="26"/>
        <v>0</v>
      </c>
      <c r="AA58" s="117">
        <f t="shared" si="22"/>
        <v>0</v>
      </c>
      <c r="AB58" s="117">
        <f t="shared" si="12"/>
        <v>0.12</v>
      </c>
      <c r="AC58" s="117">
        <f t="shared" si="13"/>
        <v>0</v>
      </c>
      <c r="AD58" s="117">
        <f t="shared" si="14"/>
        <v>0</v>
      </c>
      <c r="AE58" s="117">
        <f t="shared" si="15"/>
        <v>0</v>
      </c>
      <c r="AF58" s="117" t="s">
        <v>22</v>
      </c>
      <c r="AG58" s="118">
        <f t="shared" si="27"/>
        <v>-0.12</v>
      </c>
    </row>
    <row r="59" spans="1:33" ht="46.8" x14ac:dyDescent="0.45">
      <c r="A59" s="21"/>
      <c r="B59" s="36" t="s">
        <v>70</v>
      </c>
      <c r="C59" s="91" t="s">
        <v>15</v>
      </c>
      <c r="D59" s="54"/>
      <c r="E59" s="54"/>
      <c r="F59" s="23" t="s">
        <v>22</v>
      </c>
      <c r="G59" s="48">
        <f t="shared" si="10"/>
        <v>0</v>
      </c>
      <c r="H59" s="54"/>
      <c r="I59" s="50"/>
      <c r="J59" s="50"/>
      <c r="K59" s="50"/>
      <c r="L59" s="48">
        <f t="shared" si="11"/>
        <v>0</v>
      </c>
      <c r="M59" s="54"/>
      <c r="N59" s="54"/>
      <c r="O59" s="54"/>
      <c r="P59" s="54"/>
      <c r="Q59" s="54"/>
      <c r="R59" s="54"/>
      <c r="S59" s="54"/>
      <c r="T59" s="54"/>
      <c r="U59" s="50"/>
      <c r="V59" s="50"/>
      <c r="W59" s="54"/>
      <c r="X59" s="54"/>
      <c r="Y59" s="113">
        <f t="shared" si="25"/>
        <v>0</v>
      </c>
      <c r="Z59" s="113">
        <f t="shared" si="26"/>
        <v>0</v>
      </c>
      <c r="AA59" s="113">
        <f t="shared" si="22"/>
        <v>0</v>
      </c>
      <c r="AB59" s="113">
        <f t="shared" si="12"/>
        <v>0</v>
      </c>
      <c r="AC59" s="113">
        <f t="shared" si="13"/>
        <v>0</v>
      </c>
      <c r="AD59" s="113">
        <f t="shared" si="14"/>
        <v>0</v>
      </c>
      <c r="AE59" s="113">
        <f t="shared" si="15"/>
        <v>0</v>
      </c>
      <c r="AF59" s="113" t="s">
        <v>22</v>
      </c>
      <c r="AG59" s="114">
        <f t="shared" si="27"/>
        <v>0</v>
      </c>
    </row>
    <row r="60" spans="1:33" ht="31.2" x14ac:dyDescent="0.45">
      <c r="A60" s="26"/>
      <c r="B60" s="27" t="s">
        <v>71</v>
      </c>
      <c r="C60" s="91" t="s">
        <v>15</v>
      </c>
      <c r="D60" s="56"/>
      <c r="E60" s="56"/>
      <c r="F60" s="3" t="s">
        <v>22</v>
      </c>
      <c r="G60" s="55">
        <f t="shared" si="10"/>
        <v>0</v>
      </c>
      <c r="H60" s="56"/>
      <c r="I60" s="57"/>
      <c r="J60" s="57"/>
      <c r="K60" s="57"/>
      <c r="L60" s="55">
        <f t="shared" si="11"/>
        <v>0</v>
      </c>
      <c r="M60" s="56"/>
      <c r="N60" s="56"/>
      <c r="O60" s="56"/>
      <c r="P60" s="56"/>
      <c r="Q60" s="56"/>
      <c r="R60" s="56"/>
      <c r="S60" s="56"/>
      <c r="T60" s="56"/>
      <c r="U60" s="57"/>
      <c r="V60" s="57"/>
      <c r="W60" s="56"/>
      <c r="X60" s="56"/>
      <c r="Y60" s="115">
        <f t="shared" si="25"/>
        <v>0</v>
      </c>
      <c r="Z60" s="115">
        <f t="shared" si="26"/>
        <v>0</v>
      </c>
      <c r="AA60" s="115">
        <f t="shared" si="22"/>
        <v>0</v>
      </c>
      <c r="AB60" s="115">
        <f t="shared" si="12"/>
        <v>0</v>
      </c>
      <c r="AC60" s="115">
        <f t="shared" si="13"/>
        <v>0</v>
      </c>
      <c r="AD60" s="115">
        <f t="shared" si="14"/>
        <v>0</v>
      </c>
      <c r="AE60" s="115">
        <f t="shared" si="15"/>
        <v>0</v>
      </c>
      <c r="AF60" s="115" t="s">
        <v>22</v>
      </c>
      <c r="AG60" s="116">
        <f t="shared" si="27"/>
        <v>0</v>
      </c>
    </row>
    <row r="61" spans="1:33" ht="25.2" x14ac:dyDescent="0.45">
      <c r="A61" s="26"/>
      <c r="B61" s="27" t="s">
        <v>72</v>
      </c>
      <c r="C61" s="91" t="s">
        <v>15</v>
      </c>
      <c r="D61" s="56"/>
      <c r="E61" s="56"/>
      <c r="F61" s="3" t="s">
        <v>22</v>
      </c>
      <c r="G61" s="55">
        <f t="shared" si="10"/>
        <v>0</v>
      </c>
      <c r="H61" s="56"/>
      <c r="I61" s="57"/>
      <c r="J61" s="57">
        <v>0.12</v>
      </c>
      <c r="K61" s="57"/>
      <c r="L61" s="55">
        <f t="shared" si="11"/>
        <v>0.12</v>
      </c>
      <c r="M61" s="56"/>
      <c r="N61" s="56"/>
      <c r="O61" s="56"/>
      <c r="P61" s="56"/>
      <c r="Q61" s="56"/>
      <c r="R61" s="56"/>
      <c r="S61" s="56"/>
      <c r="T61" s="56"/>
      <c r="U61" s="57"/>
      <c r="V61" s="57"/>
      <c r="W61" s="56"/>
      <c r="X61" s="56"/>
      <c r="Y61" s="115">
        <f t="shared" si="25"/>
        <v>0</v>
      </c>
      <c r="Z61" s="115">
        <f t="shared" si="26"/>
        <v>0</v>
      </c>
      <c r="AA61" s="115">
        <f t="shared" si="22"/>
        <v>0</v>
      </c>
      <c r="AB61" s="115">
        <f t="shared" si="12"/>
        <v>0.12</v>
      </c>
      <c r="AC61" s="115">
        <f t="shared" si="13"/>
        <v>0</v>
      </c>
      <c r="AD61" s="115">
        <f t="shared" si="14"/>
        <v>0</v>
      </c>
      <c r="AE61" s="115">
        <f t="shared" si="15"/>
        <v>0</v>
      </c>
      <c r="AF61" s="115" t="s">
        <v>22</v>
      </c>
      <c r="AG61" s="116">
        <f t="shared" si="27"/>
        <v>-0.12</v>
      </c>
    </row>
    <row r="62" spans="1:33" ht="25.2" x14ac:dyDescent="0.45">
      <c r="A62" s="26"/>
      <c r="B62" s="27" t="s">
        <v>73</v>
      </c>
      <c r="C62" s="91" t="s">
        <v>15</v>
      </c>
      <c r="D62" s="56"/>
      <c r="E62" s="56"/>
      <c r="F62" s="3" t="s">
        <v>22</v>
      </c>
      <c r="G62" s="55">
        <f t="shared" si="10"/>
        <v>0</v>
      </c>
      <c r="H62" s="56"/>
      <c r="I62" s="57"/>
      <c r="J62" s="57"/>
      <c r="K62" s="57"/>
      <c r="L62" s="55">
        <f t="shared" si="11"/>
        <v>0</v>
      </c>
      <c r="M62" s="56"/>
      <c r="N62" s="56"/>
      <c r="O62" s="56"/>
      <c r="P62" s="56"/>
      <c r="Q62" s="56"/>
      <c r="R62" s="56"/>
      <c r="S62" s="56"/>
      <c r="T62" s="56"/>
      <c r="U62" s="57"/>
      <c r="V62" s="57"/>
      <c r="W62" s="56"/>
      <c r="X62" s="56"/>
      <c r="Y62" s="115">
        <f t="shared" si="25"/>
        <v>0</v>
      </c>
      <c r="Z62" s="115">
        <f t="shared" si="26"/>
        <v>0</v>
      </c>
      <c r="AA62" s="115">
        <f t="shared" si="22"/>
        <v>0</v>
      </c>
      <c r="AB62" s="115">
        <f t="shared" si="12"/>
        <v>0</v>
      </c>
      <c r="AC62" s="115">
        <f t="shared" si="13"/>
        <v>0</v>
      </c>
      <c r="AD62" s="115">
        <f t="shared" si="14"/>
        <v>0</v>
      </c>
      <c r="AE62" s="115">
        <f t="shared" si="15"/>
        <v>0</v>
      </c>
      <c r="AF62" s="115" t="s">
        <v>22</v>
      </c>
      <c r="AG62" s="116">
        <f t="shared" si="27"/>
        <v>0</v>
      </c>
    </row>
    <row r="63" spans="1:33" ht="31.8" thickBot="1" x14ac:dyDescent="0.5">
      <c r="A63" s="32"/>
      <c r="B63" s="40" t="s">
        <v>74</v>
      </c>
      <c r="C63" s="103" t="s">
        <v>15</v>
      </c>
      <c r="D63" s="58"/>
      <c r="E63" s="58"/>
      <c r="F63" s="4" t="s">
        <v>22</v>
      </c>
      <c r="G63" s="51">
        <f t="shared" si="10"/>
        <v>0</v>
      </c>
      <c r="H63" s="58"/>
      <c r="I63" s="53"/>
      <c r="J63" s="53"/>
      <c r="K63" s="53"/>
      <c r="L63" s="51">
        <f t="shared" si="11"/>
        <v>0</v>
      </c>
      <c r="M63" s="58"/>
      <c r="N63" s="58"/>
      <c r="O63" s="58"/>
      <c r="P63" s="58"/>
      <c r="Q63" s="58"/>
      <c r="R63" s="58"/>
      <c r="S63" s="58"/>
      <c r="T63" s="58"/>
      <c r="U63" s="53"/>
      <c r="V63" s="53"/>
      <c r="W63" s="58"/>
      <c r="X63" s="58"/>
      <c r="Y63" s="108">
        <f t="shared" si="25"/>
        <v>0</v>
      </c>
      <c r="Z63" s="108">
        <f t="shared" si="26"/>
        <v>0</v>
      </c>
      <c r="AA63" s="108">
        <f t="shared" si="22"/>
        <v>0</v>
      </c>
      <c r="AB63" s="108">
        <f t="shared" si="12"/>
        <v>0</v>
      </c>
      <c r="AC63" s="108">
        <f t="shared" si="13"/>
        <v>0</v>
      </c>
      <c r="AD63" s="108">
        <f t="shared" si="14"/>
        <v>0</v>
      </c>
      <c r="AE63" s="108">
        <f t="shared" si="15"/>
        <v>0</v>
      </c>
      <c r="AF63" s="108" t="s">
        <v>22</v>
      </c>
      <c r="AG63" s="109">
        <f t="shared" si="27"/>
        <v>0</v>
      </c>
    </row>
    <row r="64" spans="1:33" ht="31.8" thickBot="1" x14ac:dyDescent="0.5">
      <c r="A64" s="14">
        <v>5</v>
      </c>
      <c r="B64" s="29" t="s">
        <v>75</v>
      </c>
      <c r="C64" s="103" t="s">
        <v>15</v>
      </c>
      <c r="D64" s="117">
        <f t="shared" ref="D64:X64" si="30">D65+D66+D67+D68+D69+D70+D71+D72+D73</f>
        <v>48.98</v>
      </c>
      <c r="E64" s="117">
        <f t="shared" si="30"/>
        <v>13.72</v>
      </c>
      <c r="F64" s="122" t="s">
        <v>22</v>
      </c>
      <c r="G64" s="117">
        <f t="shared" si="10"/>
        <v>34.095000000000006</v>
      </c>
      <c r="H64" s="117">
        <f t="shared" si="30"/>
        <v>34.095000000000006</v>
      </c>
      <c r="I64" s="117">
        <f t="shared" si="30"/>
        <v>0</v>
      </c>
      <c r="J64" s="117">
        <f t="shared" si="30"/>
        <v>5.0000000000000009</v>
      </c>
      <c r="K64" s="117">
        <f t="shared" si="30"/>
        <v>33.401000000000003</v>
      </c>
      <c r="L64" s="117">
        <f t="shared" si="11"/>
        <v>38.401000000000003</v>
      </c>
      <c r="M64" s="117">
        <f t="shared" si="30"/>
        <v>0</v>
      </c>
      <c r="N64" s="117">
        <f t="shared" si="30"/>
        <v>0</v>
      </c>
      <c r="O64" s="117">
        <f t="shared" si="30"/>
        <v>0</v>
      </c>
      <c r="P64" s="117">
        <f t="shared" si="30"/>
        <v>0</v>
      </c>
      <c r="Q64" s="117">
        <f t="shared" si="30"/>
        <v>0</v>
      </c>
      <c r="R64" s="117">
        <f t="shared" si="30"/>
        <v>0</v>
      </c>
      <c r="S64" s="117">
        <f t="shared" si="30"/>
        <v>0</v>
      </c>
      <c r="T64" s="117">
        <f t="shared" si="30"/>
        <v>0</v>
      </c>
      <c r="U64" s="117">
        <f t="shared" si="30"/>
        <v>0</v>
      </c>
      <c r="V64" s="117">
        <f t="shared" si="30"/>
        <v>0</v>
      </c>
      <c r="W64" s="117">
        <f t="shared" si="30"/>
        <v>0</v>
      </c>
      <c r="X64" s="117">
        <f t="shared" si="30"/>
        <v>0</v>
      </c>
      <c r="Y64" s="117">
        <f t="shared" si="25"/>
        <v>0</v>
      </c>
      <c r="Z64" s="117">
        <f t="shared" si="26"/>
        <v>0</v>
      </c>
      <c r="AA64" s="117">
        <f t="shared" si="22"/>
        <v>0</v>
      </c>
      <c r="AB64" s="117">
        <f t="shared" si="12"/>
        <v>38.401000000000003</v>
      </c>
      <c r="AC64" s="117">
        <f t="shared" si="13"/>
        <v>0.69400000000000261</v>
      </c>
      <c r="AD64" s="117">
        <f t="shared" si="14"/>
        <v>0</v>
      </c>
      <c r="AE64" s="117">
        <f t="shared" si="15"/>
        <v>0.69400000000000261</v>
      </c>
      <c r="AF64" s="117" t="s">
        <v>22</v>
      </c>
      <c r="AG64" s="118">
        <f t="shared" si="27"/>
        <v>10.578999999999994</v>
      </c>
    </row>
    <row r="65" spans="1:38" s="2" customFormat="1" ht="31.2" x14ac:dyDescent="0.45">
      <c r="A65" s="42" t="s">
        <v>76</v>
      </c>
      <c r="B65" s="36" t="s">
        <v>77</v>
      </c>
      <c r="C65" s="91" t="s">
        <v>15</v>
      </c>
      <c r="D65" s="49"/>
      <c r="E65" s="49"/>
      <c r="F65" s="23" t="s">
        <v>22</v>
      </c>
      <c r="G65" s="48">
        <f t="shared" si="10"/>
        <v>0</v>
      </c>
      <c r="H65" s="49"/>
      <c r="I65" s="49"/>
      <c r="J65" s="49"/>
      <c r="K65" s="49"/>
      <c r="L65" s="48">
        <f t="shared" si="11"/>
        <v>0</v>
      </c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113">
        <f t="shared" si="25"/>
        <v>0</v>
      </c>
      <c r="Z65" s="113">
        <f t="shared" si="26"/>
        <v>0</v>
      </c>
      <c r="AA65" s="113">
        <f t="shared" si="22"/>
        <v>0</v>
      </c>
      <c r="AB65" s="113">
        <f t="shared" si="12"/>
        <v>0</v>
      </c>
      <c r="AC65" s="113">
        <f t="shared" si="13"/>
        <v>0</v>
      </c>
      <c r="AD65" s="113">
        <f t="shared" si="14"/>
        <v>0</v>
      </c>
      <c r="AE65" s="113">
        <f t="shared" si="15"/>
        <v>0</v>
      </c>
      <c r="AF65" s="113" t="s">
        <v>22</v>
      </c>
      <c r="AG65" s="114">
        <f t="shared" si="27"/>
        <v>0</v>
      </c>
      <c r="AH65" s="133"/>
      <c r="AI65" s="133"/>
      <c r="AJ65" s="131"/>
      <c r="AK65" s="131"/>
      <c r="AL65" s="131"/>
    </row>
    <row r="66" spans="1:38" s="2" customFormat="1" ht="62.4" x14ac:dyDescent="0.45">
      <c r="A66" s="43" t="s">
        <v>78</v>
      </c>
      <c r="B66" s="31" t="s">
        <v>79</v>
      </c>
      <c r="C66" s="91" t="s">
        <v>15</v>
      </c>
      <c r="D66" s="57">
        <f>35.26+E66</f>
        <v>48.98</v>
      </c>
      <c r="E66" s="57">
        <v>13.72</v>
      </c>
      <c r="F66" s="3" t="s">
        <v>22</v>
      </c>
      <c r="G66" s="55">
        <f t="shared" si="10"/>
        <v>34.095000000000006</v>
      </c>
      <c r="H66" s="57">
        <f>33.401+0.694</f>
        <v>34.095000000000006</v>
      </c>
      <c r="I66" s="57"/>
      <c r="J66" s="57">
        <v>1.6</v>
      </c>
      <c r="K66" s="57">
        <f>12.46+10.582+10.359</f>
        <v>33.401000000000003</v>
      </c>
      <c r="L66" s="55">
        <f t="shared" si="11"/>
        <v>35.001000000000005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115">
        <f t="shared" si="25"/>
        <v>0</v>
      </c>
      <c r="Z66" s="115">
        <f t="shared" si="26"/>
        <v>0</v>
      </c>
      <c r="AA66" s="115">
        <f t="shared" si="22"/>
        <v>0</v>
      </c>
      <c r="AB66" s="115">
        <f t="shared" si="12"/>
        <v>35.001000000000005</v>
      </c>
      <c r="AC66" s="115">
        <f t="shared" si="13"/>
        <v>0.69400000000000261</v>
      </c>
      <c r="AD66" s="115">
        <f t="shared" si="14"/>
        <v>0</v>
      </c>
      <c r="AE66" s="115">
        <f t="shared" si="15"/>
        <v>0.69400000000000261</v>
      </c>
      <c r="AF66" s="115" t="s">
        <v>22</v>
      </c>
      <c r="AG66" s="116">
        <f t="shared" si="27"/>
        <v>13.978999999999992</v>
      </c>
      <c r="AH66" s="133"/>
      <c r="AI66" s="133"/>
      <c r="AJ66" s="131"/>
      <c r="AK66" s="131"/>
      <c r="AL66" s="131"/>
    </row>
    <row r="67" spans="1:38" s="2" customFormat="1" ht="31.2" x14ac:dyDescent="0.45">
      <c r="A67" s="43" t="s">
        <v>80</v>
      </c>
      <c r="B67" s="31" t="s">
        <v>81</v>
      </c>
      <c r="C67" s="91" t="s">
        <v>15</v>
      </c>
      <c r="D67" s="57"/>
      <c r="E67" s="57"/>
      <c r="F67" s="3" t="s">
        <v>22</v>
      </c>
      <c r="G67" s="55">
        <f t="shared" si="10"/>
        <v>0</v>
      </c>
      <c r="H67" s="57"/>
      <c r="I67" s="57"/>
      <c r="J67" s="57"/>
      <c r="K67" s="57"/>
      <c r="L67" s="55">
        <f t="shared" si="11"/>
        <v>0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115">
        <f t="shared" si="25"/>
        <v>0</v>
      </c>
      <c r="Z67" s="115">
        <f t="shared" si="26"/>
        <v>0</v>
      </c>
      <c r="AA67" s="115">
        <f t="shared" si="22"/>
        <v>0</v>
      </c>
      <c r="AB67" s="115">
        <f t="shared" si="12"/>
        <v>0</v>
      </c>
      <c r="AC67" s="115">
        <f t="shared" si="13"/>
        <v>0</v>
      </c>
      <c r="AD67" s="115">
        <f t="shared" si="14"/>
        <v>0</v>
      </c>
      <c r="AE67" s="115">
        <f t="shared" si="15"/>
        <v>0</v>
      </c>
      <c r="AF67" s="115" t="s">
        <v>22</v>
      </c>
      <c r="AG67" s="116">
        <f t="shared" si="27"/>
        <v>0</v>
      </c>
      <c r="AH67" s="133"/>
      <c r="AI67" s="133"/>
      <c r="AJ67" s="131"/>
      <c r="AK67" s="131"/>
      <c r="AL67" s="131"/>
    </row>
    <row r="68" spans="1:38" ht="62.4" x14ac:dyDescent="0.45">
      <c r="A68" s="37" t="s">
        <v>82</v>
      </c>
      <c r="B68" s="27" t="s">
        <v>83</v>
      </c>
      <c r="C68" s="91" t="s">
        <v>15</v>
      </c>
      <c r="D68" s="56"/>
      <c r="E68" s="56"/>
      <c r="F68" s="3" t="s">
        <v>22</v>
      </c>
      <c r="G68" s="55">
        <f t="shared" si="10"/>
        <v>0</v>
      </c>
      <c r="H68" s="56"/>
      <c r="I68" s="56"/>
      <c r="J68" s="56">
        <v>2.7</v>
      </c>
      <c r="K68" s="56"/>
      <c r="L68" s="55">
        <f t="shared" si="11"/>
        <v>2.7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115">
        <f t="shared" si="25"/>
        <v>0</v>
      </c>
      <c r="Z68" s="115">
        <f t="shared" si="26"/>
        <v>0</v>
      </c>
      <c r="AA68" s="115">
        <f t="shared" si="22"/>
        <v>0</v>
      </c>
      <c r="AB68" s="115">
        <f t="shared" si="12"/>
        <v>2.7</v>
      </c>
      <c r="AC68" s="115">
        <f t="shared" si="13"/>
        <v>0</v>
      </c>
      <c r="AD68" s="115">
        <f t="shared" si="14"/>
        <v>0</v>
      </c>
      <c r="AE68" s="115">
        <f t="shared" si="15"/>
        <v>0</v>
      </c>
      <c r="AF68" s="115" t="s">
        <v>22</v>
      </c>
      <c r="AG68" s="116">
        <f t="shared" si="27"/>
        <v>-2.7</v>
      </c>
    </row>
    <row r="69" spans="1:38" ht="46.8" x14ac:dyDescent="0.45">
      <c r="A69" s="37" t="s">
        <v>84</v>
      </c>
      <c r="B69" s="27" t="s">
        <v>85</v>
      </c>
      <c r="C69" s="91" t="s">
        <v>15</v>
      </c>
      <c r="D69" s="56"/>
      <c r="E69" s="56"/>
      <c r="F69" s="3" t="s">
        <v>22</v>
      </c>
      <c r="G69" s="55">
        <f t="shared" si="10"/>
        <v>0</v>
      </c>
      <c r="H69" s="56"/>
      <c r="I69" s="56"/>
      <c r="J69" s="56"/>
      <c r="K69" s="56"/>
      <c r="L69" s="55">
        <f t="shared" si="11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115">
        <f t="shared" si="25"/>
        <v>0</v>
      </c>
      <c r="Z69" s="115">
        <f t="shared" si="26"/>
        <v>0</v>
      </c>
      <c r="AA69" s="115">
        <f t="shared" si="22"/>
        <v>0</v>
      </c>
      <c r="AB69" s="115">
        <f t="shared" si="12"/>
        <v>0</v>
      </c>
      <c r="AC69" s="115">
        <f t="shared" si="13"/>
        <v>0</v>
      </c>
      <c r="AD69" s="115">
        <f t="shared" si="14"/>
        <v>0</v>
      </c>
      <c r="AE69" s="115">
        <f t="shared" si="15"/>
        <v>0</v>
      </c>
      <c r="AF69" s="115" t="s">
        <v>22</v>
      </c>
      <c r="AG69" s="116">
        <f t="shared" si="27"/>
        <v>0</v>
      </c>
    </row>
    <row r="70" spans="1:38" ht="46.8" x14ac:dyDescent="0.45">
      <c r="A70" s="37" t="s">
        <v>86</v>
      </c>
      <c r="B70" s="27" t="s">
        <v>87</v>
      </c>
      <c r="C70" s="91" t="s">
        <v>15</v>
      </c>
      <c r="D70" s="56"/>
      <c r="E70" s="56"/>
      <c r="F70" s="3" t="s">
        <v>22</v>
      </c>
      <c r="G70" s="55">
        <f t="shared" si="10"/>
        <v>0</v>
      </c>
      <c r="H70" s="56"/>
      <c r="I70" s="56"/>
      <c r="J70" s="56">
        <v>0.5</v>
      </c>
      <c r="K70" s="56"/>
      <c r="L70" s="55">
        <f t="shared" si="11"/>
        <v>0.5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115">
        <f t="shared" si="25"/>
        <v>0</v>
      </c>
      <c r="Z70" s="115">
        <f t="shared" si="26"/>
        <v>0</v>
      </c>
      <c r="AA70" s="115">
        <f t="shared" si="22"/>
        <v>0</v>
      </c>
      <c r="AB70" s="115">
        <f t="shared" si="12"/>
        <v>0.5</v>
      </c>
      <c r="AC70" s="115">
        <f t="shared" si="13"/>
        <v>0</v>
      </c>
      <c r="AD70" s="115">
        <f t="shared" si="14"/>
        <v>0</v>
      </c>
      <c r="AE70" s="115">
        <f t="shared" si="15"/>
        <v>0</v>
      </c>
      <c r="AF70" s="115" t="s">
        <v>22</v>
      </c>
      <c r="AG70" s="116">
        <f t="shared" si="27"/>
        <v>-0.5</v>
      </c>
    </row>
    <row r="71" spans="1:38" ht="62.4" x14ac:dyDescent="0.45">
      <c r="A71" s="37" t="s">
        <v>88</v>
      </c>
      <c r="B71" s="31" t="s">
        <v>89</v>
      </c>
      <c r="C71" s="91" t="s">
        <v>15</v>
      </c>
      <c r="D71" s="56"/>
      <c r="E71" s="56"/>
      <c r="F71" s="3" t="s">
        <v>22</v>
      </c>
      <c r="G71" s="55">
        <f t="shared" si="10"/>
        <v>0</v>
      </c>
      <c r="H71" s="56"/>
      <c r="I71" s="56"/>
      <c r="J71" s="56">
        <v>0.2</v>
      </c>
      <c r="K71" s="56"/>
      <c r="L71" s="55">
        <f t="shared" si="11"/>
        <v>0.2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115">
        <f t="shared" si="25"/>
        <v>0</v>
      </c>
      <c r="Z71" s="115">
        <f t="shared" si="26"/>
        <v>0</v>
      </c>
      <c r="AA71" s="115">
        <f t="shared" si="22"/>
        <v>0</v>
      </c>
      <c r="AB71" s="115">
        <f t="shared" si="12"/>
        <v>0.2</v>
      </c>
      <c r="AC71" s="115">
        <f t="shared" si="13"/>
        <v>0</v>
      </c>
      <c r="AD71" s="115">
        <f t="shared" si="14"/>
        <v>0</v>
      </c>
      <c r="AE71" s="115">
        <f t="shared" si="15"/>
        <v>0</v>
      </c>
      <c r="AF71" s="115" t="s">
        <v>22</v>
      </c>
      <c r="AG71" s="116">
        <f t="shared" si="27"/>
        <v>-0.2</v>
      </c>
    </row>
    <row r="72" spans="1:38" ht="46.8" x14ac:dyDescent="0.45">
      <c r="A72" s="37" t="s">
        <v>90</v>
      </c>
      <c r="B72" s="31" t="s">
        <v>91</v>
      </c>
      <c r="C72" s="91" t="s">
        <v>15</v>
      </c>
      <c r="D72" s="56"/>
      <c r="E72" s="56"/>
      <c r="F72" s="3" t="s">
        <v>22</v>
      </c>
      <c r="G72" s="55">
        <f t="shared" si="10"/>
        <v>0</v>
      </c>
      <c r="H72" s="56"/>
      <c r="I72" s="56"/>
      <c r="J72" s="56"/>
      <c r="K72" s="56"/>
      <c r="L72" s="55">
        <f t="shared" si="11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115">
        <f t="shared" si="25"/>
        <v>0</v>
      </c>
      <c r="Z72" s="115">
        <f t="shared" si="26"/>
        <v>0</v>
      </c>
      <c r="AA72" s="115">
        <f t="shared" si="22"/>
        <v>0</v>
      </c>
      <c r="AB72" s="115">
        <f t="shared" si="12"/>
        <v>0</v>
      </c>
      <c r="AC72" s="115">
        <f t="shared" si="13"/>
        <v>0</v>
      </c>
      <c r="AD72" s="115">
        <f t="shared" si="14"/>
        <v>0</v>
      </c>
      <c r="AE72" s="115">
        <f t="shared" si="15"/>
        <v>0</v>
      </c>
      <c r="AF72" s="115" t="s">
        <v>22</v>
      </c>
      <c r="AG72" s="116">
        <f t="shared" si="27"/>
        <v>0</v>
      </c>
    </row>
    <row r="73" spans="1:38" ht="72" customHeight="1" x14ac:dyDescent="0.45">
      <c r="A73" s="37" t="s">
        <v>92</v>
      </c>
      <c r="B73" s="44" t="s">
        <v>93</v>
      </c>
      <c r="C73" s="91" t="s">
        <v>15</v>
      </c>
      <c r="D73" s="115">
        <f t="shared" ref="D73:X73" si="31">SUM(D74:D81)</f>
        <v>0</v>
      </c>
      <c r="E73" s="115">
        <f t="shared" si="31"/>
        <v>0</v>
      </c>
      <c r="F73" s="125" t="s">
        <v>22</v>
      </c>
      <c r="G73" s="115">
        <f t="shared" si="10"/>
        <v>0</v>
      </c>
      <c r="H73" s="115">
        <f t="shared" si="31"/>
        <v>0</v>
      </c>
      <c r="I73" s="115">
        <f t="shared" si="31"/>
        <v>0</v>
      </c>
      <c r="J73" s="115">
        <f t="shared" si="31"/>
        <v>0</v>
      </c>
      <c r="K73" s="115">
        <f t="shared" si="31"/>
        <v>0</v>
      </c>
      <c r="L73" s="115">
        <f t="shared" si="11"/>
        <v>0</v>
      </c>
      <c r="M73" s="115">
        <f t="shared" si="31"/>
        <v>0</v>
      </c>
      <c r="N73" s="115">
        <f t="shared" si="31"/>
        <v>0</v>
      </c>
      <c r="O73" s="115">
        <f t="shared" si="31"/>
        <v>0</v>
      </c>
      <c r="P73" s="115">
        <f t="shared" si="31"/>
        <v>0</v>
      </c>
      <c r="Q73" s="115">
        <f t="shared" si="31"/>
        <v>0</v>
      </c>
      <c r="R73" s="115">
        <f t="shared" si="31"/>
        <v>0</v>
      </c>
      <c r="S73" s="115">
        <f t="shared" si="31"/>
        <v>0</v>
      </c>
      <c r="T73" s="115">
        <f t="shared" si="31"/>
        <v>0</v>
      </c>
      <c r="U73" s="115">
        <f t="shared" si="31"/>
        <v>0</v>
      </c>
      <c r="V73" s="115">
        <f t="shared" si="31"/>
        <v>0</v>
      </c>
      <c r="W73" s="115">
        <f t="shared" si="31"/>
        <v>0</v>
      </c>
      <c r="X73" s="115">
        <f t="shared" si="31"/>
        <v>0</v>
      </c>
      <c r="Y73" s="115">
        <f t="shared" si="25"/>
        <v>0</v>
      </c>
      <c r="Z73" s="115">
        <f t="shared" si="26"/>
        <v>0</v>
      </c>
      <c r="AA73" s="115">
        <f t="shared" si="22"/>
        <v>0</v>
      </c>
      <c r="AB73" s="115">
        <f t="shared" si="12"/>
        <v>0</v>
      </c>
      <c r="AC73" s="115">
        <f t="shared" si="13"/>
        <v>0</v>
      </c>
      <c r="AD73" s="115">
        <f t="shared" si="14"/>
        <v>0</v>
      </c>
      <c r="AE73" s="115">
        <f t="shared" si="15"/>
        <v>0</v>
      </c>
      <c r="AF73" s="115" t="s">
        <v>22</v>
      </c>
      <c r="AG73" s="116">
        <f t="shared" si="27"/>
        <v>0</v>
      </c>
    </row>
    <row r="74" spans="1:38" ht="66" x14ac:dyDescent="0.45">
      <c r="A74" s="37"/>
      <c r="B74" s="72" t="s">
        <v>94</v>
      </c>
      <c r="C74" s="91" t="s">
        <v>15</v>
      </c>
      <c r="D74" s="56"/>
      <c r="E74" s="56"/>
      <c r="F74" s="3" t="s">
        <v>22</v>
      </c>
      <c r="G74" s="55">
        <f t="shared" si="10"/>
        <v>0</v>
      </c>
      <c r="H74" s="56"/>
      <c r="I74" s="57"/>
      <c r="J74" s="57"/>
      <c r="K74" s="57"/>
      <c r="L74" s="55">
        <f t="shared" si="11"/>
        <v>0</v>
      </c>
      <c r="M74" s="56"/>
      <c r="N74" s="56"/>
      <c r="O74" s="56"/>
      <c r="P74" s="56"/>
      <c r="Q74" s="56"/>
      <c r="R74" s="56"/>
      <c r="S74" s="56"/>
      <c r="T74" s="56"/>
      <c r="U74" s="57"/>
      <c r="V74" s="57"/>
      <c r="W74" s="56"/>
      <c r="X74" s="56"/>
      <c r="Y74" s="115">
        <f t="shared" si="25"/>
        <v>0</v>
      </c>
      <c r="Z74" s="115">
        <f t="shared" si="26"/>
        <v>0</v>
      </c>
      <c r="AA74" s="115">
        <f t="shared" si="22"/>
        <v>0</v>
      </c>
      <c r="AB74" s="115">
        <f t="shared" si="12"/>
        <v>0</v>
      </c>
      <c r="AC74" s="115">
        <f t="shared" si="13"/>
        <v>0</v>
      </c>
      <c r="AD74" s="115">
        <f t="shared" si="14"/>
        <v>0</v>
      </c>
      <c r="AE74" s="115">
        <f t="shared" si="15"/>
        <v>0</v>
      </c>
      <c r="AF74" s="115" t="s">
        <v>22</v>
      </c>
      <c r="AG74" s="116">
        <f t="shared" si="27"/>
        <v>0</v>
      </c>
    </row>
    <row r="75" spans="1:38" ht="66" x14ac:dyDescent="0.45">
      <c r="A75" s="37"/>
      <c r="B75" s="72" t="s">
        <v>95</v>
      </c>
      <c r="C75" s="91" t="s">
        <v>15</v>
      </c>
      <c r="D75" s="56"/>
      <c r="E75" s="56"/>
      <c r="F75" s="3" t="s">
        <v>22</v>
      </c>
      <c r="G75" s="55">
        <f t="shared" si="10"/>
        <v>0</v>
      </c>
      <c r="H75" s="56"/>
      <c r="I75" s="57"/>
      <c r="J75" s="57"/>
      <c r="K75" s="57"/>
      <c r="L75" s="55">
        <f t="shared" si="11"/>
        <v>0</v>
      </c>
      <c r="M75" s="56"/>
      <c r="N75" s="56"/>
      <c r="O75" s="56"/>
      <c r="P75" s="56"/>
      <c r="Q75" s="56"/>
      <c r="R75" s="56"/>
      <c r="S75" s="56"/>
      <c r="T75" s="56"/>
      <c r="U75" s="57"/>
      <c r="V75" s="57"/>
      <c r="W75" s="56"/>
      <c r="X75" s="56"/>
      <c r="Y75" s="115">
        <f t="shared" si="25"/>
        <v>0</v>
      </c>
      <c r="Z75" s="115">
        <f t="shared" si="26"/>
        <v>0</v>
      </c>
      <c r="AA75" s="115">
        <f t="shared" si="22"/>
        <v>0</v>
      </c>
      <c r="AB75" s="115">
        <f t="shared" si="12"/>
        <v>0</v>
      </c>
      <c r="AC75" s="115">
        <f t="shared" si="13"/>
        <v>0</v>
      </c>
      <c r="AD75" s="115">
        <f t="shared" si="14"/>
        <v>0</v>
      </c>
      <c r="AE75" s="115">
        <f t="shared" si="15"/>
        <v>0</v>
      </c>
      <c r="AF75" s="115" t="s">
        <v>22</v>
      </c>
      <c r="AG75" s="116">
        <f t="shared" si="27"/>
        <v>0</v>
      </c>
    </row>
    <row r="76" spans="1:38" ht="66" x14ac:dyDescent="0.45">
      <c r="A76" s="37"/>
      <c r="B76" s="72" t="s">
        <v>96</v>
      </c>
      <c r="C76" s="91" t="s">
        <v>15</v>
      </c>
      <c r="D76" s="56"/>
      <c r="E76" s="56"/>
      <c r="F76" s="3" t="s">
        <v>22</v>
      </c>
      <c r="G76" s="55">
        <f t="shared" si="10"/>
        <v>0</v>
      </c>
      <c r="H76" s="56"/>
      <c r="I76" s="57"/>
      <c r="J76" s="57"/>
      <c r="K76" s="57"/>
      <c r="L76" s="55">
        <f t="shared" si="11"/>
        <v>0</v>
      </c>
      <c r="M76" s="56"/>
      <c r="N76" s="56"/>
      <c r="O76" s="56"/>
      <c r="P76" s="56"/>
      <c r="Q76" s="56"/>
      <c r="R76" s="56"/>
      <c r="S76" s="56"/>
      <c r="T76" s="56"/>
      <c r="U76" s="57"/>
      <c r="V76" s="57"/>
      <c r="W76" s="56"/>
      <c r="X76" s="56"/>
      <c r="Y76" s="115">
        <f t="shared" si="25"/>
        <v>0</v>
      </c>
      <c r="Z76" s="115">
        <f t="shared" si="26"/>
        <v>0</v>
      </c>
      <c r="AA76" s="115">
        <f t="shared" si="22"/>
        <v>0</v>
      </c>
      <c r="AB76" s="115">
        <f t="shared" si="12"/>
        <v>0</v>
      </c>
      <c r="AC76" s="115">
        <f t="shared" si="13"/>
        <v>0</v>
      </c>
      <c r="AD76" s="115">
        <f t="shared" si="14"/>
        <v>0</v>
      </c>
      <c r="AE76" s="115">
        <f t="shared" si="15"/>
        <v>0</v>
      </c>
      <c r="AF76" s="115" t="s">
        <v>22</v>
      </c>
      <c r="AG76" s="116">
        <f t="shared" si="27"/>
        <v>0</v>
      </c>
    </row>
    <row r="77" spans="1:38" ht="42.75" customHeight="1" x14ac:dyDescent="0.45">
      <c r="A77" s="37"/>
      <c r="B77" s="72" t="s">
        <v>97</v>
      </c>
      <c r="C77" s="91" t="s">
        <v>15</v>
      </c>
      <c r="D77" s="56"/>
      <c r="E77" s="56"/>
      <c r="F77" s="3" t="s">
        <v>22</v>
      </c>
      <c r="G77" s="55">
        <f t="shared" si="10"/>
        <v>0</v>
      </c>
      <c r="H77" s="56"/>
      <c r="I77" s="57"/>
      <c r="J77" s="57"/>
      <c r="K77" s="57"/>
      <c r="L77" s="55">
        <f t="shared" si="11"/>
        <v>0</v>
      </c>
      <c r="M77" s="56"/>
      <c r="N77" s="56"/>
      <c r="O77" s="56"/>
      <c r="P77" s="56"/>
      <c r="Q77" s="56"/>
      <c r="R77" s="56"/>
      <c r="S77" s="56"/>
      <c r="T77" s="56"/>
      <c r="U77" s="57"/>
      <c r="V77" s="57"/>
      <c r="W77" s="56"/>
      <c r="X77" s="56"/>
      <c r="Y77" s="115">
        <f t="shared" si="25"/>
        <v>0</v>
      </c>
      <c r="Z77" s="115">
        <f t="shared" si="26"/>
        <v>0</v>
      </c>
      <c r="AA77" s="115">
        <f t="shared" si="22"/>
        <v>0</v>
      </c>
      <c r="AB77" s="115">
        <f t="shared" si="12"/>
        <v>0</v>
      </c>
      <c r="AC77" s="115">
        <f t="shared" si="13"/>
        <v>0</v>
      </c>
      <c r="AD77" s="115">
        <f t="shared" si="14"/>
        <v>0</v>
      </c>
      <c r="AE77" s="115">
        <f t="shared" si="15"/>
        <v>0</v>
      </c>
      <c r="AF77" s="115" t="s">
        <v>22</v>
      </c>
      <c r="AG77" s="116">
        <f t="shared" si="27"/>
        <v>0</v>
      </c>
    </row>
    <row r="78" spans="1:38" ht="59.25" customHeight="1" x14ac:dyDescent="0.45">
      <c r="A78" s="37"/>
      <c r="B78" s="72" t="s">
        <v>98</v>
      </c>
      <c r="C78" s="91" t="s">
        <v>15</v>
      </c>
      <c r="D78" s="56"/>
      <c r="E78" s="56"/>
      <c r="F78" s="3" t="s">
        <v>22</v>
      </c>
      <c r="G78" s="55">
        <f t="shared" si="10"/>
        <v>0</v>
      </c>
      <c r="H78" s="56"/>
      <c r="I78" s="57"/>
      <c r="J78" s="57"/>
      <c r="K78" s="57"/>
      <c r="L78" s="55">
        <f t="shared" si="11"/>
        <v>0</v>
      </c>
      <c r="M78" s="56"/>
      <c r="N78" s="56"/>
      <c r="O78" s="56"/>
      <c r="P78" s="56"/>
      <c r="Q78" s="56"/>
      <c r="R78" s="56"/>
      <c r="S78" s="56"/>
      <c r="T78" s="56"/>
      <c r="U78" s="57"/>
      <c r="V78" s="57"/>
      <c r="W78" s="56"/>
      <c r="X78" s="56"/>
      <c r="Y78" s="115">
        <f t="shared" si="25"/>
        <v>0</v>
      </c>
      <c r="Z78" s="115">
        <f t="shared" si="26"/>
        <v>0</v>
      </c>
      <c r="AA78" s="115">
        <f t="shared" si="22"/>
        <v>0</v>
      </c>
      <c r="AB78" s="115">
        <f t="shared" si="12"/>
        <v>0</v>
      </c>
      <c r="AC78" s="115">
        <f t="shared" si="13"/>
        <v>0</v>
      </c>
      <c r="AD78" s="115">
        <f t="shared" si="14"/>
        <v>0</v>
      </c>
      <c r="AE78" s="115">
        <f t="shared" si="15"/>
        <v>0</v>
      </c>
      <c r="AF78" s="115" t="s">
        <v>22</v>
      </c>
      <c r="AG78" s="116">
        <f t="shared" si="27"/>
        <v>0</v>
      </c>
    </row>
    <row r="79" spans="1:38" ht="28.5" customHeight="1" x14ac:dyDescent="0.45">
      <c r="A79" s="37"/>
      <c r="B79" s="72" t="s">
        <v>99</v>
      </c>
      <c r="C79" s="91" t="s">
        <v>15</v>
      </c>
      <c r="D79" s="56"/>
      <c r="E79" s="56"/>
      <c r="F79" s="3" t="s">
        <v>22</v>
      </c>
      <c r="G79" s="55">
        <f t="shared" si="10"/>
        <v>0</v>
      </c>
      <c r="H79" s="56"/>
      <c r="I79" s="57"/>
      <c r="J79" s="57"/>
      <c r="K79" s="57"/>
      <c r="L79" s="55">
        <f t="shared" si="11"/>
        <v>0</v>
      </c>
      <c r="M79" s="56"/>
      <c r="N79" s="56"/>
      <c r="O79" s="56"/>
      <c r="P79" s="56"/>
      <c r="Q79" s="56"/>
      <c r="R79" s="56"/>
      <c r="S79" s="56"/>
      <c r="T79" s="56"/>
      <c r="U79" s="57"/>
      <c r="V79" s="57"/>
      <c r="W79" s="56"/>
      <c r="X79" s="56"/>
      <c r="Y79" s="115">
        <f t="shared" si="25"/>
        <v>0</v>
      </c>
      <c r="Z79" s="115">
        <f t="shared" si="26"/>
        <v>0</v>
      </c>
      <c r="AA79" s="115">
        <f t="shared" si="22"/>
        <v>0</v>
      </c>
      <c r="AB79" s="115">
        <f t="shared" si="12"/>
        <v>0</v>
      </c>
      <c r="AC79" s="115">
        <f t="shared" si="13"/>
        <v>0</v>
      </c>
      <c r="AD79" s="115">
        <f t="shared" si="14"/>
        <v>0</v>
      </c>
      <c r="AE79" s="115">
        <f t="shared" si="15"/>
        <v>0</v>
      </c>
      <c r="AF79" s="115" t="s">
        <v>22</v>
      </c>
      <c r="AG79" s="116">
        <f t="shared" si="27"/>
        <v>0</v>
      </c>
    </row>
    <row r="80" spans="1:38" ht="54.75" customHeight="1" x14ac:dyDescent="0.45">
      <c r="A80" s="37"/>
      <c r="B80" s="73" t="s">
        <v>100</v>
      </c>
      <c r="C80" s="91" t="s">
        <v>15</v>
      </c>
      <c r="D80" s="56"/>
      <c r="E80" s="56"/>
      <c r="F80" s="3" t="s">
        <v>22</v>
      </c>
      <c r="G80" s="55">
        <f t="shared" si="10"/>
        <v>0</v>
      </c>
      <c r="H80" s="56"/>
      <c r="I80" s="57"/>
      <c r="J80" s="57"/>
      <c r="K80" s="57"/>
      <c r="L80" s="55">
        <f t="shared" si="11"/>
        <v>0</v>
      </c>
      <c r="M80" s="56"/>
      <c r="N80" s="56"/>
      <c r="O80" s="56"/>
      <c r="P80" s="56"/>
      <c r="Q80" s="56"/>
      <c r="R80" s="56"/>
      <c r="S80" s="56"/>
      <c r="T80" s="56"/>
      <c r="U80" s="57"/>
      <c r="V80" s="57"/>
      <c r="W80" s="56"/>
      <c r="X80" s="56"/>
      <c r="Y80" s="115">
        <f t="shared" si="25"/>
        <v>0</v>
      </c>
      <c r="Z80" s="115">
        <f t="shared" si="26"/>
        <v>0</v>
      </c>
      <c r="AA80" s="115">
        <f t="shared" si="22"/>
        <v>0</v>
      </c>
      <c r="AB80" s="115">
        <f t="shared" si="12"/>
        <v>0</v>
      </c>
      <c r="AC80" s="115">
        <f t="shared" si="13"/>
        <v>0</v>
      </c>
      <c r="AD80" s="115">
        <f t="shared" si="14"/>
        <v>0</v>
      </c>
      <c r="AE80" s="115">
        <f t="shared" si="15"/>
        <v>0</v>
      </c>
      <c r="AF80" s="115" t="s">
        <v>22</v>
      </c>
      <c r="AG80" s="116">
        <f t="shared" si="27"/>
        <v>0</v>
      </c>
    </row>
    <row r="81" spans="1:38" ht="24" customHeight="1" thickBot="1" x14ac:dyDescent="0.5">
      <c r="A81" s="39"/>
      <c r="B81" s="74" t="s">
        <v>101</v>
      </c>
      <c r="C81" s="103" t="s">
        <v>15</v>
      </c>
      <c r="D81" s="58"/>
      <c r="E81" s="58"/>
      <c r="F81" s="4" t="s">
        <v>22</v>
      </c>
      <c r="G81" s="51">
        <f t="shared" si="10"/>
        <v>0</v>
      </c>
      <c r="H81" s="58"/>
      <c r="I81" s="53"/>
      <c r="J81" s="53"/>
      <c r="K81" s="53"/>
      <c r="L81" s="51">
        <f t="shared" si="11"/>
        <v>0</v>
      </c>
      <c r="M81" s="58"/>
      <c r="N81" s="58"/>
      <c r="O81" s="58"/>
      <c r="P81" s="58"/>
      <c r="Q81" s="58"/>
      <c r="R81" s="58"/>
      <c r="S81" s="58"/>
      <c r="T81" s="58"/>
      <c r="U81" s="53"/>
      <c r="V81" s="53"/>
      <c r="W81" s="58"/>
      <c r="X81" s="58"/>
      <c r="Y81" s="108">
        <f t="shared" si="25"/>
        <v>0</v>
      </c>
      <c r="Z81" s="108">
        <f t="shared" si="26"/>
        <v>0</v>
      </c>
      <c r="AA81" s="108">
        <f t="shared" si="22"/>
        <v>0</v>
      </c>
      <c r="AB81" s="108">
        <f t="shared" si="12"/>
        <v>0</v>
      </c>
      <c r="AC81" s="108">
        <f t="shared" si="13"/>
        <v>0</v>
      </c>
      <c r="AD81" s="108">
        <f t="shared" si="14"/>
        <v>0</v>
      </c>
      <c r="AE81" s="108">
        <f t="shared" si="15"/>
        <v>0</v>
      </c>
      <c r="AF81" s="108" t="s">
        <v>22</v>
      </c>
      <c r="AG81" s="109">
        <f t="shared" si="27"/>
        <v>0</v>
      </c>
    </row>
    <row r="82" spans="1:38" s="46" customFormat="1" ht="25.2" thickBot="1" x14ac:dyDescent="0.5">
      <c r="A82" s="7"/>
      <c r="B82" s="45" t="s">
        <v>102</v>
      </c>
      <c r="C82" s="103" t="s">
        <v>15</v>
      </c>
      <c r="D82" s="123">
        <f t="shared" ref="D82:X82" si="32">D17+D20+D43+D58+D64</f>
        <v>9192.31</v>
      </c>
      <c r="E82" s="123">
        <f t="shared" si="32"/>
        <v>2504.64</v>
      </c>
      <c r="F82" s="122" t="s">
        <v>22</v>
      </c>
      <c r="G82" s="123">
        <f t="shared" ref="G82" si="33">H82++I82</f>
        <v>6566.4600000000009</v>
      </c>
      <c r="H82" s="123">
        <f t="shared" si="32"/>
        <v>6502.9010000000007</v>
      </c>
      <c r="I82" s="123">
        <f t="shared" si="32"/>
        <v>63.559000000000005</v>
      </c>
      <c r="J82" s="123">
        <f t="shared" si="32"/>
        <v>466.78</v>
      </c>
      <c r="K82" s="123">
        <f t="shared" si="32"/>
        <v>6350.3369999999995</v>
      </c>
      <c r="L82" s="117">
        <f t="shared" ref="L82" si="34">J82+K82</f>
        <v>6817.1169999999993</v>
      </c>
      <c r="M82" s="123">
        <f t="shared" si="32"/>
        <v>0</v>
      </c>
      <c r="N82" s="123">
        <f t="shared" si="32"/>
        <v>0</v>
      </c>
      <c r="O82" s="123">
        <f t="shared" si="32"/>
        <v>0</v>
      </c>
      <c r="P82" s="123">
        <f t="shared" si="32"/>
        <v>0</v>
      </c>
      <c r="Q82" s="123">
        <f t="shared" si="32"/>
        <v>44.774000000000001</v>
      </c>
      <c r="R82" s="123">
        <f t="shared" si="32"/>
        <v>0</v>
      </c>
      <c r="S82" s="123">
        <f t="shared" si="32"/>
        <v>0</v>
      </c>
      <c r="T82" s="123">
        <f t="shared" si="32"/>
        <v>0</v>
      </c>
      <c r="U82" s="123">
        <f t="shared" si="32"/>
        <v>0</v>
      </c>
      <c r="V82" s="123">
        <f t="shared" si="32"/>
        <v>0</v>
      </c>
      <c r="W82" s="123">
        <f t="shared" si="32"/>
        <v>0</v>
      </c>
      <c r="X82" s="123">
        <f t="shared" si="32"/>
        <v>0</v>
      </c>
      <c r="Y82" s="117">
        <f t="shared" si="25"/>
        <v>44.774000000000001</v>
      </c>
      <c r="Z82" s="117">
        <f t="shared" si="26"/>
        <v>0</v>
      </c>
      <c r="AA82" s="117">
        <f t="shared" si="22"/>
        <v>44.774000000000001</v>
      </c>
      <c r="AB82" s="117">
        <f t="shared" ref="AB82" si="35">L82+AA82</f>
        <v>6861.8909999999996</v>
      </c>
      <c r="AC82" s="117">
        <f t="shared" ref="AC82" si="36">H82-K82-Y82</f>
        <v>107.79000000000121</v>
      </c>
      <c r="AD82" s="117">
        <f t="shared" ref="AD82" si="37">I82-Z82</f>
        <v>63.559000000000005</v>
      </c>
      <c r="AE82" s="117">
        <f t="shared" ref="AE82" si="38">AC82+AD82</f>
        <v>171.34900000000121</v>
      </c>
      <c r="AF82" s="117" t="s">
        <v>22</v>
      </c>
      <c r="AG82" s="118">
        <f t="shared" si="27"/>
        <v>2330.4190000000003</v>
      </c>
      <c r="AH82" s="135"/>
      <c r="AI82" s="135"/>
      <c r="AJ82" s="132"/>
      <c r="AK82" s="132"/>
      <c r="AL82" s="132"/>
    </row>
    <row r="83" spans="1:38" ht="25.2" thickBot="1" x14ac:dyDescent="0.5">
      <c r="A83" s="14"/>
      <c r="B83" s="41" t="s">
        <v>14</v>
      </c>
      <c r="C83" s="47"/>
      <c r="D83" s="61"/>
      <c r="E83" s="61"/>
      <c r="F83" s="5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2"/>
    </row>
    <row r="84" spans="1:38" x14ac:dyDescent="0.45">
      <c r="A84" s="136"/>
      <c r="B84" s="136"/>
      <c r="C84" s="136"/>
      <c r="D84" s="136"/>
      <c r="E84" s="136"/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</row>
    <row r="85" spans="1:38" ht="43.5" customHeight="1" x14ac:dyDescent="0.45">
      <c r="B85" s="64" t="s">
        <v>137</v>
      </c>
      <c r="C85" s="63"/>
      <c r="D85" s="63"/>
      <c r="E85" s="63"/>
      <c r="F85" s="63"/>
      <c r="G85" s="63" t="s">
        <v>138</v>
      </c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</row>
    <row r="87" spans="1:38" ht="33.75" customHeight="1" x14ac:dyDescent="0.45">
      <c r="B87" s="63" t="s">
        <v>140</v>
      </c>
      <c r="D87" s="65"/>
      <c r="E87" s="65"/>
      <c r="F87" s="65"/>
      <c r="G87" s="65" t="s">
        <v>139</v>
      </c>
      <c r="H87" s="65"/>
      <c r="I87" s="65"/>
      <c r="J87" s="65"/>
      <c r="K87" s="65"/>
    </row>
  </sheetData>
  <sheetProtection password="CADE" sheet="1" objects="1" scenarios="1" formatColumns="0" formatRows="0"/>
  <mergeCells count="36">
    <mergeCell ref="O7:P7"/>
    <mergeCell ref="H5:I5"/>
    <mergeCell ref="I6:I8"/>
    <mergeCell ref="Q7:R7"/>
    <mergeCell ref="S7:T7"/>
    <mergeCell ref="U7:V7"/>
    <mergeCell ref="W7:X7"/>
    <mergeCell ref="A1:AG1"/>
    <mergeCell ref="A2:AG2"/>
    <mergeCell ref="A4:A8"/>
    <mergeCell ref="B4:B8"/>
    <mergeCell ref="C4:E4"/>
    <mergeCell ref="F4:F8"/>
    <mergeCell ref="J4:AB4"/>
    <mergeCell ref="AF4:AF8"/>
    <mergeCell ref="J6:L6"/>
    <mergeCell ref="AE6:AE7"/>
    <mergeCell ref="Z7:Z8"/>
    <mergeCell ref="H6:H8"/>
    <mergeCell ref="M7:N7"/>
    <mergeCell ref="A84:AG84"/>
    <mergeCell ref="Y7:Y8"/>
    <mergeCell ref="AA7:AA8"/>
    <mergeCell ref="AG4:AG7"/>
    <mergeCell ref="C5:C8"/>
    <mergeCell ref="D5:D8"/>
    <mergeCell ref="E5:E8"/>
    <mergeCell ref="G5:G8"/>
    <mergeCell ref="J5:AA5"/>
    <mergeCell ref="L7:L8"/>
    <mergeCell ref="AB5:AB7"/>
    <mergeCell ref="G4:I4"/>
    <mergeCell ref="M6:AA6"/>
    <mergeCell ref="J7:K7"/>
    <mergeCell ref="AC4:AE5"/>
    <mergeCell ref="AC6:AD6"/>
  </mergeCells>
  <dataValidations count="1">
    <dataValidation type="decimal" allowBlank="1" showInputMessage="1" showErrorMessage="1" sqref="AG83 E83 E74:E81 E51:E57 E47:E49 E44:E45 E65:E72 E22:E25 E18:E19 E59:E63 E27:E42 M44:X45 M47:X49 M51:X57 M65:X72 M74:X81 M27:X42 M59:X63 M18:X19 M22:X25 H22:K25 H44:K45 H47:K49 H51:H56 H65:K72 H74:K81 H27:K42 H59:K63 H18:K19 I51:K57 G83:AE83">
      <formula1>-100000000000000000</formula1>
      <formula2>100000000000000000</formula2>
    </dataValidation>
  </dataValidations>
  <printOptions horizontalCentered="1" verticalCentered="1"/>
  <pageMargins left="0" right="0" top="0" bottom="0" header="0.31496062992125984" footer="0.31496062992125984"/>
  <pageSetup paperSize="9" scale="35" orientation="landscape" r:id="rId1"/>
  <rowBreaks count="1" manualBreakCount="1">
    <brk id="40" max="3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2</vt:i4>
      </vt:variant>
    </vt:vector>
  </HeadingPairs>
  <TitlesOfParts>
    <vt:vector size="3" baseType="lpstr">
      <vt:lpstr>Аркуш1 </vt:lpstr>
      <vt:lpstr>'Аркуш1 '!Заголовки_для_друку</vt:lpstr>
      <vt:lpstr>'Аркуш1 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Товкач Мирослава</dc:creator>
  <cp:lastModifiedBy>fond</cp:lastModifiedBy>
  <cp:lastPrinted>2013-04-02T06:09:03Z</cp:lastPrinted>
  <dcterms:created xsi:type="dcterms:W3CDTF">2013-02-01T12:58:42Z</dcterms:created>
  <dcterms:modified xsi:type="dcterms:W3CDTF">2013-04-04T07:54:04Z</dcterms:modified>
</cp:coreProperties>
</file>