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8" windowWidth="15456" windowHeight="11520"/>
  </bookViews>
  <sheets>
    <sheet name="Аркуш1 " sheetId="1" r:id="rId1"/>
  </sheets>
  <definedNames>
    <definedName name="_xlnm.Print_Titles" localSheetId="0">'Аркуш1 '!$4:$9</definedName>
    <definedName name="_xlnm.Print_Area" localSheetId="0">'Аркуш1 '!$A$1:$AO$87</definedName>
  </definedNames>
  <calcPr calcId="145621"/>
</workbook>
</file>

<file path=xl/calcChain.xml><?xml version="1.0" encoding="utf-8"?>
<calcChain xmlns="http://schemas.openxmlformats.org/spreadsheetml/2006/main">
  <c r="H48" i="1" l="1"/>
  <c r="H45" i="1"/>
  <c r="H44" i="1"/>
  <c r="I48" i="1"/>
  <c r="I45" i="1"/>
  <c r="I44" i="1"/>
  <c r="H71" i="1" l="1"/>
  <c r="H49" i="1" l="1"/>
  <c r="H47" i="1"/>
  <c r="R45" i="1" l="1"/>
  <c r="R44" i="1"/>
  <c r="Q44" i="1"/>
  <c r="R19" i="1"/>
  <c r="H66" i="1" l="1"/>
  <c r="H18" i="1"/>
  <c r="H70" i="1"/>
  <c r="H68" i="1"/>
  <c r="M19" i="1" l="1"/>
  <c r="M36" i="1"/>
  <c r="M66" i="1"/>
  <c r="M53" i="1"/>
  <c r="M49" i="1"/>
  <c r="M48" i="1"/>
  <c r="M47" i="1"/>
  <c r="M45" i="1"/>
  <c r="M44" i="1"/>
  <c r="N44" i="1"/>
  <c r="M42" i="1" l="1"/>
  <c r="N42" i="1"/>
  <c r="N41" i="1"/>
  <c r="M41" i="1"/>
  <c r="M33" i="1"/>
  <c r="M29" i="1"/>
  <c r="M18" i="1" l="1"/>
  <c r="G18" i="1"/>
  <c r="H79" i="1" l="1"/>
  <c r="F49" i="1"/>
  <c r="F22" i="1"/>
  <c r="C73" i="1" l="1"/>
  <c r="M73" i="1"/>
  <c r="AL18" i="1" l="1"/>
  <c r="AM83" i="1" l="1"/>
  <c r="AL19" i="1"/>
  <c r="AL22" i="1"/>
  <c r="AL23" i="1"/>
  <c r="AL24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4" i="1"/>
  <c r="AL45" i="1"/>
  <c r="AL47" i="1"/>
  <c r="AL48" i="1"/>
  <c r="AL49" i="1"/>
  <c r="AL51" i="1"/>
  <c r="AL52" i="1"/>
  <c r="AL53" i="1"/>
  <c r="AL54" i="1"/>
  <c r="AL55" i="1"/>
  <c r="AL56" i="1"/>
  <c r="AL57" i="1"/>
  <c r="AL59" i="1"/>
  <c r="AL60" i="1"/>
  <c r="AL61" i="1"/>
  <c r="AL62" i="1"/>
  <c r="AL63" i="1"/>
  <c r="AL65" i="1"/>
  <c r="AL66" i="1"/>
  <c r="AL67" i="1"/>
  <c r="AL68" i="1"/>
  <c r="AL69" i="1"/>
  <c r="AL70" i="1"/>
  <c r="AL71" i="1"/>
  <c r="AL72" i="1"/>
  <c r="AL74" i="1"/>
  <c r="AL75" i="1"/>
  <c r="AL76" i="1"/>
  <c r="AL77" i="1"/>
  <c r="AL78" i="1"/>
  <c r="AL79" i="1"/>
  <c r="AL80" i="1"/>
  <c r="AL81" i="1"/>
  <c r="AK19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4" i="1"/>
  <c r="AK45" i="1"/>
  <c r="AK47" i="1"/>
  <c r="AK48" i="1"/>
  <c r="AK49" i="1"/>
  <c r="AK51" i="1"/>
  <c r="AK52" i="1"/>
  <c r="AK53" i="1"/>
  <c r="AK54" i="1"/>
  <c r="AK55" i="1"/>
  <c r="AK56" i="1"/>
  <c r="AK57" i="1"/>
  <c r="AK59" i="1"/>
  <c r="AK60" i="1"/>
  <c r="AK61" i="1"/>
  <c r="AK62" i="1"/>
  <c r="AK63" i="1"/>
  <c r="AK65" i="1"/>
  <c r="AK66" i="1"/>
  <c r="AK67" i="1"/>
  <c r="AK68" i="1"/>
  <c r="AK69" i="1"/>
  <c r="AK70" i="1"/>
  <c r="AK71" i="1"/>
  <c r="AK72" i="1"/>
  <c r="AK74" i="1"/>
  <c r="AK75" i="1"/>
  <c r="AK76" i="1"/>
  <c r="AK77" i="1"/>
  <c r="AK78" i="1"/>
  <c r="AK79" i="1"/>
  <c r="AK80" i="1"/>
  <c r="AK81" i="1"/>
  <c r="AK18" i="1"/>
  <c r="AJ18" i="1"/>
  <c r="AJ19" i="1"/>
  <c r="AM19" i="1" s="1"/>
  <c r="AJ22" i="1"/>
  <c r="AM22" i="1" s="1"/>
  <c r="AJ23" i="1"/>
  <c r="AM23" i="1" s="1"/>
  <c r="AJ24" i="1"/>
  <c r="AJ25" i="1"/>
  <c r="AM25" i="1" s="1"/>
  <c r="AJ27" i="1"/>
  <c r="AM27" i="1" s="1"/>
  <c r="AJ28" i="1"/>
  <c r="AM28" i="1" s="1"/>
  <c r="AJ29" i="1"/>
  <c r="AM29" i="1" s="1"/>
  <c r="AJ30" i="1"/>
  <c r="AM30" i="1" s="1"/>
  <c r="AJ31" i="1"/>
  <c r="AM31" i="1" s="1"/>
  <c r="AJ32" i="1"/>
  <c r="AM32" i="1" s="1"/>
  <c r="AJ33" i="1"/>
  <c r="AM33" i="1" s="1"/>
  <c r="AJ34" i="1"/>
  <c r="AM34" i="1" s="1"/>
  <c r="AJ35" i="1"/>
  <c r="AM35" i="1" s="1"/>
  <c r="AJ36" i="1"/>
  <c r="AM36" i="1" s="1"/>
  <c r="AJ37" i="1"/>
  <c r="AM37" i="1" s="1"/>
  <c r="AJ38" i="1"/>
  <c r="AM38" i="1" s="1"/>
  <c r="AJ39" i="1"/>
  <c r="AM39" i="1" s="1"/>
  <c r="AJ40" i="1"/>
  <c r="AM40" i="1" s="1"/>
  <c r="AJ41" i="1"/>
  <c r="AM41" i="1" s="1"/>
  <c r="AJ42" i="1"/>
  <c r="AM42" i="1" s="1"/>
  <c r="AJ44" i="1"/>
  <c r="AJ45" i="1"/>
  <c r="AJ47" i="1"/>
  <c r="AM47" i="1" s="1"/>
  <c r="AJ48" i="1"/>
  <c r="AM48" i="1" s="1"/>
  <c r="AJ49" i="1"/>
  <c r="AM49" i="1" s="1"/>
  <c r="AJ51" i="1"/>
  <c r="AJ52" i="1"/>
  <c r="AM52" i="1" s="1"/>
  <c r="AJ53" i="1"/>
  <c r="AM53" i="1" s="1"/>
  <c r="AJ54" i="1"/>
  <c r="AM54" i="1" s="1"/>
  <c r="AJ55" i="1"/>
  <c r="AM55" i="1" s="1"/>
  <c r="AJ56" i="1"/>
  <c r="AM56" i="1" s="1"/>
  <c r="AJ57" i="1"/>
  <c r="AM57" i="1" s="1"/>
  <c r="AJ59" i="1"/>
  <c r="AM59" i="1" s="1"/>
  <c r="AJ60" i="1"/>
  <c r="AM60" i="1" s="1"/>
  <c r="AJ61" i="1"/>
  <c r="AM61" i="1" s="1"/>
  <c r="AJ62" i="1"/>
  <c r="AM62" i="1" s="1"/>
  <c r="AJ63" i="1"/>
  <c r="AM63" i="1" s="1"/>
  <c r="AJ65" i="1"/>
  <c r="AJ66" i="1"/>
  <c r="AM66" i="1" s="1"/>
  <c r="AJ67" i="1"/>
  <c r="AM67" i="1" s="1"/>
  <c r="AJ68" i="1"/>
  <c r="AM68" i="1" s="1"/>
  <c r="AJ69" i="1"/>
  <c r="AM69" i="1" s="1"/>
  <c r="AJ70" i="1"/>
  <c r="AM70" i="1" s="1"/>
  <c r="AJ71" i="1"/>
  <c r="AM71" i="1" s="1"/>
  <c r="AJ72" i="1"/>
  <c r="AM72" i="1" s="1"/>
  <c r="AJ74" i="1"/>
  <c r="AM74" i="1" s="1"/>
  <c r="AJ75" i="1"/>
  <c r="AM75" i="1" s="1"/>
  <c r="AJ76" i="1"/>
  <c r="AM76" i="1" s="1"/>
  <c r="AJ77" i="1"/>
  <c r="AM77" i="1" s="1"/>
  <c r="AJ78" i="1"/>
  <c r="AM78" i="1" s="1"/>
  <c r="AJ79" i="1"/>
  <c r="AJ80" i="1"/>
  <c r="AM80" i="1" s="1"/>
  <c r="AJ81" i="1"/>
  <c r="AM81" i="1" s="1"/>
  <c r="M17" i="1"/>
  <c r="M21" i="1"/>
  <c r="M26" i="1"/>
  <c r="M50" i="1"/>
  <c r="M46" i="1" s="1"/>
  <c r="M43" i="1" s="1"/>
  <c r="M58" i="1"/>
  <c r="M64" i="1"/>
  <c r="O81" i="1"/>
  <c r="O80" i="1"/>
  <c r="O79" i="1"/>
  <c r="O78" i="1"/>
  <c r="O77" i="1"/>
  <c r="O76" i="1"/>
  <c r="O75" i="1"/>
  <c r="O74" i="1"/>
  <c r="O72" i="1"/>
  <c r="O71" i="1"/>
  <c r="O70" i="1"/>
  <c r="O69" i="1"/>
  <c r="O68" i="1"/>
  <c r="O67" i="1"/>
  <c r="O66" i="1"/>
  <c r="O65" i="1"/>
  <c r="O63" i="1"/>
  <c r="O62" i="1"/>
  <c r="O61" i="1"/>
  <c r="O60" i="1"/>
  <c r="O59" i="1"/>
  <c r="O57" i="1"/>
  <c r="O56" i="1"/>
  <c r="O55" i="1"/>
  <c r="O54" i="1"/>
  <c r="O53" i="1"/>
  <c r="O52" i="1"/>
  <c r="O51" i="1"/>
  <c r="O49" i="1"/>
  <c r="O48" i="1"/>
  <c r="O47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5" i="1"/>
  <c r="O24" i="1"/>
  <c r="O23" i="1"/>
  <c r="O22" i="1"/>
  <c r="O19" i="1"/>
  <c r="O18" i="1"/>
  <c r="AM79" i="1" l="1"/>
  <c r="AM45" i="1"/>
  <c r="AM24" i="1"/>
  <c r="AM65" i="1"/>
  <c r="AM51" i="1"/>
  <c r="AM44" i="1"/>
  <c r="M20" i="1"/>
  <c r="AM18" i="1"/>
  <c r="M82" i="1"/>
  <c r="F73" i="1"/>
  <c r="G73" i="1"/>
  <c r="H73" i="1"/>
  <c r="H64" i="1" s="1"/>
  <c r="I73" i="1"/>
  <c r="J73" i="1"/>
  <c r="K73" i="1"/>
  <c r="L73" i="1"/>
  <c r="N73" i="1"/>
  <c r="O73" i="1"/>
  <c r="P73" i="1"/>
  <c r="Q73" i="1"/>
  <c r="Q64" i="1" s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F64" i="1"/>
  <c r="G64" i="1"/>
  <c r="I64" i="1"/>
  <c r="J64" i="1"/>
  <c r="K64" i="1"/>
  <c r="L64" i="1"/>
  <c r="N64" i="1"/>
  <c r="O64" i="1"/>
  <c r="P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F58" i="1"/>
  <c r="G58" i="1"/>
  <c r="H58" i="1"/>
  <c r="I58" i="1"/>
  <c r="J58" i="1"/>
  <c r="K58" i="1"/>
  <c r="L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F50" i="1"/>
  <c r="F46" i="1" s="1"/>
  <c r="F43" i="1" s="1"/>
  <c r="G50" i="1"/>
  <c r="H50" i="1"/>
  <c r="I50" i="1"/>
  <c r="J50" i="1"/>
  <c r="K50" i="1"/>
  <c r="L50" i="1"/>
  <c r="N50" i="1"/>
  <c r="O50" i="1"/>
  <c r="P50" i="1"/>
  <c r="Q50" i="1"/>
  <c r="Q46" i="1" s="1"/>
  <c r="Q43" i="1" s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G46" i="1"/>
  <c r="H46" i="1"/>
  <c r="H43" i="1" s="1"/>
  <c r="I46" i="1"/>
  <c r="I43" i="1" s="1"/>
  <c r="J46" i="1"/>
  <c r="J43" i="1" s="1"/>
  <c r="K46" i="1"/>
  <c r="L46" i="1"/>
  <c r="L43" i="1" s="1"/>
  <c r="N46" i="1"/>
  <c r="N43" i="1" s="1"/>
  <c r="O46" i="1"/>
  <c r="O43" i="1" s="1"/>
  <c r="P46" i="1"/>
  <c r="R46" i="1"/>
  <c r="R43" i="1" s="1"/>
  <c r="S46" i="1"/>
  <c r="T46" i="1"/>
  <c r="U46" i="1"/>
  <c r="V46" i="1"/>
  <c r="W46" i="1"/>
  <c r="X46" i="1"/>
  <c r="Y46" i="1"/>
  <c r="Y43" i="1" s="1"/>
  <c r="Z46" i="1"/>
  <c r="AA46" i="1"/>
  <c r="AB46" i="1"/>
  <c r="AC46" i="1"/>
  <c r="AD46" i="1"/>
  <c r="AE46" i="1"/>
  <c r="AF46" i="1"/>
  <c r="AG46" i="1"/>
  <c r="K43" i="1"/>
  <c r="P43" i="1"/>
  <c r="S43" i="1"/>
  <c r="T43" i="1"/>
  <c r="U43" i="1"/>
  <c r="V43" i="1"/>
  <c r="W43" i="1"/>
  <c r="X43" i="1"/>
  <c r="Z43" i="1"/>
  <c r="AA43" i="1"/>
  <c r="AB43" i="1"/>
  <c r="AC43" i="1"/>
  <c r="AD43" i="1"/>
  <c r="AE43" i="1"/>
  <c r="AF43" i="1"/>
  <c r="AG43" i="1"/>
  <c r="F26" i="1"/>
  <c r="G26" i="1"/>
  <c r="H26" i="1"/>
  <c r="I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F21" i="1"/>
  <c r="G21" i="1"/>
  <c r="H21" i="1"/>
  <c r="I21" i="1"/>
  <c r="J21" i="1"/>
  <c r="J20" i="1" s="1"/>
  <c r="K21" i="1"/>
  <c r="L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F17" i="1"/>
  <c r="G17" i="1"/>
  <c r="H17" i="1"/>
  <c r="I17" i="1"/>
  <c r="J17" i="1"/>
  <c r="K17" i="1"/>
  <c r="L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O20" i="1" l="1"/>
  <c r="L20" i="1"/>
  <c r="AL73" i="1"/>
  <c r="AJ73" i="1"/>
  <c r="AK73" i="1"/>
  <c r="AL64" i="1"/>
  <c r="AJ64" i="1"/>
  <c r="AK64" i="1"/>
  <c r="AL58" i="1"/>
  <c r="AJ58" i="1"/>
  <c r="AK58" i="1"/>
  <c r="AL50" i="1"/>
  <c r="AJ50" i="1"/>
  <c r="AK50" i="1"/>
  <c r="AL46" i="1"/>
  <c r="AJ46" i="1"/>
  <c r="AK46" i="1"/>
  <c r="G43" i="1"/>
  <c r="AK43" i="1" s="1"/>
  <c r="AL43" i="1"/>
  <c r="AJ43" i="1"/>
  <c r="AG20" i="1"/>
  <c r="AE20" i="1"/>
  <c r="AC20" i="1"/>
  <c r="AA20" i="1"/>
  <c r="Y20" i="1"/>
  <c r="W20" i="1"/>
  <c r="U20" i="1"/>
  <c r="S20" i="1"/>
  <c r="AL26" i="1"/>
  <c r="Q20" i="1"/>
  <c r="Q82" i="1" s="1"/>
  <c r="AJ26" i="1"/>
  <c r="AK26" i="1"/>
  <c r="O82" i="1"/>
  <c r="L82" i="1"/>
  <c r="AG82" i="1"/>
  <c r="AE82" i="1"/>
  <c r="AC82" i="1"/>
  <c r="AA82" i="1"/>
  <c r="Y82" i="1"/>
  <c r="W82" i="1"/>
  <c r="U82" i="1"/>
  <c r="S82" i="1"/>
  <c r="AK21" i="1"/>
  <c r="J82" i="1"/>
  <c r="H20" i="1"/>
  <c r="H82" i="1" s="1"/>
  <c r="AL21" i="1"/>
  <c r="F20" i="1"/>
  <c r="F82" i="1" s="1"/>
  <c r="AJ21" i="1"/>
  <c r="AK17" i="1"/>
  <c r="AL17" i="1"/>
  <c r="AJ17" i="1"/>
  <c r="AF20" i="1"/>
  <c r="AF82" i="1" s="1"/>
  <c r="AD20" i="1"/>
  <c r="AD82" i="1" s="1"/>
  <c r="AB20" i="1"/>
  <c r="AB82" i="1" s="1"/>
  <c r="Z20" i="1"/>
  <c r="Z82" i="1" s="1"/>
  <c r="X20" i="1"/>
  <c r="X82" i="1" s="1"/>
  <c r="V20" i="1"/>
  <c r="V82" i="1" s="1"/>
  <c r="T20" i="1"/>
  <c r="T82" i="1" s="1"/>
  <c r="R20" i="1"/>
  <c r="R82" i="1" s="1"/>
  <c r="P20" i="1"/>
  <c r="P82" i="1" s="1"/>
  <c r="N20" i="1"/>
  <c r="N82" i="1" s="1"/>
  <c r="K20" i="1"/>
  <c r="K82" i="1" s="1"/>
  <c r="I20" i="1"/>
  <c r="I82" i="1" s="1"/>
  <c r="G20" i="1"/>
  <c r="AM73" i="1" l="1"/>
  <c r="AM64" i="1"/>
  <c r="AM58" i="1"/>
  <c r="AM50" i="1"/>
  <c r="AM46" i="1"/>
  <c r="AM43" i="1"/>
  <c r="AM26" i="1"/>
  <c r="AL20" i="1"/>
  <c r="AL82" i="1" s="1"/>
  <c r="AJ20" i="1"/>
  <c r="AJ82" i="1" s="1"/>
  <c r="AM21" i="1"/>
  <c r="G82" i="1"/>
  <c r="AK20" i="1"/>
  <c r="AK82" i="1" s="1"/>
  <c r="AM17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3" i="1"/>
  <c r="E62" i="1"/>
  <c r="E61" i="1"/>
  <c r="E60" i="1"/>
  <c r="E59" i="1"/>
  <c r="E57" i="1"/>
  <c r="E56" i="1"/>
  <c r="E55" i="1"/>
  <c r="E54" i="1"/>
  <c r="E53" i="1"/>
  <c r="E52" i="1"/>
  <c r="E51" i="1"/>
  <c r="E49" i="1"/>
  <c r="E48" i="1"/>
  <c r="E47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19" i="1"/>
  <c r="E18" i="1"/>
  <c r="AH81" i="1"/>
  <c r="AO81" i="1" s="1"/>
  <c r="AH80" i="1"/>
  <c r="AO80" i="1" s="1"/>
  <c r="AH79" i="1"/>
  <c r="AO79" i="1" s="1"/>
  <c r="AH78" i="1"/>
  <c r="AO78" i="1" s="1"/>
  <c r="AH77" i="1"/>
  <c r="AO77" i="1" s="1"/>
  <c r="AH76" i="1"/>
  <c r="AO76" i="1" s="1"/>
  <c r="AH75" i="1"/>
  <c r="AO75" i="1" s="1"/>
  <c r="AH74" i="1"/>
  <c r="AH72" i="1"/>
  <c r="AO72" i="1" s="1"/>
  <c r="AH71" i="1"/>
  <c r="AO71" i="1" s="1"/>
  <c r="AH70" i="1"/>
  <c r="AO70" i="1" s="1"/>
  <c r="AH69" i="1"/>
  <c r="AO69" i="1" s="1"/>
  <c r="AH68" i="1"/>
  <c r="AO68" i="1" s="1"/>
  <c r="AH67" i="1"/>
  <c r="AO67" i="1" s="1"/>
  <c r="AH66" i="1"/>
  <c r="AO66" i="1" s="1"/>
  <c r="AH65" i="1"/>
  <c r="AH63" i="1"/>
  <c r="AO63" i="1" s="1"/>
  <c r="AH62" i="1"/>
  <c r="AO62" i="1" s="1"/>
  <c r="AH61" i="1"/>
  <c r="AO61" i="1" s="1"/>
  <c r="AH60" i="1"/>
  <c r="AO60" i="1" s="1"/>
  <c r="AH59" i="1"/>
  <c r="AH57" i="1"/>
  <c r="AO57" i="1" s="1"/>
  <c r="AH56" i="1"/>
  <c r="AO56" i="1" s="1"/>
  <c r="AH55" i="1"/>
  <c r="AO55" i="1" s="1"/>
  <c r="AH54" i="1"/>
  <c r="AO54" i="1" s="1"/>
  <c r="AH53" i="1"/>
  <c r="AO53" i="1" s="1"/>
  <c r="AH52" i="1"/>
  <c r="AO52" i="1" s="1"/>
  <c r="AH51" i="1"/>
  <c r="AH49" i="1"/>
  <c r="AO49" i="1" s="1"/>
  <c r="AH48" i="1"/>
  <c r="AO48" i="1" s="1"/>
  <c r="AH47" i="1"/>
  <c r="AH45" i="1"/>
  <c r="AO45" i="1" s="1"/>
  <c r="AH44" i="1"/>
  <c r="AH42" i="1"/>
  <c r="AO42" i="1" s="1"/>
  <c r="AH41" i="1"/>
  <c r="AO41" i="1" s="1"/>
  <c r="AH40" i="1"/>
  <c r="AO40" i="1" s="1"/>
  <c r="AH39" i="1"/>
  <c r="AO39" i="1" s="1"/>
  <c r="AH38" i="1"/>
  <c r="AO38" i="1" s="1"/>
  <c r="AH37" i="1"/>
  <c r="AO37" i="1" s="1"/>
  <c r="AH36" i="1"/>
  <c r="AO36" i="1" s="1"/>
  <c r="AH35" i="1"/>
  <c r="AO35" i="1" s="1"/>
  <c r="AH34" i="1"/>
  <c r="AO34" i="1" s="1"/>
  <c r="AH33" i="1"/>
  <c r="AO33" i="1" s="1"/>
  <c r="AH32" i="1"/>
  <c r="AO32" i="1" s="1"/>
  <c r="AH31" i="1"/>
  <c r="AO31" i="1" s="1"/>
  <c r="AH30" i="1"/>
  <c r="AO30" i="1" s="1"/>
  <c r="AH29" i="1"/>
  <c r="AO29" i="1" s="1"/>
  <c r="AH28" i="1"/>
  <c r="AO28" i="1" s="1"/>
  <c r="AH27" i="1"/>
  <c r="AH25" i="1"/>
  <c r="AO25" i="1" s="1"/>
  <c r="AH24" i="1"/>
  <c r="AO24" i="1" s="1"/>
  <c r="AH23" i="1"/>
  <c r="AO23" i="1" s="1"/>
  <c r="AH22" i="1"/>
  <c r="AH19" i="1"/>
  <c r="AO19" i="1" s="1"/>
  <c r="AH18" i="1"/>
  <c r="R9" i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E50" i="1" l="1"/>
  <c r="E46" i="1" s="1"/>
  <c r="E43" i="1" s="1"/>
  <c r="E21" i="1"/>
  <c r="E26" i="1"/>
  <c r="E58" i="1"/>
  <c r="E73" i="1"/>
  <c r="E64" i="1" s="1"/>
  <c r="AO74" i="1"/>
  <c r="AH73" i="1"/>
  <c r="AO65" i="1"/>
  <c r="AH64" i="1"/>
  <c r="AO59" i="1"/>
  <c r="AH58" i="1"/>
  <c r="AO51" i="1"/>
  <c r="AH50" i="1"/>
  <c r="AH46" i="1" s="1"/>
  <c r="AH43" i="1" s="1"/>
  <c r="AO47" i="1"/>
  <c r="AO44" i="1"/>
  <c r="AO27" i="1"/>
  <c r="AH26" i="1"/>
  <c r="AM20" i="1"/>
  <c r="AO22" i="1"/>
  <c r="AH21" i="1"/>
  <c r="AM82" i="1"/>
  <c r="E17" i="1"/>
  <c r="AO18" i="1"/>
  <c r="AH17" i="1"/>
  <c r="AI81" i="1"/>
  <c r="AI80" i="1"/>
  <c r="AI79" i="1"/>
  <c r="AI78" i="1"/>
  <c r="AI77" i="1"/>
  <c r="AI76" i="1"/>
  <c r="AI75" i="1"/>
  <c r="AI74" i="1"/>
  <c r="AI72" i="1"/>
  <c r="AI71" i="1"/>
  <c r="AI70" i="1"/>
  <c r="AI69" i="1"/>
  <c r="AI68" i="1"/>
  <c r="AI67" i="1"/>
  <c r="AI66" i="1"/>
  <c r="AI65" i="1"/>
  <c r="AI63" i="1"/>
  <c r="AI62" i="1"/>
  <c r="AI61" i="1"/>
  <c r="AI60" i="1"/>
  <c r="AI59" i="1"/>
  <c r="AI57" i="1"/>
  <c r="AI56" i="1"/>
  <c r="AI55" i="1"/>
  <c r="AI54" i="1"/>
  <c r="AI53" i="1"/>
  <c r="AI52" i="1"/>
  <c r="AI51" i="1"/>
  <c r="AI49" i="1"/>
  <c r="AI48" i="1"/>
  <c r="AI47" i="1"/>
  <c r="AI45" i="1"/>
  <c r="AI44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5" i="1"/>
  <c r="AI24" i="1"/>
  <c r="AI23" i="1"/>
  <c r="AI22" i="1"/>
  <c r="AI19" i="1"/>
  <c r="AI18" i="1"/>
  <c r="AI58" i="1" l="1"/>
  <c r="AH20" i="1"/>
  <c r="E20" i="1"/>
  <c r="E82" i="1" s="1"/>
  <c r="AI50" i="1"/>
  <c r="AI46" i="1" s="1"/>
  <c r="AI43" i="1" s="1"/>
  <c r="AI26" i="1"/>
  <c r="AH82" i="1"/>
  <c r="AI73" i="1"/>
  <c r="AI64" i="1" s="1"/>
  <c r="AI21" i="1"/>
  <c r="AI17" i="1"/>
  <c r="D21" i="1"/>
  <c r="C21" i="1"/>
  <c r="AO21" i="1" s="1"/>
  <c r="C26" i="1"/>
  <c r="AO26" i="1" s="1"/>
  <c r="AI20" i="1" l="1"/>
  <c r="AI82" i="1" s="1"/>
  <c r="C20" i="1"/>
  <c r="AO20" i="1" s="1"/>
  <c r="D50" i="1" l="1"/>
  <c r="D46" i="1" s="1"/>
  <c r="D43" i="1" s="1"/>
  <c r="C50" i="1"/>
  <c r="AO50" i="1" s="1"/>
  <c r="D73" i="1"/>
  <c r="D64" i="1" s="1"/>
  <c r="AO73" i="1"/>
  <c r="D58" i="1"/>
  <c r="C58" i="1"/>
  <c r="AO58" i="1" s="1"/>
  <c r="D26" i="1"/>
  <c r="D20" i="1" s="1"/>
  <c r="D17" i="1"/>
  <c r="C17" i="1"/>
  <c r="AO17" i="1" s="1"/>
  <c r="D9" i="1"/>
  <c r="C46" i="1" l="1"/>
  <c r="AO46" i="1" s="1"/>
  <c r="C64" i="1"/>
  <c r="AO64" i="1" s="1"/>
  <c r="D82" i="1"/>
  <c r="C43" i="1" l="1"/>
  <c r="AO43" i="1" s="1"/>
  <c r="C82" i="1" l="1"/>
  <c r="AO82" i="1" s="1"/>
</calcChain>
</file>

<file path=xl/sharedStrings.xml><?xml version="1.0" encoding="utf-8"?>
<sst xmlns="http://schemas.openxmlformats.org/spreadsheetml/2006/main" count="421" uniqueCount="143">
  <si>
    <t>Оперативна інформація</t>
  </si>
  <si>
    <t>тис.грн.</t>
  </si>
  <si>
    <t>Заплановані показники</t>
  </si>
  <si>
    <t>Проведено   казначейством  платежів  у 2013 році</t>
  </si>
  <si>
    <t>Всього</t>
  </si>
  <si>
    <t xml:space="preserve"> в тому числі на:</t>
  </si>
  <si>
    <t xml:space="preserve"> у тому числі  на:</t>
  </si>
  <si>
    <t>Всього у 2013 році</t>
  </si>
  <si>
    <t>в тому числі</t>
  </si>
  <si>
    <t>Разом</t>
  </si>
  <si>
    <t>за платежами 2012 р.</t>
  </si>
  <si>
    <r>
      <t xml:space="preserve"> </t>
    </r>
    <r>
      <rPr>
        <b/>
        <u/>
        <sz val="11"/>
        <color indexed="8"/>
        <rFont val="Times New Roman"/>
        <family val="1"/>
        <charset val="204"/>
      </rPr>
      <t>І</t>
    </r>
    <r>
      <rPr>
        <b/>
        <i/>
        <u/>
        <sz val="11"/>
        <color indexed="8"/>
        <rFont val="Times New Roman"/>
        <family val="1"/>
        <charset val="204"/>
      </rPr>
      <t>.   Доходи</t>
    </r>
  </si>
  <si>
    <t>Залишок коштів</t>
  </si>
  <si>
    <t>Х</t>
  </si>
  <si>
    <t>Поточні надходження -всього, в т.ч.</t>
  </si>
  <si>
    <t xml:space="preserve"> - єдиний соціальний внесок</t>
  </si>
  <si>
    <t>Відсотки від розміщення ТВК</t>
  </si>
  <si>
    <t>Всього доходів разом із залишком</t>
  </si>
  <si>
    <r>
      <t xml:space="preserve"> </t>
    </r>
    <r>
      <rPr>
        <b/>
        <i/>
        <u/>
        <sz val="11"/>
        <color indexed="8"/>
        <rFont val="Times New Roman"/>
        <family val="1"/>
        <charset val="204"/>
      </rPr>
      <t>ІІ.  Видатки</t>
    </r>
  </si>
  <si>
    <t>Страхові виплати застрахованим особам  - всього, вт.ч.</t>
  </si>
  <si>
    <t>х</t>
  </si>
  <si>
    <t xml:space="preserve">  - одноразові виплати</t>
  </si>
  <si>
    <t xml:space="preserve">- щомісячна виплата </t>
  </si>
  <si>
    <r>
      <t>Інші виплати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 xml:space="preserve">застрахованим особам  - всього в т.ч. </t>
    </r>
  </si>
  <si>
    <t>2.1</t>
  </si>
  <si>
    <t>Виплати застрахованим всього, в т.ч.</t>
  </si>
  <si>
    <t>Тимчасову втрату працездатності</t>
  </si>
  <si>
    <t>Тимчасове переведення на легшу роботу</t>
  </si>
  <si>
    <t>Витрати на поховання потерпілого</t>
  </si>
  <si>
    <t>Витрати на відшкодування грошової суми за моральну (немайнову) шкоду за зобов'язаннями минулих років, що виникли до 23.02.2007 року</t>
  </si>
  <si>
    <t>2.2</t>
  </si>
  <si>
    <t>Медична, професійна та соціальна реабілітація потерпілих на виробництві</t>
  </si>
  <si>
    <t>Витрати на лікування потерпілих на виробництві та їх медичну реабілітацію</t>
  </si>
  <si>
    <t xml:space="preserve">Витрати на санаторно-курортне лікування </t>
  </si>
  <si>
    <t xml:space="preserve">Витрати на технічні та інші засоби реабілітації </t>
  </si>
  <si>
    <t>Витрати на зубопротезування</t>
  </si>
  <si>
    <t>Витрати на очне протезування,придбання окулярів і контактних лінз</t>
  </si>
  <si>
    <t>Витрати на слухові апарати</t>
  </si>
  <si>
    <t xml:space="preserve">Витрати на лікарські засоби та вироби медичного призначення </t>
  </si>
  <si>
    <t>Витрати на додаткове харчування</t>
  </si>
  <si>
    <t>Витрати на професійне навчання або перекваліфікацію за індивідуальними програмами  реабілітації потерпілих та інші витрати</t>
  </si>
  <si>
    <t>Витрати на спеціальний медичний догляд</t>
  </si>
  <si>
    <t>Витрати на постійний сторонній догляд</t>
  </si>
  <si>
    <t>Витрати на побутове обслуговування</t>
  </si>
  <si>
    <t>Витрати на придбання спеціальних засобів пересування (коляски)</t>
  </si>
  <si>
    <t>Витрати на соціальну реабілітацію потерпілих, в тому числі разова грошова допомога непрацюючим інвалідам</t>
  </si>
  <si>
    <t>Компенсація витрат на бензин, ремонт і технічне обслуговування автомобілів та на транспортне обслуговування інвалідів</t>
  </si>
  <si>
    <t>Витрати пов"язані з забезпеченням інвалідів автомобілями</t>
  </si>
  <si>
    <t>Адміністративно - госп. видатки</t>
  </si>
  <si>
    <t>3.1</t>
  </si>
  <si>
    <t xml:space="preserve">Оплата праці      </t>
  </si>
  <si>
    <t>3.2</t>
  </si>
  <si>
    <t>Нарахування на заробітну плату</t>
  </si>
  <si>
    <t>3.3</t>
  </si>
  <si>
    <t>Використання товарів і послуг</t>
  </si>
  <si>
    <t>Предмети, матеріали,обладнання та інвентар</t>
  </si>
  <si>
    <t>Оплата послуг (крім комунальних)</t>
  </si>
  <si>
    <t>Видатки на відрядження</t>
  </si>
  <si>
    <t>Оплата комунальних послуг та енергоносіїв</t>
  </si>
  <si>
    <t>Оплата теплопостачання</t>
  </si>
  <si>
    <t xml:space="preserve">Оплата водопостачання і водовідведення </t>
  </si>
  <si>
    <t>Оплата електроенергії</t>
  </si>
  <si>
    <t>Оплата природного газу</t>
  </si>
  <si>
    <t>Оплата інших енергоносіїв</t>
  </si>
  <si>
    <t>Окремі заходи по реалізації державних (регіональних) програм, не віднесені до заходів розвитку</t>
  </si>
  <si>
    <t>3.4</t>
  </si>
  <si>
    <t>Інші поточні видатки</t>
  </si>
  <si>
    <t>Капітальні видатки</t>
  </si>
  <si>
    <t>Придбання обладнання і предметів довгострокового користування</t>
  </si>
  <si>
    <t>Капітальне будівництво (придбання)</t>
  </si>
  <si>
    <t>Капітальний ремонт</t>
  </si>
  <si>
    <t>Реконструкція та реставрація</t>
  </si>
  <si>
    <t>Придбання землі та нематеріальних активів</t>
  </si>
  <si>
    <t>Інші видатки на статутні напрями</t>
  </si>
  <si>
    <t>5.1</t>
  </si>
  <si>
    <t xml:space="preserve">Відшкодування Пенсійному Фонду </t>
  </si>
  <si>
    <t>5.2</t>
  </si>
  <si>
    <t xml:space="preserve">Видатки по перерахуванню коштів (обслуговування банківськими установами та УДППЗ "Укрпошта") </t>
  </si>
  <si>
    <t>5.3</t>
  </si>
  <si>
    <t>Судові витрати та виконавчий збір</t>
  </si>
  <si>
    <t>5.4</t>
  </si>
  <si>
    <t>Витрати  на забезпечення діяльності по обслуговуванню потерпілих та інвалідів</t>
  </si>
  <si>
    <t>5.5</t>
  </si>
  <si>
    <t>Витрати для створення лікувально-профілактичної бази Фонду</t>
  </si>
  <si>
    <t>5.6</t>
  </si>
  <si>
    <t>Витрати на заходи по координації роботи із страхувальниками</t>
  </si>
  <si>
    <t>5.7</t>
  </si>
  <si>
    <t>Витрати на виконання інших робіт, пов’язаних з координацією страхової діяльності</t>
  </si>
  <si>
    <t>5.8</t>
  </si>
  <si>
    <t xml:space="preserve">Забезпечення роботи правління та наглядової ради Фонду </t>
  </si>
  <si>
    <t>5.9</t>
  </si>
  <si>
    <t>Профілактика нещасних випадків на виробництві та професійних захворювань</t>
  </si>
  <si>
    <t>Фінансування заходів, передбачених Загальнодержавною (Національною) програмою поліпшення стану безпеки, умов  праці і виробничого середовища</t>
  </si>
  <si>
    <t>Фінансування заходів, передбачених регіональними  програмами поліпшення стану безпеки, умов  праці і виробничого середовища</t>
  </si>
  <si>
    <t>Фінансування заходів, передбачених галузевими  програмами поліпшення стану безпеки, умов  праці і виробничого середовища</t>
  </si>
  <si>
    <t>Фінансування видатків на навчання та підвищення рівня знань спеціалістів, які вирішують питання охорони праці</t>
  </si>
  <si>
    <t>Фінансування видатків на організацію розроблення та виробництва засобів індивідуального захисту працівників</t>
  </si>
  <si>
    <t>Фінансування заходів з пропаганди безпечних та нешкідливих умов праці</t>
  </si>
  <si>
    <t>Фінансування інших профілактичних заходів відповідно до завдань страхування від нещасних випадків</t>
  </si>
  <si>
    <t>Нерозподілені кошти (резерв)</t>
  </si>
  <si>
    <t xml:space="preserve">         Всього видатків </t>
  </si>
  <si>
    <t>Головний бухгалтер</t>
  </si>
  <si>
    <t>за платежами вересня</t>
  </si>
  <si>
    <t>Разом січень-жовтень</t>
  </si>
  <si>
    <t>у т.ч. на жовтень 2013 р. (із змінами)</t>
  </si>
  <si>
    <t>жовтень</t>
  </si>
  <si>
    <t>за платежами жовтня</t>
  </si>
  <si>
    <t xml:space="preserve"> за днями жовтня</t>
  </si>
  <si>
    <t xml:space="preserve">за платежами вересня </t>
  </si>
  <si>
    <t>01.01.13-01.10.13</t>
  </si>
  <si>
    <t>листопад</t>
  </si>
  <si>
    <t>грудень</t>
  </si>
  <si>
    <t>у т.ч.:</t>
  </si>
  <si>
    <t>за платежами серпня</t>
  </si>
  <si>
    <t>А</t>
  </si>
  <si>
    <t>Б</t>
  </si>
  <si>
    <t xml:space="preserve">Разом за січень-вересень </t>
  </si>
  <si>
    <t>за січень-серпень</t>
  </si>
  <si>
    <t>вересень</t>
  </si>
  <si>
    <t>3=4+5+6+8+9</t>
  </si>
  <si>
    <t>за платежами за січень-серпень</t>
  </si>
  <si>
    <t>за вересень</t>
  </si>
  <si>
    <t>13=12+11+10</t>
  </si>
  <si>
    <r>
      <t>Разом за жовтень</t>
    </r>
    <r>
      <rPr>
        <b/>
        <sz val="18"/>
        <rFont val="Times New Roman"/>
        <family val="1"/>
        <charset val="204"/>
      </rPr>
      <t xml:space="preserve"> </t>
    </r>
    <r>
      <rPr>
        <sz val="18"/>
        <rFont val="Times New Roman"/>
        <family val="1"/>
        <charset val="204"/>
      </rPr>
      <t>(к.14+к.31)</t>
    </r>
  </si>
  <si>
    <t>(к.13+к.32)</t>
  </si>
  <si>
    <t>(4-11-14-17-20-23-26-29)</t>
  </si>
  <si>
    <t>(5-12-15-18-21-24-27-30)</t>
  </si>
  <si>
    <t>(6-16-19-22-25-28-31)</t>
  </si>
  <si>
    <t xml:space="preserve">В.о.начальника  управління               </t>
  </si>
  <si>
    <t>Матковський А.Б.</t>
  </si>
  <si>
    <t>Литвин О.З.</t>
  </si>
  <si>
    <t>за 1-11 жовтня</t>
  </si>
  <si>
    <t>за 14 жовтня</t>
  </si>
  <si>
    <t>за 15 жовтня</t>
  </si>
  <si>
    <t>за 16 жовтня</t>
  </si>
  <si>
    <t>за 17 жовтня</t>
  </si>
  <si>
    <t>за 18 жовтня</t>
  </si>
  <si>
    <r>
      <t xml:space="preserve">щодо  фінансування  платежів  управління виконавчої  дирекції Фонду  в Тернопільській області  органами Державної казначейської служби за 2013 рік станом  </t>
    </r>
    <r>
      <rPr>
        <b/>
        <u/>
        <sz val="20"/>
        <color indexed="8"/>
        <rFont val="Times New Roman"/>
        <family val="1"/>
        <charset val="204"/>
      </rPr>
      <t>на 17.10.2013 за 16.10.2013 р.</t>
    </r>
  </si>
  <si>
    <t>Залишок не проведених  казначейством платежів станом  на 17.10.2013</t>
  </si>
  <si>
    <t>Залишок коштів станом на 17.10.2013</t>
  </si>
  <si>
    <t>Відхилення плану січня-жовтня станом  на 17.10.2013</t>
  </si>
  <si>
    <t>Подано платежів  станом  на  17.10.2013</t>
  </si>
  <si>
    <t>за 16.10.13 (за попередній день)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</si>
</sst>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u/>
      <sz val="20"/>
      <color indexed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7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b/>
      <i/>
      <u/>
      <sz val="11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20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ill="1"/>
    <xf numFmtId="0" fontId="0" fillId="0" borderId="0" xfId="0" applyFont="1" applyFill="1"/>
    <xf numFmtId="0" fontId="8" fillId="0" borderId="15" xfId="0" applyFont="1" applyFill="1" applyBorder="1" applyAlignment="1">
      <alignment horizontal="center" vertical="center" shrinkToFit="1"/>
    </xf>
    <xf numFmtId="0" fontId="12" fillId="0" borderId="17" xfId="0" applyFont="1" applyFill="1" applyBorder="1" applyAlignment="1">
      <alignment horizontal="center" vertical="center" shrinkToFit="1"/>
    </xf>
    <xf numFmtId="0" fontId="12" fillId="0" borderId="13" xfId="0" applyFont="1" applyFill="1" applyBorder="1" applyAlignment="1">
      <alignment horizontal="center" vertical="center" wrapText="1"/>
    </xf>
    <xf numFmtId="164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>
      <alignment horizontal="center" vertical="center" shrinkToFit="1"/>
    </xf>
    <xf numFmtId="0" fontId="13" fillId="0" borderId="16" xfId="0" applyFont="1" applyFill="1" applyBorder="1" applyAlignment="1">
      <alignment vertical="center" wrapText="1"/>
    </xf>
    <xf numFmtId="164" fontId="13" fillId="0" borderId="19" xfId="0" applyNumberFormat="1" applyFont="1" applyFill="1" applyBorder="1" applyAlignment="1" applyProtection="1">
      <alignment horizontal="center" vertical="center" wrapText="1"/>
    </xf>
    <xf numFmtId="0" fontId="12" fillId="0" borderId="15" xfId="0" applyFont="1" applyFill="1" applyBorder="1" applyAlignment="1">
      <alignment horizontal="center" vertical="center" shrinkToFit="1"/>
    </xf>
    <xf numFmtId="0" fontId="14" fillId="0" borderId="20" xfId="0" applyFont="1" applyFill="1" applyBorder="1" applyAlignment="1">
      <alignment vertical="center" wrapText="1"/>
    </xf>
    <xf numFmtId="164" fontId="14" fillId="0" borderId="21" xfId="0" applyNumberFormat="1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>
      <alignment vertical="center" wrapText="1"/>
    </xf>
    <xf numFmtId="164" fontId="12" fillId="0" borderId="21" xfId="0" applyNumberFormat="1" applyFont="1" applyFill="1" applyBorder="1" applyAlignment="1" applyProtection="1">
      <alignment horizontal="center" vertical="center" wrapText="1"/>
    </xf>
    <xf numFmtId="164" fontId="22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3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2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23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11" xfId="0" applyNumberFormat="1" applyFont="1" applyFill="1" applyBorder="1" applyAlignment="1" applyProtection="1">
      <alignment horizontal="center" vertical="center" shrinkToFit="1"/>
      <protection locked="0"/>
    </xf>
    <xf numFmtId="164" fontId="23" fillId="0" borderId="11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25" fillId="0" borderId="11" xfId="0" applyNumberFormat="1" applyFont="1" applyFill="1" applyBorder="1" applyAlignment="1" applyProtection="1">
      <alignment horizontal="center" vertical="center" shrinkToFit="1"/>
      <protection locked="0"/>
    </xf>
    <xf numFmtId="164" fontId="22" fillId="0" borderId="11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0" xfId="0" applyFont="1" applyFill="1" applyAlignment="1" applyProtection="1">
      <protection locked="0"/>
    </xf>
    <xf numFmtId="0" fontId="20" fillId="0" borderId="0" xfId="0" applyFont="1" applyFill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9" fillId="0" borderId="20" xfId="0" applyFont="1" applyFill="1" applyBorder="1" applyAlignment="1">
      <alignment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1" fillId="0" borderId="0" xfId="0" applyFont="1" applyFill="1"/>
    <xf numFmtId="164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164" fontId="22" fillId="0" borderId="27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6" xfId="0" applyNumberFormat="1" applyFont="1" applyFill="1" applyBorder="1" applyAlignment="1" applyProtection="1">
      <alignment horizontal="center" vertical="center" shrinkToFit="1"/>
    </xf>
    <xf numFmtId="164" fontId="2" fillId="0" borderId="28" xfId="0" applyNumberFormat="1" applyFont="1" applyFill="1" applyBorder="1" applyAlignment="1" applyProtection="1">
      <alignment horizontal="center" vertical="center" shrinkToFit="1"/>
    </xf>
    <xf numFmtId="164" fontId="2" fillId="0" borderId="23" xfId="0" applyNumberFormat="1" applyFont="1" applyFill="1" applyBorder="1" applyAlignment="1" applyProtection="1">
      <alignment horizontal="center" vertical="center" shrinkToFit="1"/>
    </xf>
    <xf numFmtId="164" fontId="2" fillId="0" borderId="16" xfId="0" applyNumberFormat="1" applyFont="1" applyFill="1" applyBorder="1" applyAlignment="1" applyProtection="1">
      <alignment horizontal="center" vertical="center" shrinkToFit="1"/>
    </xf>
    <xf numFmtId="164" fontId="2" fillId="0" borderId="14" xfId="0" applyNumberFormat="1" applyFont="1" applyFill="1" applyBorder="1" applyAlignment="1" applyProtection="1">
      <alignment horizontal="center" vertical="center" shrinkToFit="1"/>
    </xf>
    <xf numFmtId="164" fontId="2" fillId="0" borderId="25" xfId="0" applyNumberFormat="1" applyFont="1" applyFill="1" applyBorder="1" applyAlignment="1" applyProtection="1">
      <alignment horizontal="center" vertical="center" shrinkToFit="1"/>
    </xf>
    <xf numFmtId="164" fontId="2" fillId="0" borderId="11" xfId="0" applyNumberFormat="1" applyFont="1" applyFill="1" applyBorder="1" applyAlignment="1" applyProtection="1">
      <alignment horizontal="center" vertical="center" shrinkToFit="1"/>
    </xf>
    <xf numFmtId="164" fontId="2" fillId="0" borderId="7" xfId="0" applyNumberFormat="1" applyFont="1" applyFill="1" applyBorder="1" applyAlignment="1" applyProtection="1">
      <alignment horizontal="center" vertical="center" shrinkToFit="1"/>
    </xf>
    <xf numFmtId="164" fontId="2" fillId="0" borderId="22" xfId="0" applyNumberFormat="1" applyFont="1" applyFill="1" applyBorder="1" applyAlignment="1" applyProtection="1">
      <alignment horizontal="center" vertical="center" shrinkToFit="1"/>
    </xf>
    <xf numFmtId="164" fontId="2" fillId="0" borderId="20" xfId="0" applyNumberFormat="1" applyFont="1" applyFill="1" applyBorder="1" applyAlignment="1" applyProtection="1">
      <alignment horizontal="center" vertical="center" shrinkToFit="1"/>
    </xf>
    <xf numFmtId="164" fontId="24" fillId="0" borderId="22" xfId="0" applyNumberFormat="1" applyFont="1" applyFill="1" applyBorder="1" applyAlignment="1" applyProtection="1">
      <alignment horizontal="center" vertical="center" shrinkToFit="1"/>
    </xf>
    <xf numFmtId="164" fontId="23" fillId="0" borderId="11" xfId="0" applyNumberFormat="1" applyFont="1" applyFill="1" applyBorder="1" applyAlignment="1" applyProtection="1">
      <alignment horizontal="center" vertical="center" shrinkToFit="1"/>
    </xf>
    <xf numFmtId="164" fontId="9" fillId="0" borderId="14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5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>
      <alignment vertical="center" wrapText="1"/>
    </xf>
    <xf numFmtId="164" fontId="22" fillId="0" borderId="24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19" xfId="0" applyNumberFormat="1" applyFont="1" applyFill="1" applyBorder="1" applyAlignment="1" applyProtection="1">
      <alignment horizontal="center" vertical="center" shrinkToFit="1"/>
    </xf>
    <xf numFmtId="0" fontId="12" fillId="0" borderId="34" xfId="0" applyFont="1" applyFill="1" applyBorder="1" applyAlignment="1">
      <alignment horizontal="center" vertical="center" shrinkToFit="1"/>
    </xf>
    <xf numFmtId="0" fontId="12" fillId="0" borderId="35" xfId="0" applyFont="1" applyFill="1" applyBorder="1" applyAlignment="1">
      <alignment horizontal="center" vertical="center" shrinkToFit="1"/>
    </xf>
    <xf numFmtId="0" fontId="14" fillId="0" borderId="36" xfId="0" applyFont="1" applyFill="1" applyBorder="1" applyAlignment="1">
      <alignment vertical="center" wrapText="1"/>
    </xf>
    <xf numFmtId="0" fontId="14" fillId="0" borderId="37" xfId="0" applyFont="1" applyFill="1" applyBorder="1" applyAlignment="1">
      <alignment vertical="center" wrapText="1"/>
    </xf>
    <xf numFmtId="0" fontId="12" fillId="0" borderId="39" xfId="0" applyFont="1" applyFill="1" applyBorder="1" applyAlignment="1">
      <alignment horizontal="center" vertical="center" shrinkToFit="1"/>
    </xf>
    <xf numFmtId="0" fontId="15" fillId="0" borderId="36" xfId="0" applyFont="1" applyFill="1" applyBorder="1" applyAlignment="1">
      <alignment vertical="center" wrapText="1"/>
    </xf>
    <xf numFmtId="0" fontId="15" fillId="0" borderId="40" xfId="0" applyFont="1" applyFill="1" applyBorder="1" applyAlignment="1">
      <alignment horizontal="left" vertical="center" wrapText="1"/>
    </xf>
    <xf numFmtId="0" fontId="15" fillId="0" borderId="37" xfId="0" applyFont="1" applyFill="1" applyBorder="1" applyAlignment="1">
      <alignment horizontal="left" vertical="center" wrapText="1"/>
    </xf>
    <xf numFmtId="0" fontId="12" fillId="0" borderId="41" xfId="0" applyFont="1" applyFill="1" applyBorder="1" applyAlignment="1">
      <alignment horizontal="center" vertical="center" shrinkToFit="1"/>
    </xf>
    <xf numFmtId="0" fontId="18" fillId="0" borderId="36" xfId="0" applyFont="1" applyFill="1" applyBorder="1" applyAlignment="1">
      <alignment horizontal="left" vertical="center" wrapText="1"/>
    </xf>
    <xf numFmtId="0" fontId="18" fillId="0" borderId="40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 vertical="center" wrapText="1"/>
    </xf>
    <xf numFmtId="49" fontId="12" fillId="0" borderId="34" xfId="0" applyNumberFormat="1" applyFont="1" applyFill="1" applyBorder="1" applyAlignment="1">
      <alignment horizontal="center" vertical="center" shrinkToFit="1"/>
    </xf>
    <xf numFmtId="49" fontId="12" fillId="0" borderId="39" xfId="0" applyNumberFormat="1" applyFont="1" applyFill="1" applyBorder="1" applyAlignment="1">
      <alignment horizontal="center" vertical="center" shrinkToFit="1"/>
    </xf>
    <xf numFmtId="49" fontId="12" fillId="0" borderId="41" xfId="0" applyNumberFormat="1" applyFont="1" applyFill="1" applyBorder="1" applyAlignment="1">
      <alignment horizontal="center" vertical="center" shrinkToFit="1"/>
    </xf>
    <xf numFmtId="0" fontId="15" fillId="0" borderId="36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left" vertical="center" wrapText="1"/>
    </xf>
    <xf numFmtId="0" fontId="15" fillId="0" borderId="42" xfId="0" applyFont="1" applyFill="1" applyBorder="1" applyAlignment="1">
      <alignment horizontal="left" vertical="center" wrapText="1"/>
    </xf>
    <xf numFmtId="0" fontId="12" fillId="0" borderId="37" xfId="0" applyFont="1" applyFill="1" applyBorder="1" applyAlignment="1">
      <alignment horizontal="center" vertical="center" wrapText="1"/>
    </xf>
    <xf numFmtId="49" fontId="15" fillId="0" borderId="34" xfId="0" applyNumberFormat="1" applyFont="1" applyFill="1" applyBorder="1" applyAlignment="1">
      <alignment horizontal="center" vertical="center" shrinkToFit="1"/>
    </xf>
    <xf numFmtId="49" fontId="15" fillId="0" borderId="39" xfId="0" applyNumberFormat="1" applyFont="1" applyFill="1" applyBorder="1" applyAlignment="1">
      <alignment horizontal="center" vertical="center" shrinkToFit="1"/>
    </xf>
    <xf numFmtId="0" fontId="27" fillId="0" borderId="40" xfId="0" applyFont="1" applyFill="1" applyBorder="1" applyAlignment="1">
      <alignment horizontal="left" vertical="center" wrapText="1"/>
    </xf>
    <xf numFmtId="0" fontId="28" fillId="0" borderId="40" xfId="0" applyFont="1" applyFill="1" applyBorder="1" applyAlignment="1">
      <alignment horizontal="left" vertical="center" wrapText="1"/>
    </xf>
    <xf numFmtId="0" fontId="28" fillId="0" borderId="42" xfId="0" applyFont="1" applyFill="1" applyBorder="1" applyAlignment="1">
      <alignment horizontal="left" vertical="center" wrapText="1"/>
    </xf>
    <xf numFmtId="0" fontId="31" fillId="0" borderId="23" xfId="0" applyFont="1" applyFill="1" applyBorder="1" applyAlignment="1">
      <alignment horizontal="center" vertical="center" shrinkToFit="1"/>
    </xf>
    <xf numFmtId="0" fontId="21" fillId="0" borderId="27" xfId="0" applyFont="1" applyFill="1" applyBorder="1" applyAlignment="1" applyProtection="1">
      <alignment horizontal="center" vertical="center" wrapText="1"/>
      <protection locked="0"/>
    </xf>
    <xf numFmtId="0" fontId="21" fillId="0" borderId="26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164" fontId="12" fillId="0" borderId="47" xfId="0" applyNumberFormat="1" applyFont="1" applyFill="1" applyBorder="1" applyAlignment="1" applyProtection="1">
      <alignment horizontal="center" vertical="center" wrapText="1"/>
    </xf>
    <xf numFmtId="164" fontId="13" fillId="0" borderId="48" xfId="0" applyNumberFormat="1" applyFont="1" applyFill="1" applyBorder="1" applyAlignment="1" applyProtection="1">
      <alignment horizontal="center" vertical="center" wrapText="1"/>
    </xf>
    <xf numFmtId="164" fontId="14" fillId="0" borderId="49" xfId="0" applyNumberFormat="1" applyFont="1" applyFill="1" applyBorder="1" applyAlignment="1" applyProtection="1">
      <alignment horizontal="center" vertical="center" wrapText="1"/>
    </xf>
    <xf numFmtId="164" fontId="12" fillId="0" borderId="49" xfId="0" applyNumberFormat="1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Fill="1"/>
    <xf numFmtId="0" fontId="12" fillId="0" borderId="33" xfId="0" applyFont="1" applyFill="1" applyBorder="1" applyAlignment="1" applyProtection="1">
      <alignment horizontal="center" vertical="center" shrinkToFit="1"/>
    </xf>
    <xf numFmtId="0" fontId="12" fillId="0" borderId="31" xfId="0" applyFont="1" applyFill="1" applyBorder="1" applyAlignment="1" applyProtection="1">
      <alignment vertical="center" wrapText="1"/>
    </xf>
    <xf numFmtId="2" fontId="7" fillId="0" borderId="0" xfId="0" applyNumberFormat="1" applyFont="1" applyFill="1" applyProtection="1"/>
    <xf numFmtId="0" fontId="0" fillId="0" borderId="0" xfId="0" applyFill="1" applyProtection="1"/>
    <xf numFmtId="0" fontId="12" fillId="0" borderId="38" xfId="0" applyFont="1" applyFill="1" applyBorder="1" applyAlignment="1" applyProtection="1">
      <alignment horizontal="center" vertical="center" shrinkToFit="1"/>
    </xf>
    <xf numFmtId="0" fontId="12" fillId="0" borderId="37" xfId="0" applyFont="1" applyFill="1" applyBorder="1" applyAlignment="1" applyProtection="1">
      <alignment vertical="center" wrapText="1"/>
    </xf>
    <xf numFmtId="0" fontId="7" fillId="0" borderId="0" xfId="0" applyFont="1" applyFill="1" applyProtection="1"/>
    <xf numFmtId="49" fontId="12" fillId="0" borderId="33" xfId="0" applyNumberFormat="1" applyFont="1" applyFill="1" applyBorder="1" applyAlignment="1" applyProtection="1">
      <alignment horizontal="center" vertical="center" shrinkToFit="1"/>
    </xf>
    <xf numFmtId="49" fontId="12" fillId="0" borderId="35" xfId="0" applyNumberFormat="1" applyFont="1" applyFill="1" applyBorder="1" applyAlignment="1" applyProtection="1">
      <alignment horizontal="center" vertical="center" shrinkToFit="1"/>
    </xf>
    <xf numFmtId="0" fontId="12" fillId="0" borderId="37" xfId="0" applyFont="1" applyFill="1" applyBorder="1" applyAlignment="1" applyProtection="1">
      <alignment horizontal="left" vertical="center" wrapText="1"/>
    </xf>
    <xf numFmtId="0" fontId="12" fillId="0" borderId="35" xfId="0" applyFont="1" applyFill="1" applyBorder="1" applyAlignment="1" applyProtection="1">
      <alignment horizontal="center" vertical="center" shrinkToFit="1"/>
    </xf>
    <xf numFmtId="0" fontId="13" fillId="0" borderId="37" xfId="0" applyFont="1" applyFill="1" applyBorder="1" applyAlignment="1" applyProtection="1">
      <alignment horizontal="left" vertical="center" wrapText="1"/>
    </xf>
    <xf numFmtId="49" fontId="12" fillId="0" borderId="39" xfId="0" applyNumberFormat="1" applyFont="1" applyFill="1" applyBorder="1" applyAlignment="1" applyProtection="1">
      <alignment horizontal="center" vertical="center" shrinkToFit="1"/>
    </xf>
    <xf numFmtId="0" fontId="15" fillId="0" borderId="40" xfId="0" applyFont="1" applyFill="1" applyBorder="1" applyAlignment="1" applyProtection="1">
      <alignment horizontal="left" vertical="center" wrapText="1"/>
    </xf>
    <xf numFmtId="0" fontId="12" fillId="0" borderId="39" xfId="0" applyFont="1" applyFill="1" applyBorder="1" applyAlignment="1" applyProtection="1">
      <alignment horizontal="center" vertical="center" shrinkToFit="1"/>
    </xf>
    <xf numFmtId="0" fontId="12" fillId="0" borderId="37" xfId="0" applyFont="1" applyFill="1" applyBorder="1" applyAlignment="1" applyProtection="1">
      <alignment horizontal="center" vertical="center" wrapText="1"/>
    </xf>
    <xf numFmtId="0" fontId="12" fillId="0" borderId="40" xfId="0" applyFont="1" applyFill="1" applyBorder="1" applyAlignment="1" applyProtection="1">
      <alignment horizontal="left" vertical="center" wrapText="1"/>
    </xf>
    <xf numFmtId="0" fontId="8" fillId="0" borderId="35" xfId="0" applyFont="1" applyFill="1" applyBorder="1" applyAlignment="1" applyProtection="1">
      <alignment horizontal="center" vertical="center" shrinkToFit="1"/>
    </xf>
    <xf numFmtId="0" fontId="13" fillId="0" borderId="37" xfId="0" applyFont="1" applyFill="1" applyBorder="1" applyAlignment="1" applyProtection="1">
      <alignment horizontal="center" vertical="center" wrapText="1"/>
    </xf>
    <xf numFmtId="0" fontId="32" fillId="0" borderId="0" xfId="0" applyFont="1" applyFill="1" applyProtection="1"/>
    <xf numFmtId="0" fontId="19" fillId="0" borderId="0" xfId="0" applyFont="1" applyFill="1" applyProtection="1"/>
    <xf numFmtId="0" fontId="15" fillId="0" borderId="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43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46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12" fillId="0" borderId="30" xfId="0" applyFont="1" applyFill="1" applyBorder="1" applyAlignment="1" applyProtection="1">
      <alignment horizontal="center" vertical="center" textRotation="90" wrapText="1"/>
      <protection locked="0"/>
    </xf>
    <xf numFmtId="0" fontId="12" fillId="0" borderId="11" xfId="0" applyFont="1" applyFill="1" applyBorder="1" applyAlignment="1" applyProtection="1">
      <alignment horizontal="center" vertical="center" textRotation="90" wrapText="1"/>
      <protection locked="0"/>
    </xf>
    <xf numFmtId="0" fontId="12" fillId="0" borderId="26" xfId="0" applyFont="1" applyFill="1" applyBorder="1" applyAlignment="1" applyProtection="1">
      <alignment horizontal="center" vertical="center" textRotation="90" wrapText="1"/>
      <protection locked="0"/>
    </xf>
    <xf numFmtId="0" fontId="5" fillId="0" borderId="45" xfId="0" applyFont="1" applyFill="1" applyBorder="1" applyAlignment="1" applyProtection="1">
      <alignment horizontal="center" vertical="center" wrapText="1"/>
      <protection locked="0"/>
    </xf>
    <xf numFmtId="0" fontId="26" fillId="0" borderId="4" xfId="0" applyFont="1" applyFill="1" applyBorder="1" applyAlignment="1" applyProtection="1">
      <alignment horizontal="center" vertical="center" wrapText="1"/>
      <protection locked="0"/>
    </xf>
    <xf numFmtId="0" fontId="26" fillId="0" borderId="29" xfId="0" applyFont="1" applyFill="1" applyBorder="1" applyAlignment="1" applyProtection="1">
      <alignment horizontal="center" vertical="center" wrapText="1"/>
      <protection locked="0"/>
    </xf>
    <xf numFmtId="0" fontId="26" fillId="0" borderId="32" xfId="0" applyFont="1" applyFill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locked="0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5" fillId="0" borderId="28" xfId="0" applyFont="1" applyFill="1" applyBorder="1" applyAlignment="1" applyProtection="1">
      <alignment horizontal="center" vertical="center" textRotation="90" wrapText="1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7"/>
  <sheetViews>
    <sheetView showZeros="0" tabSelected="1" topLeftCell="A71" zoomScale="50" zoomScaleNormal="50" zoomScaleSheetLayoutView="40" workbookViewId="0">
      <selection activeCell="C17" sqref="C17:AO83"/>
    </sheetView>
  </sheetViews>
  <sheetFormatPr defaultColWidth="9.109375" defaultRowHeight="23.4" x14ac:dyDescent="0.45"/>
  <cols>
    <col min="1" max="1" width="5.5546875" style="1" customWidth="1"/>
    <col min="2" max="2" width="30.6640625" style="1" customWidth="1"/>
    <col min="3" max="3" width="18.6640625" style="1" customWidth="1"/>
    <col min="4" max="4" width="19.5546875" style="1" customWidth="1"/>
    <col min="5" max="5" width="21.88671875" style="1" customWidth="1"/>
    <col min="6" max="6" width="17.109375" style="1" customWidth="1"/>
    <col min="7" max="7" width="14" style="1" customWidth="1"/>
    <col min="8" max="8" width="15.6640625" style="1" customWidth="1"/>
    <col min="9" max="9" width="17.109375" style="1" customWidth="1"/>
    <col min="10" max="11" width="15.6640625" style="1" customWidth="1"/>
    <col min="12" max="13" width="18.33203125" style="1" customWidth="1"/>
    <col min="14" max="14" width="18.109375" style="1" customWidth="1"/>
    <col min="15" max="16" width="17.5546875" style="1" customWidth="1"/>
    <col min="17" max="33" width="14.6640625" style="1" customWidth="1"/>
    <col min="34" max="34" width="15.88671875" style="1" customWidth="1"/>
    <col min="35" max="38" width="14.44140625" style="1" customWidth="1"/>
    <col min="39" max="39" width="15.44140625" style="1" customWidth="1"/>
    <col min="40" max="40" width="12.44140625" style="1" customWidth="1"/>
    <col min="41" max="41" width="16.88671875" style="1" customWidth="1"/>
    <col min="42" max="42" width="9.109375" style="55"/>
    <col min="43" max="43" width="15.5546875" style="55" customWidth="1"/>
    <col min="44" max="46" width="9.109375" style="29"/>
    <col min="47" max="16384" width="9.109375" style="1"/>
  </cols>
  <sheetData>
    <row r="1" spans="1:46" ht="22.5" customHeight="1" x14ac:dyDescent="0.4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</row>
    <row r="2" spans="1:46" ht="36" customHeight="1" x14ac:dyDescent="0.45">
      <c r="A2" s="128" t="s">
        <v>137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</row>
    <row r="3" spans="1:46" ht="24" thickBot="1" x14ac:dyDescent="0.5">
      <c r="AO3" s="95" t="s">
        <v>1</v>
      </c>
    </row>
    <row r="4" spans="1:46" ht="41.25" customHeight="1" thickBot="1" x14ac:dyDescent="0.5">
      <c r="A4" s="129"/>
      <c r="B4" s="132"/>
      <c r="C4" s="140" t="s">
        <v>2</v>
      </c>
      <c r="D4" s="141"/>
      <c r="E4" s="142" t="s">
        <v>141</v>
      </c>
      <c r="F4" s="143"/>
      <c r="G4" s="143"/>
      <c r="H4" s="143"/>
      <c r="I4" s="143"/>
      <c r="J4" s="143"/>
      <c r="K4" s="143"/>
      <c r="L4" s="122" t="s">
        <v>3</v>
      </c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 t="s">
        <v>138</v>
      </c>
      <c r="AK4" s="135"/>
      <c r="AL4" s="135"/>
      <c r="AM4" s="135"/>
      <c r="AN4" s="136" t="s">
        <v>139</v>
      </c>
      <c r="AO4" s="144" t="s">
        <v>140</v>
      </c>
    </row>
    <row r="5" spans="1:46" ht="40.5" customHeight="1" x14ac:dyDescent="0.45">
      <c r="A5" s="130"/>
      <c r="B5" s="133"/>
      <c r="C5" s="120" t="s">
        <v>103</v>
      </c>
      <c r="D5" s="120" t="s">
        <v>104</v>
      </c>
      <c r="E5" s="122" t="s">
        <v>4</v>
      </c>
      <c r="F5" s="56"/>
      <c r="G5" s="135" t="s">
        <v>5</v>
      </c>
      <c r="H5" s="135"/>
      <c r="I5" s="135"/>
      <c r="J5" s="135"/>
      <c r="K5" s="139"/>
      <c r="L5" s="123" t="s">
        <v>6</v>
      </c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 t="s">
        <v>7</v>
      </c>
      <c r="AJ5" s="118"/>
      <c r="AK5" s="118"/>
      <c r="AL5" s="118"/>
      <c r="AM5" s="118"/>
      <c r="AN5" s="137"/>
      <c r="AO5" s="145"/>
    </row>
    <row r="6" spans="1:46" ht="24.75" customHeight="1" x14ac:dyDescent="0.45">
      <c r="A6" s="130"/>
      <c r="B6" s="133"/>
      <c r="C6" s="121"/>
      <c r="D6" s="121"/>
      <c r="E6" s="123"/>
      <c r="F6" s="118" t="s">
        <v>117</v>
      </c>
      <c r="G6" s="118" t="s">
        <v>118</v>
      </c>
      <c r="H6" s="118" t="s">
        <v>105</v>
      </c>
      <c r="I6" s="57" t="s">
        <v>112</v>
      </c>
      <c r="J6" s="118" t="s">
        <v>110</v>
      </c>
      <c r="K6" s="125" t="s">
        <v>111</v>
      </c>
      <c r="L6" s="123" t="s">
        <v>109</v>
      </c>
      <c r="M6" s="118"/>
      <c r="N6" s="118"/>
      <c r="O6" s="118"/>
      <c r="P6" s="118" t="s">
        <v>107</v>
      </c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 t="s">
        <v>8</v>
      </c>
      <c r="AK6" s="118"/>
      <c r="AL6" s="118"/>
      <c r="AM6" s="118" t="s">
        <v>9</v>
      </c>
      <c r="AN6" s="137"/>
      <c r="AO6" s="145"/>
    </row>
    <row r="7" spans="1:46" ht="100.5" customHeight="1" x14ac:dyDescent="0.45">
      <c r="A7" s="130"/>
      <c r="B7" s="133"/>
      <c r="C7" s="121"/>
      <c r="D7" s="121"/>
      <c r="E7" s="123"/>
      <c r="F7" s="118"/>
      <c r="G7" s="118"/>
      <c r="H7" s="118"/>
      <c r="I7" s="118" t="s">
        <v>142</v>
      </c>
      <c r="J7" s="118"/>
      <c r="K7" s="125"/>
      <c r="L7" s="123" t="s">
        <v>8</v>
      </c>
      <c r="M7" s="118"/>
      <c r="N7" s="118"/>
      <c r="O7" s="118" t="s">
        <v>116</v>
      </c>
      <c r="P7" s="118" t="s">
        <v>131</v>
      </c>
      <c r="Q7" s="118"/>
      <c r="R7" s="118"/>
      <c r="S7" s="118" t="s">
        <v>132</v>
      </c>
      <c r="T7" s="118"/>
      <c r="U7" s="118"/>
      <c r="V7" s="118" t="s">
        <v>133</v>
      </c>
      <c r="W7" s="118"/>
      <c r="X7" s="118"/>
      <c r="Y7" s="118" t="s">
        <v>134</v>
      </c>
      <c r="Z7" s="118"/>
      <c r="AA7" s="118"/>
      <c r="AB7" s="118" t="s">
        <v>135</v>
      </c>
      <c r="AC7" s="118"/>
      <c r="AD7" s="118"/>
      <c r="AE7" s="118" t="s">
        <v>136</v>
      </c>
      <c r="AF7" s="118"/>
      <c r="AG7" s="118"/>
      <c r="AH7" s="118" t="s">
        <v>123</v>
      </c>
      <c r="AI7" s="118"/>
      <c r="AJ7" s="93" t="s">
        <v>113</v>
      </c>
      <c r="AK7" s="93" t="s">
        <v>108</v>
      </c>
      <c r="AL7" s="93" t="s">
        <v>106</v>
      </c>
      <c r="AM7" s="118"/>
      <c r="AN7" s="137"/>
      <c r="AO7" s="145"/>
    </row>
    <row r="8" spans="1:46" ht="112.5" customHeight="1" thickBot="1" x14ac:dyDescent="0.5">
      <c r="A8" s="131"/>
      <c r="B8" s="134"/>
      <c r="C8" s="121"/>
      <c r="D8" s="121"/>
      <c r="E8" s="124"/>
      <c r="F8" s="120"/>
      <c r="G8" s="120"/>
      <c r="H8" s="120"/>
      <c r="I8" s="120"/>
      <c r="J8" s="120"/>
      <c r="K8" s="126"/>
      <c r="L8" s="86" t="s">
        <v>10</v>
      </c>
      <c r="M8" s="87" t="s">
        <v>120</v>
      </c>
      <c r="N8" s="87" t="s">
        <v>121</v>
      </c>
      <c r="O8" s="119"/>
      <c r="P8" s="87" t="s">
        <v>113</v>
      </c>
      <c r="Q8" s="87" t="s">
        <v>102</v>
      </c>
      <c r="R8" s="87" t="s">
        <v>106</v>
      </c>
      <c r="S8" s="87" t="s">
        <v>113</v>
      </c>
      <c r="T8" s="87" t="s">
        <v>102</v>
      </c>
      <c r="U8" s="87" t="s">
        <v>106</v>
      </c>
      <c r="V8" s="87" t="s">
        <v>113</v>
      </c>
      <c r="W8" s="87" t="s">
        <v>102</v>
      </c>
      <c r="X8" s="87" t="s">
        <v>106</v>
      </c>
      <c r="Y8" s="87" t="s">
        <v>113</v>
      </c>
      <c r="Z8" s="87" t="s">
        <v>102</v>
      </c>
      <c r="AA8" s="87" t="s">
        <v>106</v>
      </c>
      <c r="AB8" s="87" t="s">
        <v>113</v>
      </c>
      <c r="AC8" s="87" t="s">
        <v>102</v>
      </c>
      <c r="AD8" s="87" t="s">
        <v>106</v>
      </c>
      <c r="AE8" s="87" t="s">
        <v>113</v>
      </c>
      <c r="AF8" s="87" t="s">
        <v>102</v>
      </c>
      <c r="AG8" s="87" t="s">
        <v>106</v>
      </c>
      <c r="AH8" s="119"/>
      <c r="AI8" s="88" t="s">
        <v>124</v>
      </c>
      <c r="AJ8" s="94" t="s">
        <v>125</v>
      </c>
      <c r="AK8" s="94" t="s">
        <v>126</v>
      </c>
      <c r="AL8" s="94" t="s">
        <v>127</v>
      </c>
      <c r="AM8" s="119"/>
      <c r="AN8" s="138"/>
      <c r="AO8" s="146"/>
    </row>
    <row r="9" spans="1:46" s="34" customFormat="1" ht="24" thickBot="1" x14ac:dyDescent="0.5">
      <c r="A9" s="31" t="s">
        <v>114</v>
      </c>
      <c r="B9" s="32" t="s">
        <v>115</v>
      </c>
      <c r="C9" s="33">
        <v>1</v>
      </c>
      <c r="D9" s="33">
        <f t="shared" ref="D9" si="0">C9+1</f>
        <v>2</v>
      </c>
      <c r="E9" s="33" t="s">
        <v>119</v>
      </c>
      <c r="F9" s="33">
        <v>4</v>
      </c>
      <c r="G9" s="33">
        <v>5</v>
      </c>
      <c r="H9" s="33">
        <v>6</v>
      </c>
      <c r="I9" s="33">
        <v>7</v>
      </c>
      <c r="J9" s="33">
        <v>8</v>
      </c>
      <c r="K9" s="33">
        <v>9</v>
      </c>
      <c r="L9" s="33">
        <v>10</v>
      </c>
      <c r="M9" s="33">
        <v>11</v>
      </c>
      <c r="N9" s="33">
        <v>12</v>
      </c>
      <c r="O9" s="85" t="s">
        <v>122</v>
      </c>
      <c r="P9" s="33">
        <v>14</v>
      </c>
      <c r="Q9" s="33">
        <v>15</v>
      </c>
      <c r="R9" s="33">
        <f>Q9+1</f>
        <v>16</v>
      </c>
      <c r="S9" s="33">
        <f t="shared" ref="S9:AO9" si="1">R9+1</f>
        <v>17</v>
      </c>
      <c r="T9" s="33">
        <f t="shared" si="1"/>
        <v>18</v>
      </c>
      <c r="U9" s="33">
        <f t="shared" si="1"/>
        <v>19</v>
      </c>
      <c r="V9" s="33">
        <f t="shared" si="1"/>
        <v>20</v>
      </c>
      <c r="W9" s="33">
        <f t="shared" si="1"/>
        <v>21</v>
      </c>
      <c r="X9" s="33">
        <f t="shared" si="1"/>
        <v>22</v>
      </c>
      <c r="Y9" s="33">
        <f t="shared" si="1"/>
        <v>23</v>
      </c>
      <c r="Z9" s="33">
        <f t="shared" si="1"/>
        <v>24</v>
      </c>
      <c r="AA9" s="33">
        <f t="shared" si="1"/>
        <v>25</v>
      </c>
      <c r="AB9" s="33">
        <f t="shared" si="1"/>
        <v>26</v>
      </c>
      <c r="AC9" s="33">
        <f t="shared" si="1"/>
        <v>27</v>
      </c>
      <c r="AD9" s="33">
        <f t="shared" si="1"/>
        <v>28</v>
      </c>
      <c r="AE9" s="33">
        <f t="shared" si="1"/>
        <v>29</v>
      </c>
      <c r="AF9" s="33">
        <f t="shared" si="1"/>
        <v>30</v>
      </c>
      <c r="AG9" s="33">
        <f t="shared" si="1"/>
        <v>31</v>
      </c>
      <c r="AH9" s="33">
        <f t="shared" si="1"/>
        <v>32</v>
      </c>
      <c r="AI9" s="33">
        <f t="shared" si="1"/>
        <v>33</v>
      </c>
      <c r="AJ9" s="33">
        <f t="shared" si="1"/>
        <v>34</v>
      </c>
      <c r="AK9" s="33">
        <f t="shared" si="1"/>
        <v>35</v>
      </c>
      <c r="AL9" s="33">
        <f t="shared" si="1"/>
        <v>36</v>
      </c>
      <c r="AM9" s="33">
        <f t="shared" si="1"/>
        <v>37</v>
      </c>
      <c r="AN9" s="33">
        <f t="shared" si="1"/>
        <v>38</v>
      </c>
      <c r="AO9" s="32">
        <f t="shared" si="1"/>
        <v>39</v>
      </c>
      <c r="AP9" s="55"/>
      <c r="AQ9" s="55"/>
      <c r="AR9" s="53"/>
      <c r="AS9" s="53"/>
      <c r="AT9" s="53"/>
    </row>
    <row r="10" spans="1:46" ht="24" hidden="1" thickBot="1" x14ac:dyDescent="0.4">
      <c r="A10" s="3"/>
      <c r="B10" s="30" t="s">
        <v>11</v>
      </c>
      <c r="C10" s="50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2"/>
    </row>
    <row r="11" spans="1:46" ht="17.25" hidden="1" customHeight="1" thickBot="1" x14ac:dyDescent="0.4">
      <c r="A11" s="4">
        <v>1</v>
      </c>
      <c r="B11" s="5" t="s">
        <v>12</v>
      </c>
      <c r="C11" s="6" t="s">
        <v>13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  <c r="T11" s="6" t="s">
        <v>13</v>
      </c>
      <c r="U11" s="6" t="s">
        <v>13</v>
      </c>
      <c r="V11" s="6" t="s">
        <v>13</v>
      </c>
      <c r="W11" s="6" t="s">
        <v>13</v>
      </c>
      <c r="X11" s="6" t="s">
        <v>13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6" t="s">
        <v>13</v>
      </c>
      <c r="AE11" s="6" t="s">
        <v>13</v>
      </c>
      <c r="AF11" s="6" t="s">
        <v>13</v>
      </c>
      <c r="AG11" s="6" t="s">
        <v>13</v>
      </c>
      <c r="AH11" s="6" t="s">
        <v>13</v>
      </c>
      <c r="AI11" s="6" t="s">
        <v>13</v>
      </c>
      <c r="AJ11" s="6" t="s">
        <v>13</v>
      </c>
      <c r="AK11" s="6" t="s">
        <v>13</v>
      </c>
      <c r="AL11" s="6" t="s">
        <v>13</v>
      </c>
      <c r="AM11" s="6" t="s">
        <v>13</v>
      </c>
      <c r="AN11" s="6" t="s">
        <v>13</v>
      </c>
      <c r="AO11" s="89" t="s">
        <v>13</v>
      </c>
    </row>
    <row r="12" spans="1:46" ht="32.25" hidden="1" thickBot="1" x14ac:dyDescent="0.4">
      <c r="A12" s="7">
        <v>2</v>
      </c>
      <c r="B12" s="8" t="s">
        <v>14</v>
      </c>
      <c r="C12" s="9" t="s">
        <v>13</v>
      </c>
      <c r="D12" s="9" t="s">
        <v>13</v>
      </c>
      <c r="E12" s="9" t="s">
        <v>13</v>
      </c>
      <c r="F12" s="9" t="s">
        <v>13</v>
      </c>
      <c r="G12" s="9" t="s">
        <v>13</v>
      </c>
      <c r="H12" s="9" t="s">
        <v>13</v>
      </c>
      <c r="I12" s="9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9" t="s">
        <v>13</v>
      </c>
      <c r="R12" s="9" t="s">
        <v>13</v>
      </c>
      <c r="S12" s="9" t="s">
        <v>13</v>
      </c>
      <c r="T12" s="9" t="s">
        <v>13</v>
      </c>
      <c r="U12" s="9" t="s">
        <v>13</v>
      </c>
      <c r="V12" s="9" t="s">
        <v>13</v>
      </c>
      <c r="W12" s="9" t="s">
        <v>13</v>
      </c>
      <c r="X12" s="9" t="s">
        <v>13</v>
      </c>
      <c r="Y12" s="9" t="s">
        <v>13</v>
      </c>
      <c r="Z12" s="9" t="s">
        <v>13</v>
      </c>
      <c r="AA12" s="9" t="s">
        <v>13</v>
      </c>
      <c r="AB12" s="9" t="s">
        <v>13</v>
      </c>
      <c r="AC12" s="9" t="s">
        <v>13</v>
      </c>
      <c r="AD12" s="9" t="s">
        <v>13</v>
      </c>
      <c r="AE12" s="9" t="s">
        <v>13</v>
      </c>
      <c r="AF12" s="9" t="s">
        <v>13</v>
      </c>
      <c r="AG12" s="9" t="s">
        <v>13</v>
      </c>
      <c r="AH12" s="9" t="s">
        <v>13</v>
      </c>
      <c r="AI12" s="9" t="s">
        <v>13</v>
      </c>
      <c r="AJ12" s="9" t="s">
        <v>13</v>
      </c>
      <c r="AK12" s="9" t="s">
        <v>13</v>
      </c>
      <c r="AL12" s="9" t="s">
        <v>13</v>
      </c>
      <c r="AM12" s="9" t="s">
        <v>13</v>
      </c>
      <c r="AN12" s="9" t="s">
        <v>13</v>
      </c>
      <c r="AO12" s="90" t="s">
        <v>13</v>
      </c>
    </row>
    <row r="13" spans="1:46" ht="24" hidden="1" thickBot="1" x14ac:dyDescent="0.4">
      <c r="A13" s="10"/>
      <c r="B13" s="11" t="s">
        <v>15</v>
      </c>
      <c r="C13" s="12" t="s">
        <v>13</v>
      </c>
      <c r="D13" s="12" t="s">
        <v>13</v>
      </c>
      <c r="E13" s="12" t="s">
        <v>13</v>
      </c>
      <c r="F13" s="12" t="s">
        <v>13</v>
      </c>
      <c r="G13" s="12" t="s">
        <v>13</v>
      </c>
      <c r="H13" s="12" t="s">
        <v>13</v>
      </c>
      <c r="I13" s="12" t="s">
        <v>13</v>
      </c>
      <c r="J13" s="12" t="s">
        <v>13</v>
      </c>
      <c r="K13" s="12" t="s">
        <v>13</v>
      </c>
      <c r="L13" s="12" t="s">
        <v>13</v>
      </c>
      <c r="M13" s="12" t="s">
        <v>13</v>
      </c>
      <c r="N13" s="12" t="s">
        <v>13</v>
      </c>
      <c r="O13" s="12" t="s">
        <v>13</v>
      </c>
      <c r="P13" s="12" t="s">
        <v>13</v>
      </c>
      <c r="Q13" s="12" t="s">
        <v>13</v>
      </c>
      <c r="R13" s="12" t="s">
        <v>13</v>
      </c>
      <c r="S13" s="12" t="s">
        <v>13</v>
      </c>
      <c r="T13" s="12" t="s">
        <v>13</v>
      </c>
      <c r="U13" s="12" t="s">
        <v>13</v>
      </c>
      <c r="V13" s="12" t="s">
        <v>13</v>
      </c>
      <c r="W13" s="12" t="s">
        <v>13</v>
      </c>
      <c r="X13" s="12" t="s">
        <v>13</v>
      </c>
      <c r="Y13" s="12" t="s">
        <v>13</v>
      </c>
      <c r="Z13" s="12" t="s">
        <v>13</v>
      </c>
      <c r="AA13" s="12" t="s">
        <v>13</v>
      </c>
      <c r="AB13" s="12" t="s">
        <v>13</v>
      </c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91" t="s">
        <v>13</v>
      </c>
    </row>
    <row r="14" spans="1:46" ht="38.25" hidden="1" customHeight="1" thickBot="1" x14ac:dyDescent="0.4">
      <c r="A14" s="10">
        <v>3</v>
      </c>
      <c r="B14" s="11" t="s">
        <v>16</v>
      </c>
      <c r="C14" s="12" t="s">
        <v>13</v>
      </c>
      <c r="D14" s="12" t="s">
        <v>13</v>
      </c>
      <c r="E14" s="12" t="s">
        <v>13</v>
      </c>
      <c r="F14" s="12" t="s">
        <v>13</v>
      </c>
      <c r="G14" s="12" t="s">
        <v>13</v>
      </c>
      <c r="H14" s="12" t="s">
        <v>13</v>
      </c>
      <c r="I14" s="12" t="s">
        <v>13</v>
      </c>
      <c r="J14" s="12" t="s">
        <v>13</v>
      </c>
      <c r="K14" s="12" t="s">
        <v>13</v>
      </c>
      <c r="L14" s="12" t="s">
        <v>13</v>
      </c>
      <c r="M14" s="12" t="s">
        <v>13</v>
      </c>
      <c r="N14" s="12" t="s">
        <v>13</v>
      </c>
      <c r="O14" s="12" t="s">
        <v>13</v>
      </c>
      <c r="P14" s="12" t="s">
        <v>13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13</v>
      </c>
      <c r="V14" s="12" t="s">
        <v>13</v>
      </c>
      <c r="W14" s="12" t="s">
        <v>13</v>
      </c>
      <c r="X14" s="12" t="s">
        <v>13</v>
      </c>
      <c r="Y14" s="12" t="s">
        <v>13</v>
      </c>
      <c r="Z14" s="12" t="s">
        <v>13</v>
      </c>
      <c r="AA14" s="12" t="s">
        <v>13</v>
      </c>
      <c r="AB14" s="12" t="s">
        <v>13</v>
      </c>
      <c r="AC14" s="12" t="s">
        <v>13</v>
      </c>
      <c r="AD14" s="12" t="s">
        <v>13</v>
      </c>
      <c r="AE14" s="12" t="s">
        <v>13</v>
      </c>
      <c r="AF14" s="12" t="s">
        <v>13</v>
      </c>
      <c r="AG14" s="12" t="s">
        <v>13</v>
      </c>
      <c r="AH14" s="12" t="s">
        <v>13</v>
      </c>
      <c r="AI14" s="12" t="s">
        <v>13</v>
      </c>
      <c r="AJ14" s="12" t="s">
        <v>13</v>
      </c>
      <c r="AK14" s="12" t="s">
        <v>13</v>
      </c>
      <c r="AL14" s="12" t="s">
        <v>13</v>
      </c>
      <c r="AM14" s="12" t="s">
        <v>13</v>
      </c>
      <c r="AN14" s="12" t="s">
        <v>13</v>
      </c>
      <c r="AO14" s="91" t="s">
        <v>13</v>
      </c>
    </row>
    <row r="15" spans="1:46" ht="32.25" hidden="1" thickBot="1" x14ac:dyDescent="0.4">
      <c r="A15" s="10"/>
      <c r="B15" s="13" t="s">
        <v>17</v>
      </c>
      <c r="C15" s="14" t="s">
        <v>13</v>
      </c>
      <c r="D15" s="14" t="s">
        <v>13</v>
      </c>
      <c r="E15" s="14" t="s">
        <v>13</v>
      </c>
      <c r="F15" s="14" t="s">
        <v>13</v>
      </c>
      <c r="G15" s="14" t="s">
        <v>13</v>
      </c>
      <c r="H15" s="14" t="s">
        <v>13</v>
      </c>
      <c r="I15" s="14" t="s">
        <v>13</v>
      </c>
      <c r="J15" s="14" t="s">
        <v>13</v>
      </c>
      <c r="K15" s="14" t="s">
        <v>13</v>
      </c>
      <c r="L15" s="14" t="s">
        <v>13</v>
      </c>
      <c r="M15" s="14" t="s">
        <v>13</v>
      </c>
      <c r="N15" s="14" t="s">
        <v>13</v>
      </c>
      <c r="O15" s="14" t="s">
        <v>13</v>
      </c>
      <c r="P15" s="14" t="s">
        <v>13</v>
      </c>
      <c r="Q15" s="14" t="s">
        <v>13</v>
      </c>
      <c r="R15" s="14" t="s">
        <v>13</v>
      </c>
      <c r="S15" s="14" t="s">
        <v>13</v>
      </c>
      <c r="T15" s="14" t="s">
        <v>13</v>
      </c>
      <c r="U15" s="14" t="s">
        <v>13</v>
      </c>
      <c r="V15" s="14" t="s">
        <v>13</v>
      </c>
      <c r="W15" s="14" t="s">
        <v>13</v>
      </c>
      <c r="X15" s="14" t="s">
        <v>13</v>
      </c>
      <c r="Y15" s="14" t="s">
        <v>13</v>
      </c>
      <c r="Z15" s="14" t="s">
        <v>13</v>
      </c>
      <c r="AA15" s="14" t="s">
        <v>13</v>
      </c>
      <c r="AB15" s="14" t="s">
        <v>13</v>
      </c>
      <c r="AC15" s="14" t="s">
        <v>13</v>
      </c>
      <c r="AD15" s="14" t="s">
        <v>13</v>
      </c>
      <c r="AE15" s="14" t="s">
        <v>13</v>
      </c>
      <c r="AF15" s="14" t="s">
        <v>13</v>
      </c>
      <c r="AG15" s="14" t="s">
        <v>13</v>
      </c>
      <c r="AH15" s="14" t="s">
        <v>13</v>
      </c>
      <c r="AI15" s="14" t="s">
        <v>13</v>
      </c>
      <c r="AJ15" s="14" t="s">
        <v>13</v>
      </c>
      <c r="AK15" s="14" t="s">
        <v>13</v>
      </c>
      <c r="AL15" s="14" t="s">
        <v>13</v>
      </c>
      <c r="AM15" s="14" t="s">
        <v>13</v>
      </c>
      <c r="AN15" s="14" t="s">
        <v>13</v>
      </c>
      <c r="AO15" s="92" t="s">
        <v>13</v>
      </c>
    </row>
    <row r="16" spans="1:46" ht="24" thickBot="1" x14ac:dyDescent="0.5">
      <c r="A16" s="3"/>
      <c r="B16" s="58" t="s">
        <v>18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5"/>
    </row>
    <row r="17" spans="1:43" s="99" customFormat="1" ht="51" customHeight="1" thickBot="1" x14ac:dyDescent="0.5">
      <c r="A17" s="96">
        <v>1</v>
      </c>
      <c r="B17" s="97" t="s">
        <v>19</v>
      </c>
      <c r="C17" s="60">
        <f t="shared" ref="C17:AI17" si="2">C18+C19</f>
        <v>15560.44</v>
      </c>
      <c r="D17" s="40">
        <f t="shared" si="2"/>
        <v>1601.5700000000002</v>
      </c>
      <c r="E17" s="40">
        <f t="shared" si="2"/>
        <v>15558.552000000001</v>
      </c>
      <c r="F17" s="40">
        <f t="shared" si="2"/>
        <v>12486.417000000001</v>
      </c>
      <c r="G17" s="40">
        <f t="shared" si="2"/>
        <v>1470.7570000000001</v>
      </c>
      <c r="H17" s="40">
        <f t="shared" si="2"/>
        <v>1601.3780000000002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354.9</v>
      </c>
      <c r="M17" s="40">
        <f t="shared" si="2"/>
        <v>12486.416999999999</v>
      </c>
      <c r="N17" s="40">
        <f t="shared" si="2"/>
        <v>1402.163</v>
      </c>
      <c r="O17" s="40">
        <f t="shared" si="2"/>
        <v>14243.479999999998</v>
      </c>
      <c r="P17" s="40">
        <f t="shared" si="2"/>
        <v>0</v>
      </c>
      <c r="Q17" s="40">
        <f t="shared" si="2"/>
        <v>68.593999999999994</v>
      </c>
      <c r="R17" s="40">
        <f t="shared" si="2"/>
        <v>1.41</v>
      </c>
      <c r="S17" s="40">
        <f t="shared" si="2"/>
        <v>0</v>
      </c>
      <c r="T17" s="40">
        <f t="shared" si="2"/>
        <v>0</v>
      </c>
      <c r="U17" s="40">
        <f t="shared" si="2"/>
        <v>0</v>
      </c>
      <c r="V17" s="40">
        <f t="shared" si="2"/>
        <v>0</v>
      </c>
      <c r="W17" s="40">
        <f t="shared" si="2"/>
        <v>0</v>
      </c>
      <c r="X17" s="40">
        <f t="shared" si="2"/>
        <v>0</v>
      </c>
      <c r="Y17" s="40">
        <f t="shared" si="2"/>
        <v>0</v>
      </c>
      <c r="Z17" s="40">
        <f t="shared" si="2"/>
        <v>0</v>
      </c>
      <c r="AA17" s="40">
        <f t="shared" si="2"/>
        <v>0</v>
      </c>
      <c r="AB17" s="40">
        <f t="shared" si="2"/>
        <v>0</v>
      </c>
      <c r="AC17" s="40">
        <f t="shared" si="2"/>
        <v>0</v>
      </c>
      <c r="AD17" s="40">
        <f t="shared" si="2"/>
        <v>0</v>
      </c>
      <c r="AE17" s="40">
        <f t="shared" si="2"/>
        <v>0</v>
      </c>
      <c r="AF17" s="40">
        <f t="shared" si="2"/>
        <v>0</v>
      </c>
      <c r="AG17" s="40">
        <f t="shared" si="2"/>
        <v>0</v>
      </c>
      <c r="AH17" s="40">
        <f t="shared" si="2"/>
        <v>70.003999999999991</v>
      </c>
      <c r="AI17" s="40">
        <f t="shared" si="2"/>
        <v>14313.483999999999</v>
      </c>
      <c r="AJ17" s="40">
        <f>F17-M17-P17-S17-V17-Y17-AB17-AE17</f>
        <v>1.8189894035458565E-12</v>
      </c>
      <c r="AK17" s="40">
        <f>G17-N17-Q17-T17-W17-Z17-AC17-AF17</f>
        <v>5.6843418860808015E-14</v>
      </c>
      <c r="AL17" s="40">
        <f>H17-R17-U17-X17-AA17-AD17-AG17</f>
        <v>1599.9680000000001</v>
      </c>
      <c r="AM17" s="40">
        <f>AJ17+AK17+AL17</f>
        <v>1599.9680000000019</v>
      </c>
      <c r="AN17" s="40" t="s">
        <v>20</v>
      </c>
      <c r="AO17" s="41">
        <f>C17-M17-N17-AH17</f>
        <v>1601.8560000000011</v>
      </c>
      <c r="AP17" s="98"/>
      <c r="AQ17" s="98"/>
    </row>
    <row r="18" spans="1:43" ht="19.5" customHeight="1" thickBot="1" x14ac:dyDescent="0.5">
      <c r="A18" s="61"/>
      <c r="B18" s="63" t="s">
        <v>21</v>
      </c>
      <c r="C18" s="59">
        <v>1828.66</v>
      </c>
      <c r="D18" s="15">
        <v>174.94</v>
      </c>
      <c r="E18" s="42">
        <f t="shared" ref="E18:E81" si="3">F18+G18+H18+J18+K18</f>
        <v>1827.0619999999999</v>
      </c>
      <c r="F18" s="19">
        <v>1583.52</v>
      </c>
      <c r="G18" s="15">
        <f>68.594</f>
        <v>68.593999999999994</v>
      </c>
      <c r="H18" s="16">
        <f>127.21+47.738</f>
        <v>174.94799999999998</v>
      </c>
      <c r="I18" s="16"/>
      <c r="J18" s="16"/>
      <c r="K18" s="16"/>
      <c r="L18" s="16">
        <v>305.2</v>
      </c>
      <c r="M18" s="16">
        <f>1409.4+174.12</f>
        <v>1583.52</v>
      </c>
      <c r="N18" s="16"/>
      <c r="O18" s="42">
        <f>L18+N18+M18</f>
        <v>1888.72</v>
      </c>
      <c r="P18" s="19"/>
      <c r="Q18" s="15">
        <v>68.593999999999994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42">
        <f t="shared" ref="AH18:AH81" si="4">SUM(P18:AG18)</f>
        <v>68.593999999999994</v>
      </c>
      <c r="AI18" s="42">
        <f t="shared" ref="AI18:AI81" si="5">O18+AH18</f>
        <v>1957.3140000000001</v>
      </c>
      <c r="AJ18" s="42">
        <f t="shared" ref="AJ18:AJ81" si="6">F18-M18-P18-S18-V18-Y18-AB18-AE18</f>
        <v>0</v>
      </c>
      <c r="AK18" s="42">
        <f>G18-N18-Q18-T18-W18-Z18-AC18-AF18</f>
        <v>0</v>
      </c>
      <c r="AL18" s="42">
        <f>H18-R18-U18-X18-AA18-AD18-AG18</f>
        <v>174.94799999999998</v>
      </c>
      <c r="AM18" s="42">
        <f t="shared" ref="AM18:AM81" si="7">AJ18+AK18+AL18</f>
        <v>174.94799999999998</v>
      </c>
      <c r="AN18" s="42" t="s">
        <v>20</v>
      </c>
      <c r="AO18" s="43">
        <f t="shared" ref="AO18:AO81" si="8">C18-M18-N18-AH18</f>
        <v>176.54600000000011</v>
      </c>
    </row>
    <row r="19" spans="1:43" ht="25.8" thickBot="1" x14ac:dyDescent="0.5">
      <c r="A19" s="62"/>
      <c r="B19" s="64" t="s">
        <v>22</v>
      </c>
      <c r="C19" s="37">
        <v>13731.78</v>
      </c>
      <c r="D19" s="17">
        <v>1426.63</v>
      </c>
      <c r="E19" s="38">
        <f t="shared" si="3"/>
        <v>13731.490000000002</v>
      </c>
      <c r="F19" s="22">
        <v>10902.897000000001</v>
      </c>
      <c r="G19" s="17">
        <v>1402.163</v>
      </c>
      <c r="H19" s="18">
        <v>1426.43</v>
      </c>
      <c r="I19" s="18"/>
      <c r="J19" s="18"/>
      <c r="K19" s="18"/>
      <c r="L19" s="18">
        <v>49.7</v>
      </c>
      <c r="M19" s="18">
        <f>12354.76-L19-N19</f>
        <v>10902.896999999999</v>
      </c>
      <c r="N19" s="18">
        <v>1402.163</v>
      </c>
      <c r="O19" s="40">
        <f>L19+N19+M19</f>
        <v>12354.759999999998</v>
      </c>
      <c r="P19" s="22"/>
      <c r="Q19" s="17"/>
      <c r="R19" s="17">
        <f>1.41</f>
        <v>1.41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38">
        <f t="shared" si="4"/>
        <v>1.41</v>
      </c>
      <c r="AI19" s="38">
        <f t="shared" si="5"/>
        <v>12356.169999999998</v>
      </c>
      <c r="AJ19" s="38">
        <f t="shared" si="6"/>
        <v>1.8189894035458565E-12</v>
      </c>
      <c r="AK19" s="38">
        <f t="shared" ref="AK19:AK81" si="9">G19-N19-Q19-T19-W19-Z19-AC19-AF19</f>
        <v>0</v>
      </c>
      <c r="AL19" s="38">
        <f t="shared" ref="AL19:AL81" si="10">H19-R19-U19-X19-AA19-AD19-AG19</f>
        <v>1425.02</v>
      </c>
      <c r="AM19" s="38">
        <f t="shared" si="7"/>
        <v>1425.0200000000018</v>
      </c>
      <c r="AN19" s="38" t="s">
        <v>20</v>
      </c>
      <c r="AO19" s="39">
        <f t="shared" si="8"/>
        <v>1425.3100000000015</v>
      </c>
    </row>
    <row r="20" spans="1:43" s="99" customFormat="1" ht="53.25" customHeight="1" thickBot="1" x14ac:dyDescent="0.5">
      <c r="A20" s="100">
        <v>2</v>
      </c>
      <c r="B20" s="101" t="s">
        <v>23</v>
      </c>
      <c r="C20" s="46">
        <f>C21+C26</f>
        <v>1739.16</v>
      </c>
      <c r="D20" s="46">
        <f>D21+D26</f>
        <v>216.11000000000004</v>
      </c>
      <c r="E20" s="46">
        <f t="shared" ref="E20:AI20" si="11">E21+E26</f>
        <v>1566.942</v>
      </c>
      <c r="F20" s="46">
        <f t="shared" si="11"/>
        <v>1289.6239999999998</v>
      </c>
      <c r="G20" s="46">
        <f t="shared" si="11"/>
        <v>218.02600000000004</v>
      </c>
      <c r="H20" s="46">
        <f t="shared" si="11"/>
        <v>59.292000000000002</v>
      </c>
      <c r="I20" s="46">
        <f t="shared" si="11"/>
        <v>0</v>
      </c>
      <c r="J20" s="46">
        <f t="shared" si="11"/>
        <v>0</v>
      </c>
      <c r="K20" s="46">
        <f t="shared" si="11"/>
        <v>0</v>
      </c>
      <c r="L20" s="46">
        <f t="shared" si="11"/>
        <v>81.2</v>
      </c>
      <c r="M20" s="46">
        <f t="shared" si="11"/>
        <v>1185.885</v>
      </c>
      <c r="N20" s="46">
        <f t="shared" si="11"/>
        <v>61.018000000000001</v>
      </c>
      <c r="O20" s="46">
        <f t="shared" si="11"/>
        <v>1328.1029999999998</v>
      </c>
      <c r="P20" s="46">
        <f t="shared" si="11"/>
        <v>0.65400000000000003</v>
      </c>
      <c r="Q20" s="46">
        <f t="shared" si="11"/>
        <v>2.2719999999999998</v>
      </c>
      <c r="R20" s="46">
        <f t="shared" si="11"/>
        <v>0</v>
      </c>
      <c r="S20" s="46">
        <f t="shared" si="11"/>
        <v>0</v>
      </c>
      <c r="T20" s="46">
        <f t="shared" si="11"/>
        <v>0</v>
      </c>
      <c r="U20" s="46">
        <f t="shared" si="11"/>
        <v>0</v>
      </c>
      <c r="V20" s="46">
        <f t="shared" si="11"/>
        <v>0</v>
      </c>
      <c r="W20" s="46">
        <f t="shared" si="11"/>
        <v>0</v>
      </c>
      <c r="X20" s="46">
        <f t="shared" si="11"/>
        <v>0</v>
      </c>
      <c r="Y20" s="46">
        <f t="shared" si="11"/>
        <v>0</v>
      </c>
      <c r="Z20" s="46">
        <f t="shared" si="11"/>
        <v>0</v>
      </c>
      <c r="AA20" s="46">
        <f t="shared" si="11"/>
        <v>0</v>
      </c>
      <c r="AB20" s="46">
        <f t="shared" si="11"/>
        <v>0</v>
      </c>
      <c r="AC20" s="46">
        <f t="shared" si="11"/>
        <v>0</v>
      </c>
      <c r="AD20" s="46">
        <f t="shared" si="11"/>
        <v>0</v>
      </c>
      <c r="AE20" s="46">
        <f t="shared" si="11"/>
        <v>0</v>
      </c>
      <c r="AF20" s="46">
        <f t="shared" si="11"/>
        <v>0</v>
      </c>
      <c r="AG20" s="46">
        <f t="shared" si="11"/>
        <v>0</v>
      </c>
      <c r="AH20" s="46">
        <f t="shared" si="11"/>
        <v>2.9259999999999997</v>
      </c>
      <c r="AI20" s="46">
        <f t="shared" si="11"/>
        <v>1331.029</v>
      </c>
      <c r="AJ20" s="46">
        <f t="shared" si="6"/>
        <v>103.08499999999981</v>
      </c>
      <c r="AK20" s="46">
        <f t="shared" si="9"/>
        <v>154.73600000000005</v>
      </c>
      <c r="AL20" s="46">
        <f t="shared" si="10"/>
        <v>59.292000000000002</v>
      </c>
      <c r="AM20" s="46">
        <f t="shared" si="7"/>
        <v>317.11299999999983</v>
      </c>
      <c r="AN20" s="46" t="s">
        <v>20</v>
      </c>
      <c r="AO20" s="47">
        <f t="shared" si="8"/>
        <v>489.33100000000007</v>
      </c>
      <c r="AP20" s="98"/>
      <c r="AQ20" s="102"/>
    </row>
    <row r="21" spans="1:43" s="99" customFormat="1" ht="31.8" thickBot="1" x14ac:dyDescent="0.5">
      <c r="A21" s="103" t="s">
        <v>24</v>
      </c>
      <c r="B21" s="101" t="s">
        <v>25</v>
      </c>
      <c r="C21" s="46">
        <f>C22+C23+C24+C25</f>
        <v>536.78</v>
      </c>
      <c r="D21" s="46">
        <f>D22+D23+D24+D25</f>
        <v>78.25</v>
      </c>
      <c r="E21" s="46">
        <f t="shared" ref="E21:AI21" si="12">E22+E23+E24+E25</f>
        <v>456.58599999999996</v>
      </c>
      <c r="F21" s="46">
        <f t="shared" si="12"/>
        <v>404.18499999999995</v>
      </c>
      <c r="G21" s="46">
        <f t="shared" si="12"/>
        <v>49.401000000000003</v>
      </c>
      <c r="H21" s="46">
        <f t="shared" si="12"/>
        <v>3</v>
      </c>
      <c r="I21" s="46">
        <f t="shared" si="12"/>
        <v>0</v>
      </c>
      <c r="J21" s="46">
        <f t="shared" si="12"/>
        <v>0</v>
      </c>
      <c r="K21" s="46">
        <f t="shared" si="12"/>
        <v>0</v>
      </c>
      <c r="L21" s="46">
        <f t="shared" si="12"/>
        <v>1.4</v>
      </c>
      <c r="M21" s="46">
        <f t="shared" si="12"/>
        <v>379.15799999999996</v>
      </c>
      <c r="N21" s="46">
        <f t="shared" si="12"/>
        <v>0</v>
      </c>
      <c r="O21" s="46">
        <f t="shared" si="12"/>
        <v>380.55799999999994</v>
      </c>
      <c r="P21" s="46">
        <f t="shared" si="12"/>
        <v>0</v>
      </c>
      <c r="Q21" s="46">
        <f t="shared" si="12"/>
        <v>0</v>
      </c>
      <c r="R21" s="46">
        <f t="shared" si="12"/>
        <v>0</v>
      </c>
      <c r="S21" s="46">
        <f t="shared" si="12"/>
        <v>0</v>
      </c>
      <c r="T21" s="46">
        <f t="shared" si="12"/>
        <v>0</v>
      </c>
      <c r="U21" s="46">
        <f t="shared" si="12"/>
        <v>0</v>
      </c>
      <c r="V21" s="46">
        <f t="shared" si="12"/>
        <v>0</v>
      </c>
      <c r="W21" s="46">
        <f t="shared" si="12"/>
        <v>0</v>
      </c>
      <c r="X21" s="46">
        <f t="shared" si="12"/>
        <v>0</v>
      </c>
      <c r="Y21" s="46">
        <f t="shared" si="12"/>
        <v>0</v>
      </c>
      <c r="Z21" s="46">
        <f t="shared" si="12"/>
        <v>0</v>
      </c>
      <c r="AA21" s="46">
        <f t="shared" si="12"/>
        <v>0</v>
      </c>
      <c r="AB21" s="46">
        <f t="shared" si="12"/>
        <v>0</v>
      </c>
      <c r="AC21" s="46">
        <f t="shared" si="12"/>
        <v>0</v>
      </c>
      <c r="AD21" s="46">
        <f t="shared" si="12"/>
        <v>0</v>
      </c>
      <c r="AE21" s="46">
        <f t="shared" si="12"/>
        <v>0</v>
      </c>
      <c r="AF21" s="46">
        <f t="shared" si="12"/>
        <v>0</v>
      </c>
      <c r="AG21" s="46">
        <f t="shared" si="12"/>
        <v>0</v>
      </c>
      <c r="AH21" s="46">
        <f t="shared" si="12"/>
        <v>0</v>
      </c>
      <c r="AI21" s="46">
        <f t="shared" si="12"/>
        <v>380.55799999999994</v>
      </c>
      <c r="AJ21" s="46">
        <f t="shared" si="6"/>
        <v>25.026999999999987</v>
      </c>
      <c r="AK21" s="46">
        <f t="shared" si="9"/>
        <v>49.401000000000003</v>
      </c>
      <c r="AL21" s="46">
        <f t="shared" si="10"/>
        <v>3</v>
      </c>
      <c r="AM21" s="46">
        <f t="shared" si="7"/>
        <v>77.427999999999997</v>
      </c>
      <c r="AN21" s="46" t="s">
        <v>20</v>
      </c>
      <c r="AO21" s="47">
        <f t="shared" si="8"/>
        <v>157.62200000000001</v>
      </c>
      <c r="AP21" s="98"/>
      <c r="AQ21" s="102"/>
    </row>
    <row r="22" spans="1:43" ht="35.25" customHeight="1" x14ac:dyDescent="0.45">
      <c r="A22" s="61"/>
      <c r="B22" s="66" t="s">
        <v>26</v>
      </c>
      <c r="C22" s="19">
        <v>512.04</v>
      </c>
      <c r="D22" s="19">
        <v>75.25</v>
      </c>
      <c r="E22" s="42">
        <f t="shared" si="3"/>
        <v>431.87099999999998</v>
      </c>
      <c r="F22" s="19">
        <f>431.871-G22</f>
        <v>382.46999999999997</v>
      </c>
      <c r="G22" s="19">
        <v>49.401000000000003</v>
      </c>
      <c r="H22" s="16"/>
      <c r="I22" s="16"/>
      <c r="J22" s="16"/>
      <c r="K22" s="16"/>
      <c r="L22" s="16">
        <v>1.4</v>
      </c>
      <c r="M22" s="16">
        <v>360.44299999999998</v>
      </c>
      <c r="N22" s="16"/>
      <c r="O22" s="42">
        <f t="shared" ref="O22:O25" si="13">L22+N22+M22</f>
        <v>361.84299999999996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6"/>
      <c r="AD22" s="16"/>
      <c r="AE22" s="16"/>
      <c r="AF22" s="19"/>
      <c r="AG22" s="19"/>
      <c r="AH22" s="42">
        <f t="shared" si="4"/>
        <v>0</v>
      </c>
      <c r="AI22" s="42">
        <f t="shared" si="5"/>
        <v>361.84299999999996</v>
      </c>
      <c r="AJ22" s="42">
        <f t="shared" si="6"/>
        <v>22.026999999999987</v>
      </c>
      <c r="AK22" s="42">
        <f t="shared" si="9"/>
        <v>49.401000000000003</v>
      </c>
      <c r="AL22" s="42">
        <f t="shared" si="10"/>
        <v>0</v>
      </c>
      <c r="AM22" s="42">
        <f t="shared" si="7"/>
        <v>71.427999999999997</v>
      </c>
      <c r="AN22" s="42" t="s">
        <v>20</v>
      </c>
      <c r="AO22" s="43">
        <f t="shared" si="8"/>
        <v>151.59699999999998</v>
      </c>
    </row>
    <row r="23" spans="1:43" ht="30" customHeight="1" x14ac:dyDescent="0.45">
      <c r="A23" s="61"/>
      <c r="B23" s="66" t="s">
        <v>27</v>
      </c>
      <c r="C23" s="20"/>
      <c r="D23" s="20"/>
      <c r="E23" s="44">
        <f t="shared" si="3"/>
        <v>0</v>
      </c>
      <c r="F23" s="20"/>
      <c r="G23" s="20"/>
      <c r="H23" s="21"/>
      <c r="I23" s="21"/>
      <c r="J23" s="21"/>
      <c r="K23" s="21"/>
      <c r="L23" s="21"/>
      <c r="M23" s="21"/>
      <c r="N23" s="21"/>
      <c r="O23" s="44">
        <f t="shared" si="13"/>
        <v>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  <c r="AD23" s="21"/>
      <c r="AE23" s="21"/>
      <c r="AF23" s="20"/>
      <c r="AG23" s="20"/>
      <c r="AH23" s="44">
        <f t="shared" si="4"/>
        <v>0</v>
      </c>
      <c r="AI23" s="44">
        <f t="shared" si="5"/>
        <v>0</v>
      </c>
      <c r="AJ23" s="44">
        <f t="shared" si="6"/>
        <v>0</v>
      </c>
      <c r="AK23" s="44">
        <f t="shared" si="9"/>
        <v>0</v>
      </c>
      <c r="AL23" s="44">
        <f t="shared" si="10"/>
        <v>0</v>
      </c>
      <c r="AM23" s="44">
        <f t="shared" si="7"/>
        <v>0</v>
      </c>
      <c r="AN23" s="44" t="s">
        <v>20</v>
      </c>
      <c r="AO23" s="45">
        <f t="shared" si="8"/>
        <v>0</v>
      </c>
    </row>
    <row r="24" spans="1:43" ht="33" customHeight="1" x14ac:dyDescent="0.45">
      <c r="A24" s="65"/>
      <c r="B24" s="67" t="s">
        <v>28</v>
      </c>
      <c r="C24" s="20">
        <v>24.74</v>
      </c>
      <c r="D24" s="20">
        <v>3</v>
      </c>
      <c r="E24" s="44">
        <f t="shared" si="3"/>
        <v>24.715</v>
      </c>
      <c r="F24" s="20">
        <v>21.715</v>
      </c>
      <c r="G24" s="20"/>
      <c r="H24" s="21">
        <v>3</v>
      </c>
      <c r="I24" s="21"/>
      <c r="J24" s="21"/>
      <c r="K24" s="21"/>
      <c r="L24" s="21"/>
      <c r="M24" s="21">
        <v>18.715</v>
      </c>
      <c r="N24" s="21"/>
      <c r="O24" s="44">
        <f t="shared" si="13"/>
        <v>18.715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0"/>
      <c r="AG24" s="20"/>
      <c r="AH24" s="44">
        <f t="shared" si="4"/>
        <v>0</v>
      </c>
      <c r="AI24" s="44">
        <f t="shared" si="5"/>
        <v>18.715</v>
      </c>
      <c r="AJ24" s="44">
        <f t="shared" si="6"/>
        <v>3</v>
      </c>
      <c r="AK24" s="44">
        <f t="shared" si="9"/>
        <v>0</v>
      </c>
      <c r="AL24" s="44">
        <f t="shared" si="10"/>
        <v>3</v>
      </c>
      <c r="AM24" s="44">
        <f t="shared" si="7"/>
        <v>6</v>
      </c>
      <c r="AN24" s="44" t="s">
        <v>20</v>
      </c>
      <c r="AO24" s="45">
        <f t="shared" si="8"/>
        <v>6.0249999999999986</v>
      </c>
    </row>
    <row r="25" spans="1:43" ht="92.25" customHeight="1" thickBot="1" x14ac:dyDescent="0.5">
      <c r="A25" s="62"/>
      <c r="B25" s="68" t="s">
        <v>29</v>
      </c>
      <c r="C25" s="22"/>
      <c r="D25" s="22"/>
      <c r="E25" s="38">
        <f t="shared" si="3"/>
        <v>0</v>
      </c>
      <c r="F25" s="22"/>
      <c r="G25" s="22"/>
      <c r="H25" s="18"/>
      <c r="I25" s="18"/>
      <c r="J25" s="18"/>
      <c r="K25" s="18"/>
      <c r="L25" s="18"/>
      <c r="M25" s="18"/>
      <c r="N25" s="18"/>
      <c r="O25" s="38">
        <f t="shared" si="13"/>
        <v>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8"/>
      <c r="AD25" s="18"/>
      <c r="AE25" s="18"/>
      <c r="AF25" s="22"/>
      <c r="AG25" s="22"/>
      <c r="AH25" s="38">
        <f t="shared" si="4"/>
        <v>0</v>
      </c>
      <c r="AI25" s="38">
        <f t="shared" si="5"/>
        <v>0</v>
      </c>
      <c r="AJ25" s="38">
        <f t="shared" si="6"/>
        <v>0</v>
      </c>
      <c r="AK25" s="38">
        <f t="shared" si="9"/>
        <v>0</v>
      </c>
      <c r="AL25" s="38">
        <f t="shared" si="10"/>
        <v>0</v>
      </c>
      <c r="AM25" s="38">
        <f t="shared" si="7"/>
        <v>0</v>
      </c>
      <c r="AN25" s="38" t="s">
        <v>20</v>
      </c>
      <c r="AO25" s="39">
        <f t="shared" si="8"/>
        <v>0</v>
      </c>
    </row>
    <row r="26" spans="1:43" s="99" customFormat="1" ht="63.75" customHeight="1" thickBot="1" x14ac:dyDescent="0.5">
      <c r="A26" s="104" t="s">
        <v>30</v>
      </c>
      <c r="B26" s="105" t="s">
        <v>31</v>
      </c>
      <c r="C26" s="46">
        <f>SUM(C27:C42)</f>
        <v>1202.3800000000001</v>
      </c>
      <c r="D26" s="46">
        <f t="shared" ref="D26:AI26" si="14">SUM(D27:D42)</f>
        <v>137.86000000000004</v>
      </c>
      <c r="E26" s="46">
        <f t="shared" si="14"/>
        <v>1110.356</v>
      </c>
      <c r="F26" s="46">
        <f t="shared" si="14"/>
        <v>885.43899999999996</v>
      </c>
      <c r="G26" s="46">
        <f t="shared" si="14"/>
        <v>168.62500000000003</v>
      </c>
      <c r="H26" s="46">
        <f t="shared" si="14"/>
        <v>56.292000000000002</v>
      </c>
      <c r="I26" s="46">
        <f t="shared" si="14"/>
        <v>0</v>
      </c>
      <c r="J26" s="46">
        <f t="shared" si="14"/>
        <v>0</v>
      </c>
      <c r="K26" s="46">
        <f t="shared" si="14"/>
        <v>0</v>
      </c>
      <c r="L26" s="46">
        <f t="shared" si="14"/>
        <v>79.8</v>
      </c>
      <c r="M26" s="46">
        <f t="shared" si="14"/>
        <v>806.72699999999998</v>
      </c>
      <c r="N26" s="46">
        <f t="shared" si="14"/>
        <v>61.018000000000001</v>
      </c>
      <c r="O26" s="46">
        <f t="shared" si="14"/>
        <v>947.54499999999996</v>
      </c>
      <c r="P26" s="46">
        <f t="shared" si="14"/>
        <v>0.65400000000000003</v>
      </c>
      <c r="Q26" s="46">
        <f t="shared" si="14"/>
        <v>2.2719999999999998</v>
      </c>
      <c r="R26" s="46">
        <f t="shared" si="14"/>
        <v>0</v>
      </c>
      <c r="S26" s="46">
        <f t="shared" si="14"/>
        <v>0</v>
      </c>
      <c r="T26" s="46">
        <f t="shared" si="14"/>
        <v>0</v>
      </c>
      <c r="U26" s="46">
        <f t="shared" si="14"/>
        <v>0</v>
      </c>
      <c r="V26" s="46">
        <f t="shared" si="14"/>
        <v>0</v>
      </c>
      <c r="W26" s="46">
        <f t="shared" si="14"/>
        <v>0</v>
      </c>
      <c r="X26" s="46">
        <f t="shared" si="14"/>
        <v>0</v>
      </c>
      <c r="Y26" s="46">
        <f t="shared" si="14"/>
        <v>0</v>
      </c>
      <c r="Z26" s="46">
        <f t="shared" si="14"/>
        <v>0</v>
      </c>
      <c r="AA26" s="46">
        <f t="shared" si="14"/>
        <v>0</v>
      </c>
      <c r="AB26" s="46">
        <f t="shared" si="14"/>
        <v>0</v>
      </c>
      <c r="AC26" s="46">
        <f t="shared" si="14"/>
        <v>0</v>
      </c>
      <c r="AD26" s="46">
        <f t="shared" si="14"/>
        <v>0</v>
      </c>
      <c r="AE26" s="46">
        <f t="shared" si="14"/>
        <v>0</v>
      </c>
      <c r="AF26" s="46">
        <f t="shared" si="14"/>
        <v>0</v>
      </c>
      <c r="AG26" s="46">
        <f t="shared" si="14"/>
        <v>0</v>
      </c>
      <c r="AH26" s="46">
        <f t="shared" si="14"/>
        <v>2.9259999999999997</v>
      </c>
      <c r="AI26" s="46">
        <f t="shared" si="14"/>
        <v>950.471</v>
      </c>
      <c r="AJ26" s="46">
        <f t="shared" si="6"/>
        <v>78.057999999999993</v>
      </c>
      <c r="AK26" s="46">
        <f t="shared" si="9"/>
        <v>105.33500000000002</v>
      </c>
      <c r="AL26" s="46">
        <f t="shared" si="10"/>
        <v>56.292000000000002</v>
      </c>
      <c r="AM26" s="46">
        <f t="shared" si="7"/>
        <v>239.68500000000003</v>
      </c>
      <c r="AN26" s="46" t="s">
        <v>20</v>
      </c>
      <c r="AO26" s="47">
        <f t="shared" si="8"/>
        <v>331.70900000000012</v>
      </c>
      <c r="AP26" s="98"/>
      <c r="AQ26" s="102"/>
    </row>
    <row r="27" spans="1:43" ht="46.8" x14ac:dyDescent="0.45">
      <c r="A27" s="61"/>
      <c r="B27" s="70" t="s">
        <v>32</v>
      </c>
      <c r="C27" s="19">
        <v>231.9</v>
      </c>
      <c r="D27" s="19">
        <v>35.200000000000003</v>
      </c>
      <c r="E27" s="42">
        <f t="shared" si="3"/>
        <v>193.239</v>
      </c>
      <c r="F27" s="19">
        <v>147.6</v>
      </c>
      <c r="G27" s="19">
        <v>45.639000000000003</v>
      </c>
      <c r="H27" s="16"/>
      <c r="I27" s="16"/>
      <c r="J27" s="16"/>
      <c r="K27" s="16"/>
      <c r="L27" s="16"/>
      <c r="M27" s="16">
        <v>111.88500000000001</v>
      </c>
      <c r="N27" s="16"/>
      <c r="O27" s="42">
        <f t="shared" ref="O27:O42" si="15">L27+N27+M27</f>
        <v>111.88500000000001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6"/>
      <c r="AD27" s="16"/>
      <c r="AE27" s="16"/>
      <c r="AF27" s="19"/>
      <c r="AG27" s="19"/>
      <c r="AH27" s="42">
        <f t="shared" si="4"/>
        <v>0</v>
      </c>
      <c r="AI27" s="42">
        <f t="shared" si="5"/>
        <v>111.88500000000001</v>
      </c>
      <c r="AJ27" s="42">
        <f t="shared" si="6"/>
        <v>35.714999999999989</v>
      </c>
      <c r="AK27" s="42">
        <f t="shared" si="9"/>
        <v>45.639000000000003</v>
      </c>
      <c r="AL27" s="42">
        <f t="shared" si="10"/>
        <v>0</v>
      </c>
      <c r="AM27" s="42">
        <f t="shared" si="7"/>
        <v>81.353999999999985</v>
      </c>
      <c r="AN27" s="42" t="s">
        <v>20</v>
      </c>
      <c r="AO27" s="43">
        <f t="shared" si="8"/>
        <v>120.015</v>
      </c>
    </row>
    <row r="28" spans="1:43" ht="31.2" x14ac:dyDescent="0.45">
      <c r="A28" s="65"/>
      <c r="B28" s="71" t="s">
        <v>33</v>
      </c>
      <c r="C28" s="20">
        <v>9.84</v>
      </c>
      <c r="D28" s="20">
        <v>0.45</v>
      </c>
      <c r="E28" s="44">
        <f t="shared" si="3"/>
        <v>9.02</v>
      </c>
      <c r="F28" s="20">
        <v>6.09</v>
      </c>
      <c r="G28" s="20">
        <v>2.93</v>
      </c>
      <c r="H28" s="21"/>
      <c r="I28" s="21"/>
      <c r="J28" s="21"/>
      <c r="K28" s="21"/>
      <c r="L28" s="21"/>
      <c r="M28" s="21">
        <v>4.444</v>
      </c>
      <c r="N28" s="21"/>
      <c r="O28" s="44">
        <f t="shared" si="15"/>
        <v>4.444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  <c r="AD28" s="21"/>
      <c r="AE28" s="21"/>
      <c r="AF28" s="20"/>
      <c r="AG28" s="20"/>
      <c r="AH28" s="44">
        <f t="shared" si="4"/>
        <v>0</v>
      </c>
      <c r="AI28" s="44">
        <f t="shared" si="5"/>
        <v>4.444</v>
      </c>
      <c r="AJ28" s="44">
        <f t="shared" si="6"/>
        <v>1.6459999999999999</v>
      </c>
      <c r="AK28" s="44">
        <f t="shared" si="9"/>
        <v>2.93</v>
      </c>
      <c r="AL28" s="44">
        <f t="shared" si="10"/>
        <v>0</v>
      </c>
      <c r="AM28" s="44">
        <f t="shared" si="7"/>
        <v>4.5760000000000005</v>
      </c>
      <c r="AN28" s="44" t="s">
        <v>20</v>
      </c>
      <c r="AO28" s="45">
        <f t="shared" si="8"/>
        <v>5.3959999999999999</v>
      </c>
    </row>
    <row r="29" spans="1:43" ht="31.2" x14ac:dyDescent="0.45">
      <c r="A29" s="65"/>
      <c r="B29" s="71" t="s">
        <v>34</v>
      </c>
      <c r="C29" s="20">
        <v>145.26</v>
      </c>
      <c r="D29" s="20">
        <v>22.65</v>
      </c>
      <c r="E29" s="44">
        <f t="shared" si="3"/>
        <v>120.24499999999999</v>
      </c>
      <c r="F29" s="20">
        <v>79.459999999999994</v>
      </c>
      <c r="G29" s="20">
        <v>40.784999999999997</v>
      </c>
      <c r="H29" s="21"/>
      <c r="I29" s="21"/>
      <c r="J29" s="21"/>
      <c r="K29" s="21"/>
      <c r="L29" s="21">
        <v>74.099999999999994</v>
      </c>
      <c r="M29" s="21">
        <f>142.333-74.1</f>
        <v>68.233000000000004</v>
      </c>
      <c r="N29" s="21"/>
      <c r="O29" s="44">
        <f t="shared" si="15"/>
        <v>142.333</v>
      </c>
      <c r="P29" s="20"/>
      <c r="Q29" s="20">
        <v>2.13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1"/>
      <c r="AD29" s="21"/>
      <c r="AE29" s="21"/>
      <c r="AF29" s="20"/>
      <c r="AG29" s="20"/>
      <c r="AH29" s="44">
        <f t="shared" si="4"/>
        <v>2.13</v>
      </c>
      <c r="AI29" s="44">
        <f t="shared" si="5"/>
        <v>144.46299999999999</v>
      </c>
      <c r="AJ29" s="44">
        <f t="shared" si="6"/>
        <v>11.22699999999999</v>
      </c>
      <c r="AK29" s="44">
        <f t="shared" si="9"/>
        <v>38.654999999999994</v>
      </c>
      <c r="AL29" s="44">
        <f t="shared" si="10"/>
        <v>0</v>
      </c>
      <c r="AM29" s="44">
        <f t="shared" si="7"/>
        <v>49.881999999999984</v>
      </c>
      <c r="AN29" s="44" t="s">
        <v>20</v>
      </c>
      <c r="AO29" s="45">
        <f t="shared" si="8"/>
        <v>74.896999999999991</v>
      </c>
    </row>
    <row r="30" spans="1:43" ht="36" customHeight="1" x14ac:dyDescent="0.45">
      <c r="A30" s="65"/>
      <c r="B30" s="71" t="s">
        <v>35</v>
      </c>
      <c r="C30" s="20"/>
      <c r="D30" s="20"/>
      <c r="E30" s="44">
        <f t="shared" si="3"/>
        <v>0</v>
      </c>
      <c r="F30" s="20"/>
      <c r="G30" s="20"/>
      <c r="H30" s="21"/>
      <c r="I30" s="21"/>
      <c r="J30" s="21"/>
      <c r="K30" s="21"/>
      <c r="L30" s="21"/>
      <c r="M30" s="21"/>
      <c r="N30" s="21"/>
      <c r="O30" s="44">
        <f t="shared" si="15"/>
        <v>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1"/>
      <c r="AD30" s="21"/>
      <c r="AE30" s="21"/>
      <c r="AF30" s="20"/>
      <c r="AG30" s="20"/>
      <c r="AH30" s="44">
        <f t="shared" si="4"/>
        <v>0</v>
      </c>
      <c r="AI30" s="44">
        <f t="shared" si="5"/>
        <v>0</v>
      </c>
      <c r="AJ30" s="44">
        <f t="shared" si="6"/>
        <v>0</v>
      </c>
      <c r="AK30" s="44">
        <f t="shared" si="9"/>
        <v>0</v>
      </c>
      <c r="AL30" s="44">
        <f t="shared" si="10"/>
        <v>0</v>
      </c>
      <c r="AM30" s="44">
        <f t="shared" si="7"/>
        <v>0</v>
      </c>
      <c r="AN30" s="44" t="s">
        <v>20</v>
      </c>
      <c r="AO30" s="45">
        <f t="shared" si="8"/>
        <v>0</v>
      </c>
    </row>
    <row r="31" spans="1:43" ht="46.8" x14ac:dyDescent="0.45">
      <c r="A31" s="65"/>
      <c r="B31" s="71" t="s">
        <v>36</v>
      </c>
      <c r="C31" s="20">
        <v>1.55</v>
      </c>
      <c r="D31" s="20">
        <v>1</v>
      </c>
      <c r="E31" s="44">
        <f t="shared" si="3"/>
        <v>0.55000000000000004</v>
      </c>
      <c r="F31" s="20">
        <v>0.55000000000000004</v>
      </c>
      <c r="G31" s="20"/>
      <c r="H31" s="21"/>
      <c r="I31" s="21"/>
      <c r="J31" s="21"/>
      <c r="K31" s="21"/>
      <c r="L31" s="21"/>
      <c r="M31" s="21">
        <v>0.55000000000000004</v>
      </c>
      <c r="N31" s="21"/>
      <c r="O31" s="44">
        <f t="shared" si="15"/>
        <v>0.55000000000000004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0"/>
      <c r="AG31" s="20"/>
      <c r="AH31" s="44">
        <f t="shared" si="4"/>
        <v>0</v>
      </c>
      <c r="AI31" s="44">
        <f t="shared" si="5"/>
        <v>0.55000000000000004</v>
      </c>
      <c r="AJ31" s="44">
        <f t="shared" si="6"/>
        <v>0</v>
      </c>
      <c r="AK31" s="44">
        <f t="shared" si="9"/>
        <v>0</v>
      </c>
      <c r="AL31" s="44">
        <f t="shared" si="10"/>
        <v>0</v>
      </c>
      <c r="AM31" s="44">
        <f t="shared" si="7"/>
        <v>0</v>
      </c>
      <c r="AN31" s="44" t="s">
        <v>20</v>
      </c>
      <c r="AO31" s="45">
        <f t="shared" si="8"/>
        <v>1</v>
      </c>
    </row>
    <row r="32" spans="1:43" ht="25.2" x14ac:dyDescent="0.45">
      <c r="A32" s="65"/>
      <c r="B32" s="67" t="s">
        <v>37</v>
      </c>
      <c r="C32" s="20">
        <v>11.39</v>
      </c>
      <c r="D32" s="20">
        <v>0.75</v>
      </c>
      <c r="E32" s="44">
        <f t="shared" si="3"/>
        <v>10.55</v>
      </c>
      <c r="F32" s="20">
        <v>10.55</v>
      </c>
      <c r="G32" s="20"/>
      <c r="H32" s="21"/>
      <c r="I32" s="21"/>
      <c r="J32" s="21"/>
      <c r="K32" s="21"/>
      <c r="L32" s="21"/>
      <c r="M32" s="21">
        <v>9.09</v>
      </c>
      <c r="N32" s="21"/>
      <c r="O32" s="44">
        <f t="shared" si="15"/>
        <v>9.09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  <c r="AD32" s="21"/>
      <c r="AE32" s="21"/>
      <c r="AF32" s="20"/>
      <c r="AG32" s="20"/>
      <c r="AH32" s="44">
        <f t="shared" si="4"/>
        <v>0</v>
      </c>
      <c r="AI32" s="44">
        <f t="shared" si="5"/>
        <v>9.09</v>
      </c>
      <c r="AJ32" s="44">
        <f t="shared" si="6"/>
        <v>1.4600000000000009</v>
      </c>
      <c r="AK32" s="44">
        <f t="shared" si="9"/>
        <v>0</v>
      </c>
      <c r="AL32" s="44">
        <f t="shared" si="10"/>
        <v>0</v>
      </c>
      <c r="AM32" s="44">
        <f t="shared" si="7"/>
        <v>1.4600000000000009</v>
      </c>
      <c r="AN32" s="44" t="s">
        <v>20</v>
      </c>
      <c r="AO32" s="45">
        <f t="shared" si="8"/>
        <v>2.3000000000000007</v>
      </c>
    </row>
    <row r="33" spans="1:43" ht="46.8" x14ac:dyDescent="0.45">
      <c r="A33" s="65"/>
      <c r="B33" s="67" t="s">
        <v>38</v>
      </c>
      <c r="C33" s="20">
        <v>197</v>
      </c>
      <c r="D33" s="20">
        <v>11.69</v>
      </c>
      <c r="E33" s="44">
        <f t="shared" si="3"/>
        <v>183.482</v>
      </c>
      <c r="F33" s="20">
        <v>167.51</v>
      </c>
      <c r="G33" s="20">
        <v>15.972</v>
      </c>
      <c r="H33" s="21"/>
      <c r="I33" s="21"/>
      <c r="J33" s="21"/>
      <c r="K33" s="21"/>
      <c r="L33" s="21">
        <v>4.5</v>
      </c>
      <c r="M33" s="21">
        <f>143.346-4.5</f>
        <v>138.846</v>
      </c>
      <c r="N33" s="21"/>
      <c r="O33" s="44">
        <f t="shared" si="15"/>
        <v>143.346</v>
      </c>
      <c r="P33" s="20">
        <v>0.65400000000000003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1"/>
      <c r="AD33" s="21"/>
      <c r="AE33" s="21"/>
      <c r="AF33" s="20"/>
      <c r="AG33" s="20"/>
      <c r="AH33" s="44">
        <f t="shared" si="4"/>
        <v>0.65400000000000003</v>
      </c>
      <c r="AI33" s="44">
        <f t="shared" si="5"/>
        <v>144</v>
      </c>
      <c r="AJ33" s="44">
        <f t="shared" si="6"/>
        <v>28.009999999999987</v>
      </c>
      <c r="AK33" s="44">
        <f t="shared" si="9"/>
        <v>15.972</v>
      </c>
      <c r="AL33" s="44">
        <f t="shared" si="10"/>
        <v>0</v>
      </c>
      <c r="AM33" s="44">
        <f t="shared" si="7"/>
        <v>43.981999999999985</v>
      </c>
      <c r="AN33" s="44" t="s">
        <v>20</v>
      </c>
      <c r="AO33" s="45">
        <f t="shared" si="8"/>
        <v>57.499999999999993</v>
      </c>
    </row>
    <row r="34" spans="1:43" ht="33.75" customHeight="1" x14ac:dyDescent="0.45">
      <c r="A34" s="65"/>
      <c r="B34" s="71" t="s">
        <v>39</v>
      </c>
      <c r="C34" s="20"/>
      <c r="D34" s="20"/>
      <c r="E34" s="44">
        <f t="shared" si="3"/>
        <v>0</v>
      </c>
      <c r="F34" s="20"/>
      <c r="G34" s="20"/>
      <c r="H34" s="21"/>
      <c r="I34" s="21"/>
      <c r="J34" s="21"/>
      <c r="K34" s="21"/>
      <c r="L34" s="21"/>
      <c r="M34" s="21"/>
      <c r="N34" s="21"/>
      <c r="O34" s="44">
        <f t="shared" si="15"/>
        <v>0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1"/>
      <c r="AD34" s="21"/>
      <c r="AE34" s="21"/>
      <c r="AF34" s="20"/>
      <c r="AG34" s="20"/>
      <c r="AH34" s="44">
        <f t="shared" si="4"/>
        <v>0</v>
      </c>
      <c r="AI34" s="44">
        <f t="shared" si="5"/>
        <v>0</v>
      </c>
      <c r="AJ34" s="44">
        <f t="shared" si="6"/>
        <v>0</v>
      </c>
      <c r="AK34" s="44">
        <f t="shared" si="9"/>
        <v>0</v>
      </c>
      <c r="AL34" s="44">
        <f t="shared" si="10"/>
        <v>0</v>
      </c>
      <c r="AM34" s="44">
        <f t="shared" si="7"/>
        <v>0</v>
      </c>
      <c r="AN34" s="44" t="s">
        <v>20</v>
      </c>
      <c r="AO34" s="45">
        <f t="shared" si="8"/>
        <v>0</v>
      </c>
    </row>
    <row r="35" spans="1:43" ht="93.6" x14ac:dyDescent="0.45">
      <c r="A35" s="65"/>
      <c r="B35" s="71" t="s">
        <v>40</v>
      </c>
      <c r="C35" s="20"/>
      <c r="D35" s="20"/>
      <c r="E35" s="44">
        <f t="shared" si="3"/>
        <v>0</v>
      </c>
      <c r="F35" s="20"/>
      <c r="G35" s="20"/>
      <c r="H35" s="21"/>
      <c r="I35" s="21"/>
      <c r="J35" s="21"/>
      <c r="K35" s="21"/>
      <c r="L35" s="21"/>
      <c r="M35" s="21"/>
      <c r="N35" s="21"/>
      <c r="O35" s="44">
        <f t="shared" si="15"/>
        <v>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  <c r="AD35" s="21"/>
      <c r="AE35" s="21"/>
      <c r="AF35" s="20"/>
      <c r="AG35" s="20"/>
      <c r="AH35" s="44">
        <f t="shared" si="4"/>
        <v>0</v>
      </c>
      <c r="AI35" s="44">
        <f t="shared" si="5"/>
        <v>0</v>
      </c>
      <c r="AJ35" s="44">
        <f t="shared" si="6"/>
        <v>0</v>
      </c>
      <c r="AK35" s="44">
        <f t="shared" si="9"/>
        <v>0</v>
      </c>
      <c r="AL35" s="44">
        <f t="shared" si="10"/>
        <v>0</v>
      </c>
      <c r="AM35" s="44">
        <f t="shared" si="7"/>
        <v>0</v>
      </c>
      <c r="AN35" s="44" t="s">
        <v>20</v>
      </c>
      <c r="AO35" s="45">
        <f t="shared" si="8"/>
        <v>0</v>
      </c>
    </row>
    <row r="36" spans="1:43" ht="31.8" thickBot="1" x14ac:dyDescent="0.5">
      <c r="A36" s="69"/>
      <c r="B36" s="72" t="s">
        <v>41</v>
      </c>
      <c r="C36" s="20">
        <v>149.87</v>
      </c>
      <c r="D36" s="20">
        <v>14.93</v>
      </c>
      <c r="E36" s="44">
        <f t="shared" si="3"/>
        <v>149.755</v>
      </c>
      <c r="F36" s="20">
        <v>119.212</v>
      </c>
      <c r="G36" s="20">
        <v>15.632</v>
      </c>
      <c r="H36" s="21">
        <v>14.911</v>
      </c>
      <c r="I36" s="21"/>
      <c r="J36" s="21"/>
      <c r="K36" s="21"/>
      <c r="L36" s="21"/>
      <c r="M36" s="21">
        <f>134.844-15.632</f>
        <v>119.21199999999999</v>
      </c>
      <c r="N36" s="21">
        <v>15.632</v>
      </c>
      <c r="O36" s="44">
        <f t="shared" si="15"/>
        <v>134.84399999999999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1"/>
      <c r="AD36" s="21"/>
      <c r="AE36" s="21"/>
      <c r="AF36" s="20"/>
      <c r="AG36" s="20"/>
      <c r="AH36" s="44">
        <f t="shared" si="4"/>
        <v>0</v>
      </c>
      <c r="AI36" s="44">
        <f t="shared" si="5"/>
        <v>134.84399999999999</v>
      </c>
      <c r="AJ36" s="44">
        <f t="shared" si="6"/>
        <v>1.4210854715202004E-14</v>
      </c>
      <c r="AK36" s="44">
        <f t="shared" si="9"/>
        <v>0</v>
      </c>
      <c r="AL36" s="44">
        <f t="shared" si="10"/>
        <v>14.911</v>
      </c>
      <c r="AM36" s="44">
        <f t="shared" si="7"/>
        <v>14.911000000000014</v>
      </c>
      <c r="AN36" s="44" t="s">
        <v>20</v>
      </c>
      <c r="AO36" s="45">
        <f t="shared" si="8"/>
        <v>15.026000000000016</v>
      </c>
    </row>
    <row r="37" spans="1:43" ht="31.2" x14ac:dyDescent="0.45">
      <c r="A37" s="61"/>
      <c r="B37" s="70" t="s">
        <v>42</v>
      </c>
      <c r="C37" s="20">
        <v>283.55</v>
      </c>
      <c r="D37" s="20">
        <v>27.2</v>
      </c>
      <c r="E37" s="44">
        <f t="shared" si="3"/>
        <v>283.363</v>
      </c>
      <c r="F37" s="20">
        <v>228.51300000000001</v>
      </c>
      <c r="G37" s="20">
        <v>27.263999999999999</v>
      </c>
      <c r="H37" s="21">
        <v>27.585999999999999</v>
      </c>
      <c r="I37" s="21"/>
      <c r="J37" s="21"/>
      <c r="K37" s="21"/>
      <c r="L37" s="21">
        <v>0.8</v>
      </c>
      <c r="M37" s="21">
        <v>228.51300000000001</v>
      </c>
      <c r="N37" s="21">
        <v>27.263999999999999</v>
      </c>
      <c r="O37" s="44">
        <f t="shared" si="15"/>
        <v>256.577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1"/>
      <c r="AD37" s="21"/>
      <c r="AE37" s="21"/>
      <c r="AF37" s="20"/>
      <c r="AG37" s="20"/>
      <c r="AH37" s="44">
        <f t="shared" si="4"/>
        <v>0</v>
      </c>
      <c r="AI37" s="44">
        <f t="shared" si="5"/>
        <v>256.577</v>
      </c>
      <c r="AJ37" s="44">
        <f t="shared" si="6"/>
        <v>0</v>
      </c>
      <c r="AK37" s="44">
        <f t="shared" si="9"/>
        <v>0</v>
      </c>
      <c r="AL37" s="44">
        <f t="shared" si="10"/>
        <v>27.585999999999999</v>
      </c>
      <c r="AM37" s="44">
        <f t="shared" si="7"/>
        <v>27.585999999999999</v>
      </c>
      <c r="AN37" s="44" t="s">
        <v>20</v>
      </c>
      <c r="AO37" s="45">
        <f t="shared" si="8"/>
        <v>27.773000000000007</v>
      </c>
    </row>
    <row r="38" spans="1:43" ht="31.2" x14ac:dyDescent="0.45">
      <c r="A38" s="65"/>
      <c r="B38" s="71" t="s">
        <v>43</v>
      </c>
      <c r="C38" s="20">
        <v>141.9</v>
      </c>
      <c r="D38" s="20">
        <v>13.65</v>
      </c>
      <c r="E38" s="44">
        <f t="shared" si="3"/>
        <v>141.69899999999998</v>
      </c>
      <c r="F38" s="20">
        <v>114.134</v>
      </c>
      <c r="G38" s="20">
        <v>13.77</v>
      </c>
      <c r="H38" s="21">
        <v>13.795</v>
      </c>
      <c r="I38" s="21"/>
      <c r="J38" s="21"/>
      <c r="K38" s="21"/>
      <c r="L38" s="21">
        <v>0.4</v>
      </c>
      <c r="M38" s="21">
        <v>114.134</v>
      </c>
      <c r="N38" s="21">
        <v>13.77</v>
      </c>
      <c r="O38" s="44">
        <f t="shared" si="15"/>
        <v>128.304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1"/>
      <c r="AD38" s="21"/>
      <c r="AE38" s="21"/>
      <c r="AF38" s="20"/>
      <c r="AG38" s="20"/>
      <c r="AH38" s="44">
        <f t="shared" si="4"/>
        <v>0</v>
      </c>
      <c r="AI38" s="44">
        <f t="shared" si="5"/>
        <v>128.304</v>
      </c>
      <c r="AJ38" s="44">
        <f t="shared" si="6"/>
        <v>0</v>
      </c>
      <c r="AK38" s="44">
        <f t="shared" si="9"/>
        <v>0</v>
      </c>
      <c r="AL38" s="44">
        <f t="shared" si="10"/>
        <v>13.795</v>
      </c>
      <c r="AM38" s="44">
        <f t="shared" si="7"/>
        <v>13.795</v>
      </c>
      <c r="AN38" s="44" t="s">
        <v>20</v>
      </c>
      <c r="AO38" s="45">
        <f t="shared" si="8"/>
        <v>13.996000000000006</v>
      </c>
    </row>
    <row r="39" spans="1:43" ht="46.8" x14ac:dyDescent="0.45">
      <c r="A39" s="65"/>
      <c r="B39" s="71" t="s">
        <v>44</v>
      </c>
      <c r="C39" s="20">
        <v>10</v>
      </c>
      <c r="D39" s="20">
        <v>10</v>
      </c>
      <c r="E39" s="44">
        <f t="shared" si="3"/>
        <v>0</v>
      </c>
      <c r="F39" s="20"/>
      <c r="G39" s="20"/>
      <c r="H39" s="21"/>
      <c r="I39" s="21"/>
      <c r="J39" s="21"/>
      <c r="K39" s="21"/>
      <c r="L39" s="21"/>
      <c r="M39" s="21"/>
      <c r="N39" s="21"/>
      <c r="O39" s="44">
        <f t="shared" si="15"/>
        <v>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1"/>
      <c r="AD39" s="21"/>
      <c r="AE39" s="21"/>
      <c r="AF39" s="20"/>
      <c r="AG39" s="20"/>
      <c r="AH39" s="44">
        <f t="shared" si="4"/>
        <v>0</v>
      </c>
      <c r="AI39" s="44">
        <f t="shared" si="5"/>
        <v>0</v>
      </c>
      <c r="AJ39" s="44">
        <f t="shared" si="6"/>
        <v>0</v>
      </c>
      <c r="AK39" s="44">
        <f t="shared" si="9"/>
        <v>0</v>
      </c>
      <c r="AL39" s="44">
        <f t="shared" si="10"/>
        <v>0</v>
      </c>
      <c r="AM39" s="44">
        <f t="shared" si="7"/>
        <v>0</v>
      </c>
      <c r="AN39" s="44" t="s">
        <v>20</v>
      </c>
      <c r="AO39" s="45">
        <f t="shared" si="8"/>
        <v>10</v>
      </c>
    </row>
    <row r="40" spans="1:43" ht="78" x14ac:dyDescent="0.45">
      <c r="A40" s="65"/>
      <c r="B40" s="71" t="s">
        <v>45</v>
      </c>
      <c r="C40" s="20"/>
      <c r="D40" s="20"/>
      <c r="E40" s="44">
        <f t="shared" si="3"/>
        <v>0</v>
      </c>
      <c r="F40" s="20"/>
      <c r="G40" s="20"/>
      <c r="H40" s="21"/>
      <c r="I40" s="21"/>
      <c r="J40" s="21"/>
      <c r="K40" s="21"/>
      <c r="L40" s="21"/>
      <c r="M40" s="21"/>
      <c r="N40" s="21"/>
      <c r="O40" s="44">
        <f t="shared" si="15"/>
        <v>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1"/>
      <c r="AD40" s="21"/>
      <c r="AE40" s="21"/>
      <c r="AF40" s="20"/>
      <c r="AG40" s="20"/>
      <c r="AH40" s="44">
        <f t="shared" si="4"/>
        <v>0</v>
      </c>
      <c r="AI40" s="44">
        <f t="shared" si="5"/>
        <v>0</v>
      </c>
      <c r="AJ40" s="44">
        <f t="shared" si="6"/>
        <v>0</v>
      </c>
      <c r="AK40" s="44">
        <f t="shared" si="9"/>
        <v>0</v>
      </c>
      <c r="AL40" s="44">
        <f t="shared" si="10"/>
        <v>0</v>
      </c>
      <c r="AM40" s="44">
        <f t="shared" si="7"/>
        <v>0</v>
      </c>
      <c r="AN40" s="44" t="s">
        <v>20</v>
      </c>
      <c r="AO40" s="45">
        <f t="shared" si="8"/>
        <v>0</v>
      </c>
    </row>
    <row r="41" spans="1:43" ht="78" x14ac:dyDescent="0.45">
      <c r="A41" s="65"/>
      <c r="B41" s="71" t="s">
        <v>46</v>
      </c>
      <c r="C41" s="20">
        <v>12.06</v>
      </c>
      <c r="D41" s="20"/>
      <c r="E41" s="44">
        <f t="shared" si="3"/>
        <v>11.474</v>
      </c>
      <c r="F41" s="20">
        <v>6.15</v>
      </c>
      <c r="G41" s="21">
        <v>5.3239999999999998</v>
      </c>
      <c r="H41" s="21"/>
      <c r="I41" s="21"/>
      <c r="J41" s="21"/>
      <c r="K41" s="21"/>
      <c r="L41" s="21"/>
      <c r="M41" s="21">
        <f>6.079+0.071</f>
        <v>6.1499999999999995</v>
      </c>
      <c r="N41" s="21">
        <f>3.564-0.071</f>
        <v>3.4929999999999999</v>
      </c>
      <c r="O41" s="44">
        <f t="shared" si="15"/>
        <v>9.6429999999999989</v>
      </c>
      <c r="P41" s="20"/>
      <c r="Q41" s="20">
        <v>0.14199999999999999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1"/>
      <c r="AD41" s="21"/>
      <c r="AE41" s="21"/>
      <c r="AF41" s="20"/>
      <c r="AG41" s="20"/>
      <c r="AH41" s="44">
        <f t="shared" si="4"/>
        <v>0.14199999999999999</v>
      </c>
      <c r="AI41" s="44">
        <f t="shared" si="5"/>
        <v>9.7849999999999984</v>
      </c>
      <c r="AJ41" s="44">
        <f t="shared" si="6"/>
        <v>8.8817841970012523E-16</v>
      </c>
      <c r="AK41" s="44">
        <f t="shared" si="9"/>
        <v>1.6890000000000001</v>
      </c>
      <c r="AL41" s="44">
        <f t="shared" si="10"/>
        <v>0</v>
      </c>
      <c r="AM41" s="44">
        <f t="shared" si="7"/>
        <v>1.6890000000000009</v>
      </c>
      <c r="AN41" s="44" t="s">
        <v>20</v>
      </c>
      <c r="AO41" s="45">
        <f t="shared" si="8"/>
        <v>2.2750000000000012</v>
      </c>
    </row>
    <row r="42" spans="1:43" ht="47.4" thickBot="1" x14ac:dyDescent="0.5">
      <c r="A42" s="69"/>
      <c r="B42" s="72" t="s">
        <v>47</v>
      </c>
      <c r="C42" s="22">
        <v>8.06</v>
      </c>
      <c r="D42" s="22">
        <v>0.34</v>
      </c>
      <c r="E42" s="38">
        <f t="shared" si="3"/>
        <v>6.9790000000000001</v>
      </c>
      <c r="F42" s="22">
        <v>5.67</v>
      </c>
      <c r="G42" s="18">
        <v>1.3089999999999999</v>
      </c>
      <c r="H42" s="18"/>
      <c r="I42" s="18"/>
      <c r="J42" s="18"/>
      <c r="K42" s="18"/>
      <c r="L42" s="18"/>
      <c r="M42" s="18">
        <f>5.661+0.009</f>
        <v>5.67</v>
      </c>
      <c r="N42" s="18">
        <f>0.868-0.009</f>
        <v>0.85899999999999999</v>
      </c>
      <c r="O42" s="38">
        <f t="shared" si="15"/>
        <v>6.5289999999999999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8"/>
      <c r="AD42" s="18"/>
      <c r="AE42" s="18"/>
      <c r="AF42" s="22"/>
      <c r="AG42" s="22"/>
      <c r="AH42" s="38">
        <f t="shared" si="4"/>
        <v>0</v>
      </c>
      <c r="AI42" s="38">
        <f t="shared" si="5"/>
        <v>6.5289999999999999</v>
      </c>
      <c r="AJ42" s="38">
        <f t="shared" si="6"/>
        <v>0</v>
      </c>
      <c r="AK42" s="38">
        <f t="shared" si="9"/>
        <v>0.44999999999999996</v>
      </c>
      <c r="AL42" s="38">
        <f t="shared" si="10"/>
        <v>0</v>
      </c>
      <c r="AM42" s="38">
        <f t="shared" si="7"/>
        <v>0.44999999999999996</v>
      </c>
      <c r="AN42" s="38" t="s">
        <v>20</v>
      </c>
      <c r="AO42" s="39">
        <f t="shared" si="8"/>
        <v>1.5310000000000006</v>
      </c>
    </row>
    <row r="43" spans="1:43" s="99" customFormat="1" ht="34.5" customHeight="1" thickBot="1" x14ac:dyDescent="0.5">
      <c r="A43" s="106">
        <v>3</v>
      </c>
      <c r="B43" s="107" t="s">
        <v>48</v>
      </c>
      <c r="C43" s="48">
        <f t="shared" ref="C43:AI43" si="16">C44+C45+C46+C57</f>
        <v>6966.26</v>
      </c>
      <c r="D43" s="48">
        <f t="shared" si="16"/>
        <v>707.03000000000009</v>
      </c>
      <c r="E43" s="48">
        <f t="shared" si="16"/>
        <v>6473.6840000000002</v>
      </c>
      <c r="F43" s="48">
        <f t="shared" si="16"/>
        <v>5637.0229999999992</v>
      </c>
      <c r="G43" s="48">
        <f t="shared" si="16"/>
        <v>283.70799999999997</v>
      </c>
      <c r="H43" s="48">
        <f t="shared" si="16"/>
        <v>552.95300000000009</v>
      </c>
      <c r="I43" s="48">
        <f t="shared" si="16"/>
        <v>59.21</v>
      </c>
      <c r="J43" s="48">
        <f t="shared" si="16"/>
        <v>0</v>
      </c>
      <c r="K43" s="48">
        <f t="shared" si="16"/>
        <v>0</v>
      </c>
      <c r="L43" s="48">
        <f t="shared" si="16"/>
        <v>25.560000000000002</v>
      </c>
      <c r="M43" s="48">
        <f t="shared" si="16"/>
        <v>5582.57</v>
      </c>
      <c r="N43" s="48">
        <f t="shared" si="16"/>
        <v>151.691</v>
      </c>
      <c r="O43" s="48">
        <f t="shared" si="16"/>
        <v>5759.8209999999999</v>
      </c>
      <c r="P43" s="48">
        <f t="shared" si="16"/>
        <v>3.5109999999999997</v>
      </c>
      <c r="Q43" s="48">
        <f t="shared" si="16"/>
        <v>60.814999999999998</v>
      </c>
      <c r="R43" s="48">
        <f t="shared" si="16"/>
        <v>293.94499999999999</v>
      </c>
      <c r="S43" s="48">
        <f t="shared" si="16"/>
        <v>0</v>
      </c>
      <c r="T43" s="48">
        <f t="shared" si="16"/>
        <v>0</v>
      </c>
      <c r="U43" s="48">
        <f t="shared" si="16"/>
        <v>0</v>
      </c>
      <c r="V43" s="48">
        <f t="shared" si="16"/>
        <v>0</v>
      </c>
      <c r="W43" s="48">
        <f t="shared" si="16"/>
        <v>0</v>
      </c>
      <c r="X43" s="48">
        <f t="shared" si="16"/>
        <v>0</v>
      </c>
      <c r="Y43" s="48">
        <f t="shared" si="16"/>
        <v>0</v>
      </c>
      <c r="Z43" s="48">
        <f t="shared" si="16"/>
        <v>0</v>
      </c>
      <c r="AA43" s="48">
        <f t="shared" si="16"/>
        <v>0</v>
      </c>
      <c r="AB43" s="48">
        <f t="shared" si="16"/>
        <v>0</v>
      </c>
      <c r="AC43" s="48">
        <f t="shared" si="16"/>
        <v>0</v>
      </c>
      <c r="AD43" s="48">
        <f t="shared" si="16"/>
        <v>0</v>
      </c>
      <c r="AE43" s="48">
        <f t="shared" si="16"/>
        <v>0</v>
      </c>
      <c r="AF43" s="48">
        <f t="shared" si="16"/>
        <v>0</v>
      </c>
      <c r="AG43" s="48">
        <f t="shared" si="16"/>
        <v>0</v>
      </c>
      <c r="AH43" s="48">
        <f t="shared" si="16"/>
        <v>358.27100000000002</v>
      </c>
      <c r="AI43" s="48">
        <f t="shared" si="16"/>
        <v>6118.0919999999996</v>
      </c>
      <c r="AJ43" s="46">
        <f t="shared" si="6"/>
        <v>50.941999999999517</v>
      </c>
      <c r="AK43" s="46">
        <f t="shared" si="9"/>
        <v>71.20199999999997</v>
      </c>
      <c r="AL43" s="46">
        <f t="shared" si="10"/>
        <v>259.0080000000001</v>
      </c>
      <c r="AM43" s="46">
        <f t="shared" si="7"/>
        <v>381.15199999999959</v>
      </c>
      <c r="AN43" s="46" t="s">
        <v>20</v>
      </c>
      <c r="AO43" s="47">
        <f t="shared" si="8"/>
        <v>873.72800000000052</v>
      </c>
      <c r="AP43" s="102"/>
      <c r="AQ43" s="102"/>
    </row>
    <row r="44" spans="1:43" ht="25.2" x14ac:dyDescent="0.45">
      <c r="A44" s="73" t="s">
        <v>49</v>
      </c>
      <c r="B44" s="76" t="s">
        <v>50</v>
      </c>
      <c r="C44" s="19">
        <v>4403.07</v>
      </c>
      <c r="D44" s="19">
        <v>433.24</v>
      </c>
      <c r="E44" s="42">
        <f t="shared" si="3"/>
        <v>4149.2150000000001</v>
      </c>
      <c r="F44" s="19">
        <v>3579.95</v>
      </c>
      <c r="G44" s="19">
        <v>170.203</v>
      </c>
      <c r="H44" s="16">
        <f>166.66+8.715+10.412+26.86+1.665+6.75+64.828+70.363+42.809</f>
        <v>399.06200000000001</v>
      </c>
      <c r="I44" s="16">
        <f>8.944+11+11.036+5.21+6.619</f>
        <v>42.809000000000005</v>
      </c>
      <c r="J44" s="16"/>
      <c r="K44" s="16"/>
      <c r="L44" s="16">
        <v>17</v>
      </c>
      <c r="M44" s="16">
        <f>3706.906-17-109.956</f>
        <v>3579.95</v>
      </c>
      <c r="N44" s="16">
        <f>109.956</f>
        <v>109.956</v>
      </c>
      <c r="O44" s="42">
        <f t="shared" ref="O44:O45" si="17">L44+N44+M44</f>
        <v>3706.9059999999999</v>
      </c>
      <c r="P44" s="19"/>
      <c r="Q44" s="19">
        <f>12.706+47.541</f>
        <v>60.247</v>
      </c>
      <c r="R44" s="19">
        <f>5.119+5.574+201.954</f>
        <v>212.64700000000002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6"/>
      <c r="AD44" s="16"/>
      <c r="AE44" s="16"/>
      <c r="AF44" s="19"/>
      <c r="AG44" s="19"/>
      <c r="AH44" s="42">
        <f t="shared" si="4"/>
        <v>272.89400000000001</v>
      </c>
      <c r="AI44" s="42">
        <f t="shared" si="5"/>
        <v>3979.8</v>
      </c>
      <c r="AJ44" s="42">
        <f t="shared" si="6"/>
        <v>0</v>
      </c>
      <c r="AK44" s="42">
        <f t="shared" si="9"/>
        <v>0</v>
      </c>
      <c r="AL44" s="42">
        <f t="shared" si="10"/>
        <v>186.41499999999999</v>
      </c>
      <c r="AM44" s="42">
        <f t="shared" si="7"/>
        <v>186.41499999999999</v>
      </c>
      <c r="AN44" s="42" t="s">
        <v>20</v>
      </c>
      <c r="AO44" s="43">
        <f t="shared" si="8"/>
        <v>440.26999999999987</v>
      </c>
    </row>
    <row r="45" spans="1:43" ht="39.75" customHeight="1" x14ac:dyDescent="0.45">
      <c r="A45" s="74" t="s">
        <v>51</v>
      </c>
      <c r="B45" s="67" t="s">
        <v>52</v>
      </c>
      <c r="C45" s="20">
        <v>1605.66</v>
      </c>
      <c r="D45" s="20">
        <v>163.66</v>
      </c>
      <c r="E45" s="44">
        <f t="shared" si="3"/>
        <v>1481.6220000000001</v>
      </c>
      <c r="F45" s="20">
        <v>1298.5</v>
      </c>
      <c r="G45" s="20">
        <v>41.372999999999998</v>
      </c>
      <c r="H45" s="21">
        <f>69.236+3.452+4.515+1.986+0.55+2.6+21.429+22.429+15.552</f>
        <v>141.749</v>
      </c>
      <c r="I45" s="21">
        <f>3.277+4.048+4.062+1.917+2.248</f>
        <v>15.552</v>
      </c>
      <c r="J45" s="21"/>
      <c r="K45" s="21"/>
      <c r="L45" s="21"/>
      <c r="M45" s="21">
        <f>1339.873-41.373</f>
        <v>1298.5</v>
      </c>
      <c r="N45" s="21">
        <v>41.372999999999998</v>
      </c>
      <c r="O45" s="44">
        <f t="shared" si="17"/>
        <v>1339.873</v>
      </c>
      <c r="P45" s="20"/>
      <c r="Q45" s="20"/>
      <c r="R45" s="20">
        <f>26.852+29.663+12.176+10.498</f>
        <v>79.189000000000007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1"/>
      <c r="AD45" s="21"/>
      <c r="AE45" s="21"/>
      <c r="AF45" s="20"/>
      <c r="AG45" s="20"/>
      <c r="AH45" s="44">
        <f t="shared" si="4"/>
        <v>79.189000000000007</v>
      </c>
      <c r="AI45" s="44">
        <f t="shared" si="5"/>
        <v>1419.0620000000001</v>
      </c>
      <c r="AJ45" s="44">
        <f t="shared" si="6"/>
        <v>0</v>
      </c>
      <c r="AK45" s="44">
        <f t="shared" si="9"/>
        <v>0</v>
      </c>
      <c r="AL45" s="44">
        <f t="shared" si="10"/>
        <v>62.559999999999988</v>
      </c>
      <c r="AM45" s="44">
        <f t="shared" si="7"/>
        <v>62.559999999999988</v>
      </c>
      <c r="AN45" s="44" t="s">
        <v>20</v>
      </c>
      <c r="AO45" s="45">
        <f t="shared" si="8"/>
        <v>186.59800000000007</v>
      </c>
    </row>
    <row r="46" spans="1:43" s="99" customFormat="1" ht="37.5" customHeight="1" x14ac:dyDescent="0.45">
      <c r="A46" s="108" t="s">
        <v>53</v>
      </c>
      <c r="B46" s="109" t="s">
        <v>54</v>
      </c>
      <c r="C46" s="49">
        <f t="shared" ref="C46:AI46" si="18">C47+C48+C49+C50+C56</f>
        <v>956.47</v>
      </c>
      <c r="D46" s="49">
        <f t="shared" si="18"/>
        <v>110.06</v>
      </c>
      <c r="E46" s="49">
        <f t="shared" si="18"/>
        <v>842.22300000000007</v>
      </c>
      <c r="F46" s="49">
        <f t="shared" si="18"/>
        <v>757.9670000000001</v>
      </c>
      <c r="G46" s="49">
        <f t="shared" si="18"/>
        <v>72.114000000000004</v>
      </c>
      <c r="H46" s="49">
        <f t="shared" si="18"/>
        <v>12.141999999999999</v>
      </c>
      <c r="I46" s="49">
        <f t="shared" si="18"/>
        <v>0.84899999999999998</v>
      </c>
      <c r="J46" s="49">
        <f t="shared" si="18"/>
        <v>0</v>
      </c>
      <c r="K46" s="49">
        <f t="shared" si="18"/>
        <v>0</v>
      </c>
      <c r="L46" s="49">
        <f t="shared" si="18"/>
        <v>8.56</v>
      </c>
      <c r="M46" s="49">
        <f t="shared" si="18"/>
        <v>703.57300000000009</v>
      </c>
      <c r="N46" s="49">
        <f t="shared" si="18"/>
        <v>0.34399999999999997</v>
      </c>
      <c r="O46" s="49">
        <f t="shared" si="18"/>
        <v>712.47700000000009</v>
      </c>
      <c r="P46" s="49">
        <f t="shared" si="18"/>
        <v>3.5109999999999997</v>
      </c>
      <c r="Q46" s="49">
        <f t="shared" si="18"/>
        <v>0.56799999999999995</v>
      </c>
      <c r="R46" s="49">
        <f t="shared" si="18"/>
        <v>2.1089999999999995</v>
      </c>
      <c r="S46" s="49">
        <f t="shared" si="18"/>
        <v>0</v>
      </c>
      <c r="T46" s="49">
        <f t="shared" si="18"/>
        <v>0</v>
      </c>
      <c r="U46" s="49">
        <f t="shared" si="18"/>
        <v>0</v>
      </c>
      <c r="V46" s="49">
        <f t="shared" si="18"/>
        <v>0</v>
      </c>
      <c r="W46" s="49">
        <f t="shared" si="18"/>
        <v>0</v>
      </c>
      <c r="X46" s="49">
        <f t="shared" si="18"/>
        <v>0</v>
      </c>
      <c r="Y46" s="49">
        <f t="shared" si="18"/>
        <v>0</v>
      </c>
      <c r="Z46" s="49">
        <f t="shared" si="18"/>
        <v>0</v>
      </c>
      <c r="AA46" s="49">
        <f t="shared" si="18"/>
        <v>0</v>
      </c>
      <c r="AB46" s="49">
        <f t="shared" si="18"/>
        <v>0</v>
      </c>
      <c r="AC46" s="49">
        <f t="shared" si="18"/>
        <v>0</v>
      </c>
      <c r="AD46" s="49">
        <f t="shared" si="18"/>
        <v>0</v>
      </c>
      <c r="AE46" s="49">
        <f t="shared" si="18"/>
        <v>0</v>
      </c>
      <c r="AF46" s="49">
        <f t="shared" si="18"/>
        <v>0</v>
      </c>
      <c r="AG46" s="49">
        <f t="shared" si="18"/>
        <v>0</v>
      </c>
      <c r="AH46" s="49">
        <f t="shared" si="18"/>
        <v>6.1879999999999988</v>
      </c>
      <c r="AI46" s="49">
        <f t="shared" si="18"/>
        <v>718.66499999999996</v>
      </c>
      <c r="AJ46" s="44">
        <f t="shared" si="6"/>
        <v>50.883000000000003</v>
      </c>
      <c r="AK46" s="44">
        <f t="shared" si="9"/>
        <v>71.202000000000012</v>
      </c>
      <c r="AL46" s="44">
        <f t="shared" si="10"/>
        <v>10.032999999999999</v>
      </c>
      <c r="AM46" s="44">
        <f t="shared" si="7"/>
        <v>132.11799999999999</v>
      </c>
      <c r="AN46" s="44" t="s">
        <v>20</v>
      </c>
      <c r="AO46" s="45">
        <f t="shared" si="8"/>
        <v>246.36499999999995</v>
      </c>
      <c r="AP46" s="102"/>
      <c r="AQ46" s="102"/>
    </row>
    <row r="47" spans="1:43" ht="45" customHeight="1" x14ac:dyDescent="0.45">
      <c r="A47" s="65"/>
      <c r="B47" s="67" t="s">
        <v>55</v>
      </c>
      <c r="C47" s="20">
        <v>94.23</v>
      </c>
      <c r="D47" s="20">
        <v>6.34</v>
      </c>
      <c r="E47" s="44">
        <f t="shared" si="3"/>
        <v>86.989000000000004</v>
      </c>
      <c r="F47" s="20">
        <v>82.09</v>
      </c>
      <c r="G47" s="20">
        <v>3.242</v>
      </c>
      <c r="H47" s="21">
        <f>0.483+1+0.174</f>
        <v>1.657</v>
      </c>
      <c r="I47" s="21"/>
      <c r="J47" s="21"/>
      <c r="K47" s="21"/>
      <c r="L47" s="21">
        <v>0.18</v>
      </c>
      <c r="M47" s="21">
        <f>55.091-L47</f>
        <v>54.911000000000001</v>
      </c>
      <c r="N47" s="21"/>
      <c r="O47" s="44">
        <f t="shared" ref="O47:O49" si="19">L47+N47+M47</f>
        <v>55.091000000000001</v>
      </c>
      <c r="P47" s="20"/>
      <c r="Q47" s="20">
        <v>0.35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  <c r="AD47" s="21"/>
      <c r="AE47" s="21"/>
      <c r="AF47" s="20"/>
      <c r="AG47" s="20"/>
      <c r="AH47" s="44">
        <f t="shared" si="4"/>
        <v>0.35</v>
      </c>
      <c r="AI47" s="44">
        <f t="shared" si="5"/>
        <v>55.441000000000003</v>
      </c>
      <c r="AJ47" s="44">
        <f t="shared" si="6"/>
        <v>27.179000000000002</v>
      </c>
      <c r="AK47" s="44">
        <f t="shared" si="9"/>
        <v>2.8919999999999999</v>
      </c>
      <c r="AL47" s="44">
        <f t="shared" si="10"/>
        <v>1.657</v>
      </c>
      <c r="AM47" s="44">
        <f t="shared" si="7"/>
        <v>31.728000000000002</v>
      </c>
      <c r="AN47" s="44" t="s">
        <v>20</v>
      </c>
      <c r="AO47" s="45">
        <f t="shared" si="8"/>
        <v>38.969000000000001</v>
      </c>
    </row>
    <row r="48" spans="1:43" ht="33" customHeight="1" x14ac:dyDescent="0.45">
      <c r="A48" s="65"/>
      <c r="B48" s="67" t="s">
        <v>56</v>
      </c>
      <c r="C48" s="20">
        <v>619.1</v>
      </c>
      <c r="D48" s="20">
        <v>64.900000000000006</v>
      </c>
      <c r="E48" s="44">
        <f t="shared" si="3"/>
        <v>554.91399999999999</v>
      </c>
      <c r="F48" s="20">
        <v>490.4</v>
      </c>
      <c r="G48" s="20">
        <v>56.064</v>
      </c>
      <c r="H48" s="21">
        <f>1.717+0.392+4.91+0.343+0.125+0.114+0.849</f>
        <v>8.4499999999999993</v>
      </c>
      <c r="I48" s="21">
        <f>0.21+0.21+0.013+0.006+0.41</f>
        <v>0.84899999999999998</v>
      </c>
      <c r="J48" s="21"/>
      <c r="K48" s="21"/>
      <c r="L48" s="21">
        <v>3</v>
      </c>
      <c r="M48" s="21">
        <f>471.581-N48</f>
        <v>471.42500000000001</v>
      </c>
      <c r="N48" s="21">
        <v>0.156</v>
      </c>
      <c r="O48" s="44">
        <f t="shared" si="19"/>
        <v>474.58100000000002</v>
      </c>
      <c r="P48" s="20">
        <v>1.8539999999999999</v>
      </c>
      <c r="Q48" s="20"/>
      <c r="R48" s="20">
        <v>2.1089999999999995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1"/>
      <c r="AD48" s="21"/>
      <c r="AE48" s="21"/>
      <c r="AF48" s="20"/>
      <c r="AG48" s="20"/>
      <c r="AH48" s="44">
        <f t="shared" si="4"/>
        <v>3.9629999999999992</v>
      </c>
      <c r="AI48" s="44">
        <f t="shared" si="5"/>
        <v>478.54400000000004</v>
      </c>
      <c r="AJ48" s="44">
        <f t="shared" si="6"/>
        <v>17.120999999999967</v>
      </c>
      <c r="AK48" s="44">
        <f t="shared" si="9"/>
        <v>55.908000000000001</v>
      </c>
      <c r="AL48" s="44">
        <f t="shared" si="10"/>
        <v>6.3409999999999993</v>
      </c>
      <c r="AM48" s="44">
        <f t="shared" si="7"/>
        <v>79.369999999999962</v>
      </c>
      <c r="AN48" s="44" t="s">
        <v>20</v>
      </c>
      <c r="AO48" s="45">
        <f t="shared" si="8"/>
        <v>143.55600000000001</v>
      </c>
    </row>
    <row r="49" spans="1:43" ht="25.2" x14ac:dyDescent="0.45">
      <c r="A49" s="65"/>
      <c r="B49" s="67" t="s">
        <v>57</v>
      </c>
      <c r="C49" s="20">
        <v>81.819999999999993</v>
      </c>
      <c r="D49" s="20">
        <v>9.35</v>
      </c>
      <c r="E49" s="44">
        <f t="shared" si="3"/>
        <v>70.551000000000002</v>
      </c>
      <c r="F49" s="20">
        <f>68.516-G49</f>
        <v>60.882000000000005</v>
      </c>
      <c r="G49" s="20">
        <v>7.6340000000000003</v>
      </c>
      <c r="H49" s="21">
        <f>0.673+0.182+1.18</f>
        <v>2.0350000000000001</v>
      </c>
      <c r="I49" s="21"/>
      <c r="J49" s="21"/>
      <c r="K49" s="21"/>
      <c r="L49" s="21">
        <v>1.52</v>
      </c>
      <c r="M49" s="21">
        <f>45.951+7.327</f>
        <v>53.277999999999999</v>
      </c>
      <c r="N49" s="21"/>
      <c r="O49" s="44">
        <f t="shared" si="19"/>
        <v>54.798000000000002</v>
      </c>
      <c r="P49" s="20">
        <v>1.65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1"/>
      <c r="AD49" s="21"/>
      <c r="AE49" s="21"/>
      <c r="AF49" s="20"/>
      <c r="AG49" s="20"/>
      <c r="AH49" s="44">
        <f t="shared" si="4"/>
        <v>1.65</v>
      </c>
      <c r="AI49" s="44">
        <f t="shared" si="5"/>
        <v>56.448</v>
      </c>
      <c r="AJ49" s="44">
        <f t="shared" si="6"/>
        <v>5.954000000000006</v>
      </c>
      <c r="AK49" s="44">
        <f t="shared" si="9"/>
        <v>7.6340000000000003</v>
      </c>
      <c r="AL49" s="44">
        <f t="shared" si="10"/>
        <v>2.0350000000000001</v>
      </c>
      <c r="AM49" s="44">
        <f t="shared" si="7"/>
        <v>15.623000000000006</v>
      </c>
      <c r="AN49" s="44" t="s">
        <v>20</v>
      </c>
      <c r="AO49" s="45">
        <f t="shared" si="8"/>
        <v>26.891999999999996</v>
      </c>
    </row>
    <row r="50" spans="1:43" s="99" customFormat="1" ht="31.2" x14ac:dyDescent="0.45">
      <c r="A50" s="110"/>
      <c r="B50" s="109" t="s">
        <v>58</v>
      </c>
      <c r="C50" s="49">
        <f>C51+C52+C53+C55+C54</f>
        <v>161.32</v>
      </c>
      <c r="D50" s="49">
        <f>D51+D52+D53+D55+D54</f>
        <v>29.47</v>
      </c>
      <c r="E50" s="49">
        <f t="shared" ref="E50:AI50" si="20">E51+E52+E53+E55+E54</f>
        <v>129.76900000000001</v>
      </c>
      <c r="F50" s="49">
        <f t="shared" si="20"/>
        <v>124.595</v>
      </c>
      <c r="G50" s="49">
        <f t="shared" si="20"/>
        <v>5.1740000000000004</v>
      </c>
      <c r="H50" s="49">
        <f t="shared" si="20"/>
        <v>0</v>
      </c>
      <c r="I50" s="49">
        <f t="shared" si="20"/>
        <v>0</v>
      </c>
      <c r="J50" s="49">
        <f t="shared" si="20"/>
        <v>0</v>
      </c>
      <c r="K50" s="49">
        <f t="shared" si="20"/>
        <v>0</v>
      </c>
      <c r="L50" s="49">
        <f t="shared" si="20"/>
        <v>3.8600000000000003</v>
      </c>
      <c r="M50" s="49">
        <f t="shared" si="20"/>
        <v>123.959</v>
      </c>
      <c r="N50" s="49">
        <f t="shared" si="20"/>
        <v>0.188</v>
      </c>
      <c r="O50" s="49">
        <f t="shared" si="20"/>
        <v>128.00700000000001</v>
      </c>
      <c r="P50" s="49">
        <f t="shared" si="20"/>
        <v>7.0000000000000001E-3</v>
      </c>
      <c r="Q50" s="49">
        <f t="shared" si="20"/>
        <v>0.218</v>
      </c>
      <c r="R50" s="49">
        <f t="shared" si="20"/>
        <v>0</v>
      </c>
      <c r="S50" s="49">
        <f t="shared" si="20"/>
        <v>0</v>
      </c>
      <c r="T50" s="49">
        <f t="shared" si="20"/>
        <v>0</v>
      </c>
      <c r="U50" s="49">
        <f t="shared" si="20"/>
        <v>0</v>
      </c>
      <c r="V50" s="49">
        <f t="shared" si="20"/>
        <v>0</v>
      </c>
      <c r="W50" s="49">
        <f t="shared" si="20"/>
        <v>0</v>
      </c>
      <c r="X50" s="49">
        <f t="shared" si="20"/>
        <v>0</v>
      </c>
      <c r="Y50" s="49">
        <f t="shared" si="20"/>
        <v>0</v>
      </c>
      <c r="Z50" s="49">
        <f t="shared" si="20"/>
        <v>0</v>
      </c>
      <c r="AA50" s="49">
        <f t="shared" si="20"/>
        <v>0</v>
      </c>
      <c r="AB50" s="49">
        <f t="shared" si="20"/>
        <v>0</v>
      </c>
      <c r="AC50" s="49">
        <f t="shared" si="20"/>
        <v>0</v>
      </c>
      <c r="AD50" s="49">
        <f t="shared" si="20"/>
        <v>0</v>
      </c>
      <c r="AE50" s="49">
        <f t="shared" si="20"/>
        <v>0</v>
      </c>
      <c r="AF50" s="49">
        <f t="shared" si="20"/>
        <v>0</v>
      </c>
      <c r="AG50" s="49">
        <f t="shared" si="20"/>
        <v>0</v>
      </c>
      <c r="AH50" s="49">
        <f t="shared" si="20"/>
        <v>0.22500000000000001</v>
      </c>
      <c r="AI50" s="49">
        <f t="shared" si="20"/>
        <v>128.232</v>
      </c>
      <c r="AJ50" s="44">
        <f t="shared" si="6"/>
        <v>0.62899999999999567</v>
      </c>
      <c r="AK50" s="44">
        <f t="shared" si="9"/>
        <v>4.7680000000000007</v>
      </c>
      <c r="AL50" s="44">
        <f t="shared" si="10"/>
        <v>0</v>
      </c>
      <c r="AM50" s="44">
        <f t="shared" si="7"/>
        <v>5.3969999999999967</v>
      </c>
      <c r="AN50" s="44" t="s">
        <v>20</v>
      </c>
      <c r="AO50" s="45">
        <f t="shared" si="8"/>
        <v>36.947999999999986</v>
      </c>
      <c r="AP50" s="102"/>
      <c r="AQ50" s="102"/>
    </row>
    <row r="51" spans="1:43" ht="25.2" x14ac:dyDescent="0.45">
      <c r="A51" s="65"/>
      <c r="B51" s="77" t="s">
        <v>59</v>
      </c>
      <c r="C51" s="23">
        <v>14.47</v>
      </c>
      <c r="D51" s="23">
        <v>2.97</v>
      </c>
      <c r="E51" s="44">
        <f t="shared" si="3"/>
        <v>11.5</v>
      </c>
      <c r="F51" s="20">
        <v>11.5</v>
      </c>
      <c r="G51" s="23"/>
      <c r="H51" s="24"/>
      <c r="I51" s="24"/>
      <c r="J51" s="24"/>
      <c r="K51" s="24"/>
      <c r="L51" s="24">
        <v>1.33</v>
      </c>
      <c r="M51" s="24">
        <v>11.5</v>
      </c>
      <c r="N51" s="24"/>
      <c r="O51" s="44">
        <f t="shared" ref="O51:O57" si="21">L51+N51+M51</f>
        <v>12.83</v>
      </c>
      <c r="P51" s="20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4"/>
      <c r="AD51" s="24"/>
      <c r="AE51" s="24"/>
      <c r="AF51" s="23"/>
      <c r="AG51" s="23"/>
      <c r="AH51" s="44">
        <f t="shared" si="4"/>
        <v>0</v>
      </c>
      <c r="AI51" s="44">
        <f t="shared" si="5"/>
        <v>12.83</v>
      </c>
      <c r="AJ51" s="44">
        <f t="shared" si="6"/>
        <v>0</v>
      </c>
      <c r="AK51" s="44">
        <f t="shared" si="9"/>
        <v>0</v>
      </c>
      <c r="AL51" s="44">
        <f t="shared" si="10"/>
        <v>0</v>
      </c>
      <c r="AM51" s="44">
        <f t="shared" si="7"/>
        <v>0</v>
      </c>
      <c r="AN51" s="44" t="s">
        <v>20</v>
      </c>
      <c r="AO51" s="45">
        <f t="shared" si="8"/>
        <v>2.9700000000000006</v>
      </c>
    </row>
    <row r="52" spans="1:43" ht="31.2" x14ac:dyDescent="0.45">
      <c r="A52" s="65"/>
      <c r="B52" s="77" t="s">
        <v>60</v>
      </c>
      <c r="C52" s="20">
        <v>4.3499999999999996</v>
      </c>
      <c r="D52" s="20">
        <v>0.44</v>
      </c>
      <c r="E52" s="44">
        <f t="shared" si="3"/>
        <v>2.4449999999999998</v>
      </c>
      <c r="F52" s="20">
        <v>2.4449999999999998</v>
      </c>
      <c r="G52" s="23"/>
      <c r="H52" s="24"/>
      <c r="I52" s="24"/>
      <c r="J52" s="24"/>
      <c r="K52" s="24"/>
      <c r="L52" s="24">
        <v>0.12</v>
      </c>
      <c r="M52" s="24">
        <v>2.1389999999999998</v>
      </c>
      <c r="N52" s="24"/>
      <c r="O52" s="44">
        <f t="shared" si="21"/>
        <v>2.2589999999999999</v>
      </c>
      <c r="P52" s="20">
        <v>7.0000000000000001E-3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4"/>
      <c r="AE52" s="24"/>
      <c r="AF52" s="23"/>
      <c r="AG52" s="23"/>
      <c r="AH52" s="44">
        <f t="shared" si="4"/>
        <v>7.0000000000000001E-3</v>
      </c>
      <c r="AI52" s="44">
        <f t="shared" si="5"/>
        <v>2.266</v>
      </c>
      <c r="AJ52" s="44">
        <f t="shared" si="6"/>
        <v>0.29900000000000004</v>
      </c>
      <c r="AK52" s="44">
        <f t="shared" si="9"/>
        <v>0</v>
      </c>
      <c r="AL52" s="44">
        <f t="shared" si="10"/>
        <v>0</v>
      </c>
      <c r="AM52" s="44">
        <f t="shared" si="7"/>
        <v>0.29900000000000004</v>
      </c>
      <c r="AN52" s="44" t="s">
        <v>20</v>
      </c>
      <c r="AO52" s="45">
        <f t="shared" si="8"/>
        <v>2.2039999999999997</v>
      </c>
    </row>
    <row r="53" spans="1:43" ht="25.2" x14ac:dyDescent="0.45">
      <c r="A53" s="65"/>
      <c r="B53" s="77" t="s">
        <v>61</v>
      </c>
      <c r="C53" s="23">
        <v>52.94</v>
      </c>
      <c r="D53" s="23">
        <v>6.1</v>
      </c>
      <c r="E53" s="44">
        <f t="shared" si="3"/>
        <v>46.573999999999998</v>
      </c>
      <c r="F53" s="20">
        <v>41.4</v>
      </c>
      <c r="G53" s="23">
        <v>5.1740000000000004</v>
      </c>
      <c r="H53" s="24"/>
      <c r="I53" s="24"/>
      <c r="J53" s="24"/>
      <c r="K53" s="24"/>
      <c r="L53" s="24">
        <v>0.41</v>
      </c>
      <c r="M53" s="24">
        <f>41.998-L53-0.188</f>
        <v>41.4</v>
      </c>
      <c r="N53" s="24">
        <v>0.188</v>
      </c>
      <c r="O53" s="44">
        <f t="shared" si="21"/>
        <v>41.997999999999998</v>
      </c>
      <c r="P53" s="20"/>
      <c r="Q53" s="23">
        <v>0.218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4"/>
      <c r="AD53" s="24"/>
      <c r="AE53" s="24"/>
      <c r="AF53" s="23"/>
      <c r="AG53" s="23"/>
      <c r="AH53" s="44">
        <f t="shared" si="4"/>
        <v>0.218</v>
      </c>
      <c r="AI53" s="44">
        <f t="shared" si="5"/>
        <v>42.216000000000001</v>
      </c>
      <c r="AJ53" s="44">
        <f t="shared" si="6"/>
        <v>0</v>
      </c>
      <c r="AK53" s="44">
        <f t="shared" si="9"/>
        <v>4.7680000000000007</v>
      </c>
      <c r="AL53" s="44">
        <f t="shared" si="10"/>
        <v>0</v>
      </c>
      <c r="AM53" s="44">
        <f t="shared" si="7"/>
        <v>4.7680000000000007</v>
      </c>
      <c r="AN53" s="44" t="s">
        <v>20</v>
      </c>
      <c r="AO53" s="45">
        <f t="shared" si="8"/>
        <v>11.133999999999999</v>
      </c>
    </row>
    <row r="54" spans="1:43" ht="25.2" x14ac:dyDescent="0.45">
      <c r="A54" s="65"/>
      <c r="B54" s="77" t="s">
        <v>62</v>
      </c>
      <c r="C54" s="23">
        <v>89.56</v>
      </c>
      <c r="D54" s="23">
        <v>19.96</v>
      </c>
      <c r="E54" s="44">
        <f t="shared" si="3"/>
        <v>69.25</v>
      </c>
      <c r="F54" s="20">
        <v>69.25</v>
      </c>
      <c r="G54" s="23"/>
      <c r="H54" s="24"/>
      <c r="I54" s="24"/>
      <c r="J54" s="24"/>
      <c r="K54" s="24"/>
      <c r="L54" s="24">
        <v>2</v>
      </c>
      <c r="M54" s="24">
        <v>68.92</v>
      </c>
      <c r="N54" s="24"/>
      <c r="O54" s="44">
        <f t="shared" si="21"/>
        <v>70.92</v>
      </c>
      <c r="P54" s="20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4"/>
      <c r="AD54" s="24"/>
      <c r="AE54" s="24"/>
      <c r="AF54" s="23"/>
      <c r="AG54" s="23"/>
      <c r="AH54" s="44">
        <f t="shared" si="4"/>
        <v>0</v>
      </c>
      <c r="AI54" s="44">
        <f t="shared" si="5"/>
        <v>70.92</v>
      </c>
      <c r="AJ54" s="44">
        <f t="shared" si="6"/>
        <v>0.32999999999999829</v>
      </c>
      <c r="AK54" s="44">
        <f t="shared" si="9"/>
        <v>0</v>
      </c>
      <c r="AL54" s="44">
        <f t="shared" si="10"/>
        <v>0</v>
      </c>
      <c r="AM54" s="44">
        <f t="shared" si="7"/>
        <v>0.32999999999999829</v>
      </c>
      <c r="AN54" s="44" t="s">
        <v>20</v>
      </c>
      <c r="AO54" s="45">
        <f t="shared" si="8"/>
        <v>20.64</v>
      </c>
    </row>
    <row r="55" spans="1:43" ht="25.2" x14ac:dyDescent="0.45">
      <c r="A55" s="65"/>
      <c r="B55" s="77" t="s">
        <v>63</v>
      </c>
      <c r="C55" s="23"/>
      <c r="D55" s="23"/>
      <c r="E55" s="44">
        <f t="shared" si="3"/>
        <v>0</v>
      </c>
      <c r="F55" s="20"/>
      <c r="G55" s="23"/>
      <c r="H55" s="24"/>
      <c r="I55" s="24"/>
      <c r="J55" s="24"/>
      <c r="K55" s="24"/>
      <c r="L55" s="24"/>
      <c r="M55" s="24"/>
      <c r="N55" s="24"/>
      <c r="O55" s="44">
        <f t="shared" si="21"/>
        <v>0</v>
      </c>
      <c r="P55" s="20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4"/>
      <c r="AD55" s="24"/>
      <c r="AE55" s="24"/>
      <c r="AF55" s="23"/>
      <c r="AG55" s="23"/>
      <c r="AH55" s="44">
        <f t="shared" si="4"/>
        <v>0</v>
      </c>
      <c r="AI55" s="44">
        <f t="shared" si="5"/>
        <v>0</v>
      </c>
      <c r="AJ55" s="44">
        <f t="shared" si="6"/>
        <v>0</v>
      </c>
      <c r="AK55" s="44">
        <f t="shared" si="9"/>
        <v>0</v>
      </c>
      <c r="AL55" s="44">
        <f t="shared" si="10"/>
        <v>0</v>
      </c>
      <c r="AM55" s="44">
        <f t="shared" si="7"/>
        <v>0</v>
      </c>
      <c r="AN55" s="44" t="s">
        <v>20</v>
      </c>
      <c r="AO55" s="45">
        <f t="shared" si="8"/>
        <v>0</v>
      </c>
    </row>
    <row r="56" spans="1:43" ht="62.4" x14ac:dyDescent="0.45">
      <c r="A56" s="65"/>
      <c r="B56" s="67" t="s">
        <v>64</v>
      </c>
      <c r="C56" s="20"/>
      <c r="D56" s="20"/>
      <c r="E56" s="44">
        <f t="shared" si="3"/>
        <v>0</v>
      </c>
      <c r="F56" s="20"/>
      <c r="G56" s="20"/>
      <c r="H56" s="21"/>
      <c r="I56" s="21"/>
      <c r="J56" s="21"/>
      <c r="K56" s="21"/>
      <c r="L56" s="21"/>
      <c r="M56" s="21"/>
      <c r="N56" s="21"/>
      <c r="O56" s="44">
        <f t="shared" si="21"/>
        <v>0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1"/>
      <c r="AD56" s="21"/>
      <c r="AE56" s="21"/>
      <c r="AF56" s="20"/>
      <c r="AG56" s="20"/>
      <c r="AH56" s="44">
        <f t="shared" si="4"/>
        <v>0</v>
      </c>
      <c r="AI56" s="44">
        <f t="shared" si="5"/>
        <v>0</v>
      </c>
      <c r="AJ56" s="44">
        <f t="shared" si="6"/>
        <v>0</v>
      </c>
      <c r="AK56" s="44">
        <f t="shared" si="9"/>
        <v>0</v>
      </c>
      <c r="AL56" s="44">
        <f t="shared" si="10"/>
        <v>0</v>
      </c>
      <c r="AM56" s="44">
        <f t="shared" si="7"/>
        <v>0</v>
      </c>
      <c r="AN56" s="44" t="s">
        <v>20</v>
      </c>
      <c r="AO56" s="45">
        <f t="shared" si="8"/>
        <v>0</v>
      </c>
    </row>
    <row r="57" spans="1:43" ht="25.8" thickBot="1" x14ac:dyDescent="0.5">
      <c r="A57" s="75" t="s">
        <v>65</v>
      </c>
      <c r="B57" s="78" t="s">
        <v>66</v>
      </c>
      <c r="C57" s="22">
        <v>1.06</v>
      </c>
      <c r="D57" s="22">
        <v>7.0000000000000007E-2</v>
      </c>
      <c r="E57" s="38">
        <f t="shared" si="3"/>
        <v>0.624</v>
      </c>
      <c r="F57" s="22">
        <v>0.60599999999999998</v>
      </c>
      <c r="G57" s="22">
        <v>1.7999999999999999E-2</v>
      </c>
      <c r="H57" s="18"/>
      <c r="I57" s="18"/>
      <c r="J57" s="18"/>
      <c r="K57" s="18"/>
      <c r="L57" s="18"/>
      <c r="M57" s="18">
        <v>0.54700000000000004</v>
      </c>
      <c r="N57" s="18">
        <v>1.7999999999999999E-2</v>
      </c>
      <c r="O57" s="38">
        <f t="shared" si="21"/>
        <v>0.56500000000000006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8"/>
      <c r="AD57" s="18"/>
      <c r="AE57" s="18"/>
      <c r="AF57" s="22"/>
      <c r="AG57" s="22"/>
      <c r="AH57" s="38">
        <f t="shared" si="4"/>
        <v>0</v>
      </c>
      <c r="AI57" s="38">
        <f t="shared" si="5"/>
        <v>0.56500000000000006</v>
      </c>
      <c r="AJ57" s="38">
        <f t="shared" si="6"/>
        <v>5.8999999999999941E-2</v>
      </c>
      <c r="AK57" s="38">
        <f t="shared" si="9"/>
        <v>0</v>
      </c>
      <c r="AL57" s="38">
        <f t="shared" si="10"/>
        <v>0</v>
      </c>
      <c r="AM57" s="38">
        <f t="shared" si="7"/>
        <v>5.8999999999999941E-2</v>
      </c>
      <c r="AN57" s="38" t="s">
        <v>20</v>
      </c>
      <c r="AO57" s="39">
        <f t="shared" si="8"/>
        <v>0.495</v>
      </c>
    </row>
    <row r="58" spans="1:43" s="99" customFormat="1" ht="25.2" thickBot="1" x14ac:dyDescent="0.5">
      <c r="A58" s="106">
        <v>4</v>
      </c>
      <c r="B58" s="111" t="s">
        <v>67</v>
      </c>
      <c r="C58" s="46">
        <f t="shared" ref="C58:AI58" si="22">C59+C60+C61+C62+C63</f>
        <v>20.2</v>
      </c>
      <c r="D58" s="46">
        <f t="shared" si="22"/>
        <v>0</v>
      </c>
      <c r="E58" s="46">
        <f t="shared" si="22"/>
        <v>20.2</v>
      </c>
      <c r="F58" s="46">
        <f t="shared" si="22"/>
        <v>0</v>
      </c>
      <c r="G58" s="46">
        <f t="shared" si="22"/>
        <v>6</v>
      </c>
      <c r="H58" s="46">
        <f t="shared" si="22"/>
        <v>14.2</v>
      </c>
      <c r="I58" s="46">
        <f t="shared" si="22"/>
        <v>0</v>
      </c>
      <c r="J58" s="46">
        <f t="shared" si="22"/>
        <v>0</v>
      </c>
      <c r="K58" s="46">
        <f t="shared" si="22"/>
        <v>0</v>
      </c>
      <c r="L58" s="46">
        <f t="shared" si="22"/>
        <v>0.12</v>
      </c>
      <c r="M58" s="46">
        <f t="shared" si="22"/>
        <v>0</v>
      </c>
      <c r="N58" s="46">
        <f t="shared" si="22"/>
        <v>0</v>
      </c>
      <c r="O58" s="46">
        <f t="shared" si="22"/>
        <v>0.12</v>
      </c>
      <c r="P58" s="46">
        <f t="shared" si="22"/>
        <v>0</v>
      </c>
      <c r="Q58" s="46">
        <f t="shared" si="22"/>
        <v>6</v>
      </c>
      <c r="R58" s="46">
        <f t="shared" si="22"/>
        <v>14.2</v>
      </c>
      <c r="S58" s="46">
        <f t="shared" si="22"/>
        <v>0</v>
      </c>
      <c r="T58" s="46">
        <f t="shared" si="22"/>
        <v>0</v>
      </c>
      <c r="U58" s="46">
        <f t="shared" si="22"/>
        <v>0</v>
      </c>
      <c r="V58" s="46">
        <f t="shared" si="22"/>
        <v>0</v>
      </c>
      <c r="W58" s="46">
        <f t="shared" si="22"/>
        <v>0</v>
      </c>
      <c r="X58" s="46">
        <f t="shared" si="22"/>
        <v>0</v>
      </c>
      <c r="Y58" s="46">
        <f t="shared" si="22"/>
        <v>0</v>
      </c>
      <c r="Z58" s="46">
        <f t="shared" si="22"/>
        <v>0</v>
      </c>
      <c r="AA58" s="46">
        <f t="shared" si="22"/>
        <v>0</v>
      </c>
      <c r="AB58" s="46">
        <f t="shared" si="22"/>
        <v>0</v>
      </c>
      <c r="AC58" s="46">
        <f t="shared" si="22"/>
        <v>0</v>
      </c>
      <c r="AD58" s="46">
        <f t="shared" si="22"/>
        <v>0</v>
      </c>
      <c r="AE58" s="46">
        <f t="shared" si="22"/>
        <v>0</v>
      </c>
      <c r="AF58" s="46">
        <f t="shared" si="22"/>
        <v>0</v>
      </c>
      <c r="AG58" s="46">
        <f t="shared" si="22"/>
        <v>0</v>
      </c>
      <c r="AH58" s="46">
        <f t="shared" si="22"/>
        <v>20.2</v>
      </c>
      <c r="AI58" s="46">
        <f t="shared" si="22"/>
        <v>20.32</v>
      </c>
      <c r="AJ58" s="46">
        <f t="shared" si="6"/>
        <v>0</v>
      </c>
      <c r="AK58" s="46">
        <f t="shared" si="9"/>
        <v>0</v>
      </c>
      <c r="AL58" s="46">
        <f t="shared" si="10"/>
        <v>0</v>
      </c>
      <c r="AM58" s="46">
        <f t="shared" si="7"/>
        <v>0</v>
      </c>
      <c r="AN58" s="46" t="s">
        <v>20</v>
      </c>
      <c r="AO58" s="47">
        <f t="shared" si="8"/>
        <v>0</v>
      </c>
      <c r="AP58" s="102"/>
      <c r="AQ58" s="102"/>
    </row>
    <row r="59" spans="1:43" ht="46.8" x14ac:dyDescent="0.45">
      <c r="A59" s="61"/>
      <c r="B59" s="76" t="s">
        <v>68</v>
      </c>
      <c r="C59" s="19"/>
      <c r="D59" s="19"/>
      <c r="E59" s="42">
        <f t="shared" si="3"/>
        <v>0</v>
      </c>
      <c r="F59" s="19"/>
      <c r="G59" s="19"/>
      <c r="H59" s="16"/>
      <c r="I59" s="16"/>
      <c r="J59" s="16"/>
      <c r="K59" s="16"/>
      <c r="L59" s="16"/>
      <c r="M59" s="16"/>
      <c r="N59" s="16"/>
      <c r="O59" s="42">
        <f t="shared" ref="O59:O63" si="23">L59+N59+M59</f>
        <v>0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6"/>
      <c r="AD59" s="16"/>
      <c r="AE59" s="16"/>
      <c r="AF59" s="19"/>
      <c r="AG59" s="19"/>
      <c r="AH59" s="42">
        <f t="shared" si="4"/>
        <v>0</v>
      </c>
      <c r="AI59" s="42">
        <f t="shared" si="5"/>
        <v>0</v>
      </c>
      <c r="AJ59" s="42">
        <f t="shared" si="6"/>
        <v>0</v>
      </c>
      <c r="AK59" s="42">
        <f t="shared" si="9"/>
        <v>0</v>
      </c>
      <c r="AL59" s="42">
        <f t="shared" si="10"/>
        <v>0</v>
      </c>
      <c r="AM59" s="42">
        <f t="shared" si="7"/>
        <v>0</v>
      </c>
      <c r="AN59" s="42" t="s">
        <v>20</v>
      </c>
      <c r="AO59" s="43">
        <f t="shared" si="8"/>
        <v>0</v>
      </c>
    </row>
    <row r="60" spans="1:43" ht="31.2" x14ac:dyDescent="0.45">
      <c r="A60" s="65"/>
      <c r="B60" s="67" t="s">
        <v>69</v>
      </c>
      <c r="C60" s="20"/>
      <c r="D60" s="20"/>
      <c r="E60" s="44">
        <f t="shared" si="3"/>
        <v>0</v>
      </c>
      <c r="F60" s="20"/>
      <c r="G60" s="20"/>
      <c r="H60" s="21"/>
      <c r="I60" s="21"/>
      <c r="J60" s="21"/>
      <c r="K60" s="21"/>
      <c r="L60" s="21"/>
      <c r="M60" s="21"/>
      <c r="N60" s="21"/>
      <c r="O60" s="44">
        <f t="shared" si="23"/>
        <v>0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1"/>
      <c r="AD60" s="21"/>
      <c r="AE60" s="21"/>
      <c r="AF60" s="20"/>
      <c r="AG60" s="20"/>
      <c r="AH60" s="44">
        <f t="shared" si="4"/>
        <v>0</v>
      </c>
      <c r="AI60" s="44">
        <f t="shared" si="5"/>
        <v>0</v>
      </c>
      <c r="AJ60" s="44">
        <f t="shared" si="6"/>
        <v>0</v>
      </c>
      <c r="AK60" s="44">
        <f t="shared" si="9"/>
        <v>0</v>
      </c>
      <c r="AL60" s="44">
        <f t="shared" si="10"/>
        <v>0</v>
      </c>
      <c r="AM60" s="44">
        <f t="shared" si="7"/>
        <v>0</v>
      </c>
      <c r="AN60" s="44" t="s">
        <v>20</v>
      </c>
      <c r="AO60" s="45">
        <f t="shared" si="8"/>
        <v>0</v>
      </c>
    </row>
    <row r="61" spans="1:43" ht="25.2" x14ac:dyDescent="0.45">
      <c r="A61" s="65"/>
      <c r="B61" s="67" t="s">
        <v>70</v>
      </c>
      <c r="C61" s="20">
        <v>20.2</v>
      </c>
      <c r="D61" s="20"/>
      <c r="E61" s="44">
        <f t="shared" si="3"/>
        <v>20.2</v>
      </c>
      <c r="F61" s="20"/>
      <c r="G61" s="20">
        <v>6</v>
      </c>
      <c r="H61" s="21">
        <v>14.2</v>
      </c>
      <c r="I61" s="21"/>
      <c r="J61" s="21"/>
      <c r="K61" s="21"/>
      <c r="L61" s="21">
        <v>0.12</v>
      </c>
      <c r="M61" s="21"/>
      <c r="N61" s="21"/>
      <c r="O61" s="44">
        <f t="shared" si="23"/>
        <v>0.12</v>
      </c>
      <c r="P61" s="20"/>
      <c r="Q61" s="20">
        <v>6</v>
      </c>
      <c r="R61" s="20">
        <v>14.2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1"/>
      <c r="AD61" s="21"/>
      <c r="AE61" s="21"/>
      <c r="AF61" s="20"/>
      <c r="AG61" s="20"/>
      <c r="AH61" s="44">
        <f t="shared" si="4"/>
        <v>20.2</v>
      </c>
      <c r="AI61" s="44">
        <f t="shared" si="5"/>
        <v>20.32</v>
      </c>
      <c r="AJ61" s="44">
        <f t="shared" si="6"/>
        <v>0</v>
      </c>
      <c r="AK61" s="44">
        <f t="shared" si="9"/>
        <v>0</v>
      </c>
      <c r="AL61" s="44">
        <f t="shared" si="10"/>
        <v>0</v>
      </c>
      <c r="AM61" s="44">
        <f t="shared" si="7"/>
        <v>0</v>
      </c>
      <c r="AN61" s="44" t="s">
        <v>20</v>
      </c>
      <c r="AO61" s="45">
        <f t="shared" si="8"/>
        <v>0</v>
      </c>
    </row>
    <row r="62" spans="1:43" ht="25.2" x14ac:dyDescent="0.45">
      <c r="A62" s="65"/>
      <c r="B62" s="67" t="s">
        <v>71</v>
      </c>
      <c r="C62" s="20"/>
      <c r="D62" s="20"/>
      <c r="E62" s="44">
        <f t="shared" si="3"/>
        <v>0</v>
      </c>
      <c r="F62" s="20"/>
      <c r="G62" s="20"/>
      <c r="H62" s="21"/>
      <c r="I62" s="21"/>
      <c r="J62" s="21"/>
      <c r="K62" s="21"/>
      <c r="L62" s="21"/>
      <c r="M62" s="21"/>
      <c r="N62" s="21"/>
      <c r="O62" s="44">
        <f t="shared" si="23"/>
        <v>0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1"/>
      <c r="AD62" s="21"/>
      <c r="AE62" s="21"/>
      <c r="AF62" s="20"/>
      <c r="AG62" s="20"/>
      <c r="AH62" s="44">
        <f t="shared" si="4"/>
        <v>0</v>
      </c>
      <c r="AI62" s="44">
        <f t="shared" si="5"/>
        <v>0</v>
      </c>
      <c r="AJ62" s="44">
        <f t="shared" si="6"/>
        <v>0</v>
      </c>
      <c r="AK62" s="44">
        <f t="shared" si="9"/>
        <v>0</v>
      </c>
      <c r="AL62" s="44">
        <f t="shared" si="10"/>
        <v>0</v>
      </c>
      <c r="AM62" s="44">
        <f t="shared" si="7"/>
        <v>0</v>
      </c>
      <c r="AN62" s="44" t="s">
        <v>20</v>
      </c>
      <c r="AO62" s="45">
        <f t="shared" si="8"/>
        <v>0</v>
      </c>
    </row>
    <row r="63" spans="1:43" ht="31.8" thickBot="1" x14ac:dyDescent="0.5">
      <c r="A63" s="69"/>
      <c r="B63" s="78" t="s">
        <v>72</v>
      </c>
      <c r="C63" s="22"/>
      <c r="D63" s="22"/>
      <c r="E63" s="38">
        <f t="shared" si="3"/>
        <v>0</v>
      </c>
      <c r="F63" s="22"/>
      <c r="G63" s="22"/>
      <c r="H63" s="18"/>
      <c r="I63" s="18"/>
      <c r="J63" s="18"/>
      <c r="K63" s="18"/>
      <c r="L63" s="18"/>
      <c r="M63" s="18"/>
      <c r="N63" s="18"/>
      <c r="O63" s="38">
        <f t="shared" si="23"/>
        <v>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8"/>
      <c r="AD63" s="18"/>
      <c r="AE63" s="18"/>
      <c r="AF63" s="22"/>
      <c r="AG63" s="22"/>
      <c r="AH63" s="38">
        <f t="shared" si="4"/>
        <v>0</v>
      </c>
      <c r="AI63" s="38">
        <f t="shared" si="5"/>
        <v>0</v>
      </c>
      <c r="AJ63" s="38">
        <f t="shared" si="6"/>
        <v>0</v>
      </c>
      <c r="AK63" s="38">
        <f t="shared" si="9"/>
        <v>0</v>
      </c>
      <c r="AL63" s="38">
        <f t="shared" si="10"/>
        <v>0</v>
      </c>
      <c r="AM63" s="38">
        <f t="shared" si="7"/>
        <v>0</v>
      </c>
      <c r="AN63" s="38" t="s">
        <v>20</v>
      </c>
      <c r="AO63" s="39">
        <f t="shared" si="8"/>
        <v>0</v>
      </c>
    </row>
    <row r="64" spans="1:43" s="99" customFormat="1" ht="31.8" thickBot="1" x14ac:dyDescent="0.5">
      <c r="A64" s="106">
        <v>5</v>
      </c>
      <c r="B64" s="105" t="s">
        <v>73</v>
      </c>
      <c r="C64" s="46">
        <f t="shared" ref="C64:AI64" si="24">C65+C66+C67+C68+C69+C70+C71+C72+C73</f>
        <v>284.87</v>
      </c>
      <c r="D64" s="46">
        <f t="shared" si="24"/>
        <v>29.36</v>
      </c>
      <c r="E64" s="46">
        <f t="shared" si="24"/>
        <v>255.107</v>
      </c>
      <c r="F64" s="46">
        <f t="shared" si="24"/>
        <v>205.25800000000001</v>
      </c>
      <c r="G64" s="46">
        <f t="shared" si="24"/>
        <v>19.456000000000003</v>
      </c>
      <c r="H64" s="46">
        <f t="shared" si="24"/>
        <v>30.393000000000001</v>
      </c>
      <c r="I64" s="46">
        <f t="shared" si="24"/>
        <v>0.8</v>
      </c>
      <c r="J64" s="46">
        <f t="shared" si="24"/>
        <v>0</v>
      </c>
      <c r="K64" s="46">
        <f t="shared" si="24"/>
        <v>0</v>
      </c>
      <c r="L64" s="46">
        <f t="shared" si="24"/>
        <v>5.0000000000000009</v>
      </c>
      <c r="M64" s="46">
        <f t="shared" si="24"/>
        <v>188.92600000000002</v>
      </c>
      <c r="N64" s="46">
        <f t="shared" si="24"/>
        <v>9.6460000000000008</v>
      </c>
      <c r="O64" s="46">
        <f t="shared" si="24"/>
        <v>203.572</v>
      </c>
      <c r="P64" s="46">
        <f t="shared" si="24"/>
        <v>1.2</v>
      </c>
      <c r="Q64" s="46">
        <f t="shared" si="24"/>
        <v>0</v>
      </c>
      <c r="R64" s="46">
        <f t="shared" si="24"/>
        <v>0.39100000000000001</v>
      </c>
      <c r="S64" s="46">
        <f t="shared" si="24"/>
        <v>0</v>
      </c>
      <c r="T64" s="46">
        <f t="shared" si="24"/>
        <v>0</v>
      </c>
      <c r="U64" s="46">
        <f t="shared" si="24"/>
        <v>0</v>
      </c>
      <c r="V64" s="46">
        <f t="shared" si="24"/>
        <v>0</v>
      </c>
      <c r="W64" s="46">
        <f t="shared" si="24"/>
        <v>0</v>
      </c>
      <c r="X64" s="46">
        <f t="shared" si="24"/>
        <v>0</v>
      </c>
      <c r="Y64" s="46">
        <f t="shared" si="24"/>
        <v>0</v>
      </c>
      <c r="Z64" s="46">
        <f t="shared" si="24"/>
        <v>0</v>
      </c>
      <c r="AA64" s="46">
        <f t="shared" si="24"/>
        <v>0</v>
      </c>
      <c r="AB64" s="46">
        <f t="shared" si="24"/>
        <v>0</v>
      </c>
      <c r="AC64" s="46">
        <f t="shared" si="24"/>
        <v>0</v>
      </c>
      <c r="AD64" s="46">
        <f t="shared" si="24"/>
        <v>0</v>
      </c>
      <c r="AE64" s="46">
        <f t="shared" si="24"/>
        <v>0</v>
      </c>
      <c r="AF64" s="46">
        <f t="shared" si="24"/>
        <v>0</v>
      </c>
      <c r="AG64" s="46">
        <f t="shared" si="24"/>
        <v>0</v>
      </c>
      <c r="AH64" s="46">
        <f t="shared" si="24"/>
        <v>1.591</v>
      </c>
      <c r="AI64" s="46">
        <f t="shared" si="24"/>
        <v>205.16299999999998</v>
      </c>
      <c r="AJ64" s="46">
        <f t="shared" si="6"/>
        <v>15.131999999999994</v>
      </c>
      <c r="AK64" s="46">
        <f t="shared" si="9"/>
        <v>9.8100000000000023</v>
      </c>
      <c r="AL64" s="46">
        <f t="shared" si="10"/>
        <v>30.002000000000002</v>
      </c>
      <c r="AM64" s="46">
        <f t="shared" si="7"/>
        <v>54.944000000000003</v>
      </c>
      <c r="AN64" s="46" t="s">
        <v>20</v>
      </c>
      <c r="AO64" s="47">
        <f t="shared" si="8"/>
        <v>84.706999999999994</v>
      </c>
      <c r="AP64" s="102"/>
      <c r="AQ64" s="102"/>
    </row>
    <row r="65" spans="1:46" s="2" customFormat="1" ht="31.2" x14ac:dyDescent="0.45">
      <c r="A65" s="80" t="s">
        <v>74</v>
      </c>
      <c r="B65" s="76" t="s">
        <v>75</v>
      </c>
      <c r="C65" s="15"/>
      <c r="D65" s="15"/>
      <c r="E65" s="42">
        <f t="shared" si="3"/>
        <v>0</v>
      </c>
      <c r="F65" s="19"/>
      <c r="G65" s="15"/>
      <c r="H65" s="15"/>
      <c r="I65" s="15"/>
      <c r="J65" s="15"/>
      <c r="K65" s="15"/>
      <c r="L65" s="15"/>
      <c r="M65" s="15"/>
      <c r="N65" s="15"/>
      <c r="O65" s="42">
        <f t="shared" ref="O65:O72" si="25">L65+N65+M65</f>
        <v>0</v>
      </c>
      <c r="P65" s="19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42">
        <f t="shared" si="4"/>
        <v>0</v>
      </c>
      <c r="AI65" s="42">
        <f t="shared" si="5"/>
        <v>0</v>
      </c>
      <c r="AJ65" s="42">
        <f t="shared" si="6"/>
        <v>0</v>
      </c>
      <c r="AK65" s="42">
        <f t="shared" si="9"/>
        <v>0</v>
      </c>
      <c r="AL65" s="42">
        <f t="shared" si="10"/>
        <v>0</v>
      </c>
      <c r="AM65" s="42">
        <f t="shared" si="7"/>
        <v>0</v>
      </c>
      <c r="AN65" s="42" t="s">
        <v>20</v>
      </c>
      <c r="AO65" s="43">
        <f t="shared" si="8"/>
        <v>0</v>
      </c>
      <c r="AP65" s="55"/>
      <c r="AQ65" s="55"/>
      <c r="AR65" s="54"/>
      <c r="AS65" s="54"/>
      <c r="AT65" s="54"/>
    </row>
    <row r="66" spans="1:46" s="2" customFormat="1" ht="62.4" x14ac:dyDescent="0.45">
      <c r="A66" s="81" t="s">
        <v>76</v>
      </c>
      <c r="B66" s="71" t="s">
        <v>77</v>
      </c>
      <c r="C66" s="21">
        <v>124.17</v>
      </c>
      <c r="D66" s="21">
        <v>11.9</v>
      </c>
      <c r="E66" s="44">
        <f t="shared" si="3"/>
        <v>122.899</v>
      </c>
      <c r="F66" s="20">
        <v>100.23</v>
      </c>
      <c r="G66" s="21">
        <v>9.6460000000000008</v>
      </c>
      <c r="H66" s="21">
        <f>11.974+0.763+0.286</f>
        <v>13.023</v>
      </c>
      <c r="I66" s="21"/>
      <c r="J66" s="21"/>
      <c r="K66" s="21"/>
      <c r="L66" s="21">
        <v>1.6</v>
      </c>
      <c r="M66" s="21">
        <f>111.476-1.6-9.646</f>
        <v>100.23</v>
      </c>
      <c r="N66" s="21">
        <v>9.6460000000000008</v>
      </c>
      <c r="O66" s="44">
        <f t="shared" si="25"/>
        <v>111.476</v>
      </c>
      <c r="P66" s="20"/>
      <c r="Q66" s="21"/>
      <c r="R66" s="21">
        <v>0.39100000000000001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44">
        <f t="shared" si="4"/>
        <v>0.39100000000000001</v>
      </c>
      <c r="AI66" s="44">
        <f t="shared" si="5"/>
        <v>111.867</v>
      </c>
      <c r="AJ66" s="44">
        <f t="shared" si="6"/>
        <v>0</v>
      </c>
      <c r="AK66" s="44">
        <f t="shared" si="9"/>
        <v>0</v>
      </c>
      <c r="AL66" s="44">
        <f t="shared" si="10"/>
        <v>12.632</v>
      </c>
      <c r="AM66" s="44">
        <f t="shared" si="7"/>
        <v>12.632</v>
      </c>
      <c r="AN66" s="44" t="s">
        <v>20</v>
      </c>
      <c r="AO66" s="45">
        <f t="shared" si="8"/>
        <v>13.902999999999997</v>
      </c>
      <c r="AP66" s="55"/>
      <c r="AQ66" s="55"/>
      <c r="AR66" s="54"/>
      <c r="AS66" s="54"/>
      <c r="AT66" s="54"/>
    </row>
    <row r="67" spans="1:46" s="2" customFormat="1" ht="31.2" x14ac:dyDescent="0.45">
      <c r="A67" s="81" t="s">
        <v>78</v>
      </c>
      <c r="B67" s="71" t="s">
        <v>79</v>
      </c>
      <c r="C67" s="21"/>
      <c r="D67" s="21"/>
      <c r="E67" s="44">
        <f t="shared" si="3"/>
        <v>0</v>
      </c>
      <c r="F67" s="20"/>
      <c r="G67" s="21"/>
      <c r="H67" s="21"/>
      <c r="I67" s="21"/>
      <c r="J67" s="21"/>
      <c r="K67" s="21"/>
      <c r="L67" s="21"/>
      <c r="M67" s="21"/>
      <c r="N67" s="21"/>
      <c r="O67" s="44">
        <f t="shared" si="25"/>
        <v>0</v>
      </c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44">
        <f t="shared" si="4"/>
        <v>0</v>
      </c>
      <c r="AI67" s="44">
        <f t="shared" si="5"/>
        <v>0</v>
      </c>
      <c r="AJ67" s="44">
        <f t="shared" si="6"/>
        <v>0</v>
      </c>
      <c r="AK67" s="44">
        <f t="shared" si="9"/>
        <v>0</v>
      </c>
      <c r="AL67" s="44">
        <f t="shared" si="10"/>
        <v>0</v>
      </c>
      <c r="AM67" s="44">
        <f t="shared" si="7"/>
        <v>0</v>
      </c>
      <c r="AN67" s="44" t="s">
        <v>20</v>
      </c>
      <c r="AO67" s="45">
        <f t="shared" si="8"/>
        <v>0</v>
      </c>
      <c r="AP67" s="55"/>
      <c r="AQ67" s="55"/>
      <c r="AR67" s="54"/>
      <c r="AS67" s="54"/>
      <c r="AT67" s="54"/>
    </row>
    <row r="68" spans="1:46" ht="62.4" x14ac:dyDescent="0.45">
      <c r="A68" s="74" t="s">
        <v>80</v>
      </c>
      <c r="B68" s="67" t="s">
        <v>81</v>
      </c>
      <c r="C68" s="20">
        <v>58.13</v>
      </c>
      <c r="D68" s="20">
        <v>4.03</v>
      </c>
      <c r="E68" s="44">
        <f t="shared" si="3"/>
        <v>54.295999999999999</v>
      </c>
      <c r="F68" s="20">
        <v>35.854999999999997</v>
      </c>
      <c r="G68" s="20">
        <v>3.121</v>
      </c>
      <c r="H68" s="20">
        <f>0.166+15.154</f>
        <v>15.32</v>
      </c>
      <c r="I68" s="20"/>
      <c r="J68" s="20"/>
      <c r="K68" s="20"/>
      <c r="L68" s="20">
        <v>2.7</v>
      </c>
      <c r="M68" s="20">
        <v>34.817999999999998</v>
      </c>
      <c r="N68" s="20"/>
      <c r="O68" s="44">
        <f t="shared" si="25"/>
        <v>37.518000000000001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44">
        <f t="shared" si="4"/>
        <v>0</v>
      </c>
      <c r="AI68" s="44">
        <f t="shared" si="5"/>
        <v>37.518000000000001</v>
      </c>
      <c r="AJ68" s="44">
        <f t="shared" si="6"/>
        <v>1.036999999999999</v>
      </c>
      <c r="AK68" s="44">
        <f t="shared" si="9"/>
        <v>3.121</v>
      </c>
      <c r="AL68" s="44">
        <f t="shared" si="10"/>
        <v>15.32</v>
      </c>
      <c r="AM68" s="44">
        <f t="shared" si="7"/>
        <v>19.478000000000002</v>
      </c>
      <c r="AN68" s="44" t="s">
        <v>20</v>
      </c>
      <c r="AO68" s="45">
        <f t="shared" si="8"/>
        <v>23.312000000000005</v>
      </c>
    </row>
    <row r="69" spans="1:46" ht="46.8" x14ac:dyDescent="0.45">
      <c r="A69" s="74" t="s">
        <v>82</v>
      </c>
      <c r="B69" s="67" t="s">
        <v>83</v>
      </c>
      <c r="C69" s="20"/>
      <c r="D69" s="20"/>
      <c r="E69" s="44">
        <f t="shared" si="3"/>
        <v>0</v>
      </c>
      <c r="F69" s="20"/>
      <c r="G69" s="20"/>
      <c r="H69" s="20"/>
      <c r="I69" s="20"/>
      <c r="J69" s="20"/>
      <c r="K69" s="20"/>
      <c r="L69" s="20"/>
      <c r="M69" s="20"/>
      <c r="N69" s="20"/>
      <c r="O69" s="44">
        <f t="shared" si="25"/>
        <v>0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44">
        <f t="shared" si="4"/>
        <v>0</v>
      </c>
      <c r="AI69" s="44">
        <f t="shared" si="5"/>
        <v>0</v>
      </c>
      <c r="AJ69" s="44">
        <f t="shared" si="6"/>
        <v>0</v>
      </c>
      <c r="AK69" s="44">
        <f t="shared" si="9"/>
        <v>0</v>
      </c>
      <c r="AL69" s="44">
        <f t="shared" si="10"/>
        <v>0</v>
      </c>
      <c r="AM69" s="44">
        <f t="shared" si="7"/>
        <v>0</v>
      </c>
      <c r="AN69" s="44" t="s">
        <v>20</v>
      </c>
      <c r="AO69" s="45">
        <f t="shared" si="8"/>
        <v>0</v>
      </c>
    </row>
    <row r="70" spans="1:46" ht="46.8" x14ac:dyDescent="0.45">
      <c r="A70" s="74" t="s">
        <v>84</v>
      </c>
      <c r="B70" s="67" t="s">
        <v>85</v>
      </c>
      <c r="C70" s="20">
        <v>37.869999999999997</v>
      </c>
      <c r="D70" s="20">
        <v>5.53</v>
      </c>
      <c r="E70" s="44">
        <f t="shared" si="3"/>
        <v>30.335000000000001</v>
      </c>
      <c r="F70" s="20">
        <v>25.989000000000001</v>
      </c>
      <c r="G70" s="20">
        <v>4.0460000000000003</v>
      </c>
      <c r="H70" s="20">
        <f>0.3</f>
        <v>0.3</v>
      </c>
      <c r="I70" s="20"/>
      <c r="J70" s="20"/>
      <c r="K70" s="20"/>
      <c r="L70" s="20">
        <v>0.5</v>
      </c>
      <c r="M70" s="20">
        <v>22.677</v>
      </c>
      <c r="N70" s="20"/>
      <c r="O70" s="44">
        <f t="shared" si="25"/>
        <v>23.177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44">
        <f t="shared" si="4"/>
        <v>0</v>
      </c>
      <c r="AI70" s="44">
        <f t="shared" si="5"/>
        <v>23.177</v>
      </c>
      <c r="AJ70" s="44">
        <f t="shared" si="6"/>
        <v>3.3120000000000012</v>
      </c>
      <c r="AK70" s="44">
        <f t="shared" si="9"/>
        <v>4.0460000000000003</v>
      </c>
      <c r="AL70" s="44">
        <f t="shared" si="10"/>
        <v>0.3</v>
      </c>
      <c r="AM70" s="44">
        <f t="shared" si="7"/>
        <v>7.6580000000000013</v>
      </c>
      <c r="AN70" s="44" t="s">
        <v>20</v>
      </c>
      <c r="AO70" s="45">
        <f t="shared" si="8"/>
        <v>15.192999999999998</v>
      </c>
    </row>
    <row r="71" spans="1:46" ht="62.4" x14ac:dyDescent="0.45">
      <c r="A71" s="74" t="s">
        <v>86</v>
      </c>
      <c r="B71" s="71" t="s">
        <v>87</v>
      </c>
      <c r="C71" s="20">
        <v>46.5</v>
      </c>
      <c r="D71" s="20">
        <v>7.9</v>
      </c>
      <c r="E71" s="44">
        <f t="shared" si="3"/>
        <v>30.377000000000002</v>
      </c>
      <c r="F71" s="20">
        <v>26.934000000000001</v>
      </c>
      <c r="G71" s="20">
        <v>2.6429999999999998</v>
      </c>
      <c r="H71" s="20">
        <f>0.8</f>
        <v>0.8</v>
      </c>
      <c r="I71" s="20">
        <v>0.8</v>
      </c>
      <c r="J71" s="20"/>
      <c r="K71" s="20"/>
      <c r="L71" s="20">
        <v>0.2</v>
      </c>
      <c r="M71" s="20">
        <v>21.402000000000001</v>
      </c>
      <c r="N71" s="20"/>
      <c r="O71" s="44">
        <f t="shared" si="25"/>
        <v>21.602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44">
        <f t="shared" si="4"/>
        <v>0</v>
      </c>
      <c r="AI71" s="44">
        <f t="shared" si="5"/>
        <v>21.602</v>
      </c>
      <c r="AJ71" s="44">
        <f t="shared" si="6"/>
        <v>5.532</v>
      </c>
      <c r="AK71" s="44">
        <f t="shared" si="9"/>
        <v>2.6429999999999998</v>
      </c>
      <c r="AL71" s="44">
        <f t="shared" si="10"/>
        <v>0.8</v>
      </c>
      <c r="AM71" s="44">
        <f t="shared" si="7"/>
        <v>8.9750000000000014</v>
      </c>
      <c r="AN71" s="44" t="s">
        <v>20</v>
      </c>
      <c r="AO71" s="45">
        <f t="shared" si="8"/>
        <v>25.097999999999999</v>
      </c>
    </row>
    <row r="72" spans="1:46" ht="46.8" x14ac:dyDescent="0.45">
      <c r="A72" s="74" t="s">
        <v>88</v>
      </c>
      <c r="B72" s="71" t="s">
        <v>89</v>
      </c>
      <c r="C72" s="20"/>
      <c r="D72" s="20"/>
      <c r="E72" s="44">
        <f t="shared" si="3"/>
        <v>0</v>
      </c>
      <c r="F72" s="20"/>
      <c r="G72" s="20"/>
      <c r="H72" s="20"/>
      <c r="I72" s="20"/>
      <c r="J72" s="20"/>
      <c r="K72" s="20"/>
      <c r="L72" s="20"/>
      <c r="M72" s="20"/>
      <c r="N72" s="20"/>
      <c r="O72" s="44">
        <f t="shared" si="25"/>
        <v>0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44">
        <f t="shared" si="4"/>
        <v>0</v>
      </c>
      <c r="AI72" s="44">
        <f t="shared" si="5"/>
        <v>0</v>
      </c>
      <c r="AJ72" s="44">
        <f t="shared" si="6"/>
        <v>0</v>
      </c>
      <c r="AK72" s="44">
        <f t="shared" si="9"/>
        <v>0</v>
      </c>
      <c r="AL72" s="44">
        <f t="shared" si="10"/>
        <v>0</v>
      </c>
      <c r="AM72" s="44">
        <f t="shared" si="7"/>
        <v>0</v>
      </c>
      <c r="AN72" s="44" t="s">
        <v>20</v>
      </c>
      <c r="AO72" s="45">
        <f t="shared" si="8"/>
        <v>0</v>
      </c>
    </row>
    <row r="73" spans="1:46" s="99" customFormat="1" ht="72" customHeight="1" x14ac:dyDescent="0.45">
      <c r="A73" s="108" t="s">
        <v>90</v>
      </c>
      <c r="B73" s="112" t="s">
        <v>91</v>
      </c>
      <c r="C73" s="44">
        <f>SUM(C74:C81)</f>
        <v>18.2</v>
      </c>
      <c r="D73" s="44">
        <f t="shared" ref="D73:AI73" si="26">SUM(D74:D81)</f>
        <v>0</v>
      </c>
      <c r="E73" s="44">
        <f t="shared" si="26"/>
        <v>17.2</v>
      </c>
      <c r="F73" s="44">
        <f t="shared" si="26"/>
        <v>16.25</v>
      </c>
      <c r="G73" s="44">
        <f t="shared" si="26"/>
        <v>0</v>
      </c>
      <c r="H73" s="44">
        <f t="shared" si="26"/>
        <v>0.95</v>
      </c>
      <c r="I73" s="44">
        <f t="shared" si="26"/>
        <v>0</v>
      </c>
      <c r="J73" s="44">
        <f t="shared" si="26"/>
        <v>0</v>
      </c>
      <c r="K73" s="44">
        <f t="shared" si="26"/>
        <v>0</v>
      </c>
      <c r="L73" s="44">
        <f t="shared" si="26"/>
        <v>0</v>
      </c>
      <c r="M73" s="44">
        <f>SUM(M74:M81)</f>
        <v>9.7989999999999995</v>
      </c>
      <c r="N73" s="44">
        <f t="shared" si="26"/>
        <v>0</v>
      </c>
      <c r="O73" s="44">
        <f t="shared" si="26"/>
        <v>9.7989999999999995</v>
      </c>
      <c r="P73" s="44">
        <f t="shared" si="26"/>
        <v>1.2</v>
      </c>
      <c r="Q73" s="44">
        <f t="shared" si="26"/>
        <v>0</v>
      </c>
      <c r="R73" s="44">
        <f t="shared" si="26"/>
        <v>0</v>
      </c>
      <c r="S73" s="44">
        <f t="shared" si="26"/>
        <v>0</v>
      </c>
      <c r="T73" s="44">
        <f t="shared" si="26"/>
        <v>0</v>
      </c>
      <c r="U73" s="44">
        <f t="shared" si="26"/>
        <v>0</v>
      </c>
      <c r="V73" s="44">
        <f t="shared" si="26"/>
        <v>0</v>
      </c>
      <c r="W73" s="44">
        <f t="shared" si="26"/>
        <v>0</v>
      </c>
      <c r="X73" s="44">
        <f t="shared" si="26"/>
        <v>0</v>
      </c>
      <c r="Y73" s="44">
        <f t="shared" si="26"/>
        <v>0</v>
      </c>
      <c r="Z73" s="44">
        <f t="shared" si="26"/>
        <v>0</v>
      </c>
      <c r="AA73" s="44">
        <f t="shared" si="26"/>
        <v>0</v>
      </c>
      <c r="AB73" s="44">
        <f t="shared" si="26"/>
        <v>0</v>
      </c>
      <c r="AC73" s="44">
        <f t="shared" si="26"/>
        <v>0</v>
      </c>
      <c r="AD73" s="44">
        <f t="shared" si="26"/>
        <v>0</v>
      </c>
      <c r="AE73" s="44">
        <f t="shared" si="26"/>
        <v>0</v>
      </c>
      <c r="AF73" s="44">
        <f t="shared" si="26"/>
        <v>0</v>
      </c>
      <c r="AG73" s="44">
        <f t="shared" si="26"/>
        <v>0</v>
      </c>
      <c r="AH73" s="44">
        <f t="shared" si="26"/>
        <v>1.2</v>
      </c>
      <c r="AI73" s="44">
        <f t="shared" si="26"/>
        <v>10.998999999999999</v>
      </c>
      <c r="AJ73" s="44">
        <f t="shared" si="6"/>
        <v>5.2510000000000003</v>
      </c>
      <c r="AK73" s="44">
        <f t="shared" si="9"/>
        <v>0</v>
      </c>
      <c r="AL73" s="44">
        <f t="shared" si="10"/>
        <v>0.95</v>
      </c>
      <c r="AM73" s="44">
        <f t="shared" si="7"/>
        <v>6.2010000000000005</v>
      </c>
      <c r="AN73" s="44" t="s">
        <v>20</v>
      </c>
      <c r="AO73" s="45">
        <f t="shared" si="8"/>
        <v>7.2009999999999996</v>
      </c>
      <c r="AP73" s="102"/>
      <c r="AQ73" s="102"/>
    </row>
    <row r="74" spans="1:46" ht="66" x14ac:dyDescent="0.45">
      <c r="A74" s="74"/>
      <c r="B74" s="82" t="s">
        <v>92</v>
      </c>
      <c r="C74" s="20"/>
      <c r="D74" s="20"/>
      <c r="E74" s="44">
        <f t="shared" si="3"/>
        <v>0</v>
      </c>
      <c r="F74" s="20"/>
      <c r="G74" s="20"/>
      <c r="H74" s="21"/>
      <c r="I74" s="21"/>
      <c r="J74" s="21"/>
      <c r="K74" s="21"/>
      <c r="L74" s="21"/>
      <c r="M74" s="21"/>
      <c r="N74" s="21"/>
      <c r="O74" s="44">
        <f t="shared" ref="O74:O81" si="27">L74+N74+M74</f>
        <v>0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1"/>
      <c r="AD74" s="21"/>
      <c r="AE74" s="21"/>
      <c r="AF74" s="20"/>
      <c r="AG74" s="20"/>
      <c r="AH74" s="44">
        <f t="shared" si="4"/>
        <v>0</v>
      </c>
      <c r="AI74" s="44">
        <f t="shared" si="5"/>
        <v>0</v>
      </c>
      <c r="AJ74" s="44">
        <f t="shared" si="6"/>
        <v>0</v>
      </c>
      <c r="AK74" s="44">
        <f t="shared" si="9"/>
        <v>0</v>
      </c>
      <c r="AL74" s="44">
        <f t="shared" si="10"/>
        <v>0</v>
      </c>
      <c r="AM74" s="44">
        <f t="shared" si="7"/>
        <v>0</v>
      </c>
      <c r="AN74" s="44" t="s">
        <v>20</v>
      </c>
      <c r="AO74" s="45">
        <f t="shared" si="8"/>
        <v>0</v>
      </c>
    </row>
    <row r="75" spans="1:46" ht="66" x14ac:dyDescent="0.45">
      <c r="A75" s="74"/>
      <c r="B75" s="82" t="s">
        <v>93</v>
      </c>
      <c r="C75" s="20"/>
      <c r="D75" s="20"/>
      <c r="E75" s="44">
        <f t="shared" si="3"/>
        <v>0</v>
      </c>
      <c r="F75" s="20"/>
      <c r="G75" s="20"/>
      <c r="H75" s="21"/>
      <c r="I75" s="21"/>
      <c r="J75" s="21"/>
      <c r="K75" s="21"/>
      <c r="L75" s="21"/>
      <c r="M75" s="21"/>
      <c r="N75" s="21"/>
      <c r="O75" s="44">
        <f t="shared" si="27"/>
        <v>0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1"/>
      <c r="AD75" s="21"/>
      <c r="AE75" s="21"/>
      <c r="AF75" s="20"/>
      <c r="AG75" s="20"/>
      <c r="AH75" s="44">
        <f t="shared" si="4"/>
        <v>0</v>
      </c>
      <c r="AI75" s="44">
        <f t="shared" si="5"/>
        <v>0</v>
      </c>
      <c r="AJ75" s="44">
        <f t="shared" si="6"/>
        <v>0</v>
      </c>
      <c r="AK75" s="44">
        <f t="shared" si="9"/>
        <v>0</v>
      </c>
      <c r="AL75" s="44">
        <f t="shared" si="10"/>
        <v>0</v>
      </c>
      <c r="AM75" s="44">
        <f t="shared" si="7"/>
        <v>0</v>
      </c>
      <c r="AN75" s="44" t="s">
        <v>20</v>
      </c>
      <c r="AO75" s="45">
        <f t="shared" si="8"/>
        <v>0</v>
      </c>
    </row>
    <row r="76" spans="1:46" ht="66" x14ac:dyDescent="0.45">
      <c r="A76" s="74"/>
      <c r="B76" s="82" t="s">
        <v>94</v>
      </c>
      <c r="C76" s="20"/>
      <c r="D76" s="20"/>
      <c r="E76" s="44">
        <f t="shared" si="3"/>
        <v>0</v>
      </c>
      <c r="F76" s="20"/>
      <c r="G76" s="20"/>
      <c r="H76" s="21"/>
      <c r="I76" s="21"/>
      <c r="J76" s="21"/>
      <c r="K76" s="21"/>
      <c r="L76" s="21"/>
      <c r="M76" s="21"/>
      <c r="N76" s="21"/>
      <c r="O76" s="44">
        <f t="shared" si="27"/>
        <v>0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1"/>
      <c r="AD76" s="21"/>
      <c r="AE76" s="21"/>
      <c r="AF76" s="20"/>
      <c r="AG76" s="20"/>
      <c r="AH76" s="44">
        <f t="shared" si="4"/>
        <v>0</v>
      </c>
      <c r="AI76" s="44">
        <f t="shared" si="5"/>
        <v>0</v>
      </c>
      <c r="AJ76" s="44">
        <f t="shared" si="6"/>
        <v>0</v>
      </c>
      <c r="AK76" s="44">
        <f t="shared" si="9"/>
        <v>0</v>
      </c>
      <c r="AL76" s="44">
        <f t="shared" si="10"/>
        <v>0</v>
      </c>
      <c r="AM76" s="44">
        <f t="shared" si="7"/>
        <v>0</v>
      </c>
      <c r="AN76" s="44" t="s">
        <v>20</v>
      </c>
      <c r="AO76" s="45">
        <f t="shared" si="8"/>
        <v>0</v>
      </c>
    </row>
    <row r="77" spans="1:46" ht="52.8" x14ac:dyDescent="0.45">
      <c r="A77" s="74"/>
      <c r="B77" s="82" t="s">
        <v>95</v>
      </c>
      <c r="C77" s="20"/>
      <c r="D77" s="20"/>
      <c r="E77" s="44">
        <f t="shared" si="3"/>
        <v>0</v>
      </c>
      <c r="F77" s="20"/>
      <c r="G77" s="20"/>
      <c r="H77" s="21"/>
      <c r="I77" s="21"/>
      <c r="J77" s="21"/>
      <c r="K77" s="21"/>
      <c r="L77" s="21"/>
      <c r="M77" s="21"/>
      <c r="N77" s="21"/>
      <c r="O77" s="44">
        <f t="shared" si="27"/>
        <v>0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1"/>
      <c r="AD77" s="21"/>
      <c r="AE77" s="21"/>
      <c r="AF77" s="20"/>
      <c r="AG77" s="20"/>
      <c r="AH77" s="44">
        <f t="shared" si="4"/>
        <v>0</v>
      </c>
      <c r="AI77" s="44">
        <f t="shared" si="5"/>
        <v>0</v>
      </c>
      <c r="AJ77" s="44">
        <f t="shared" si="6"/>
        <v>0</v>
      </c>
      <c r="AK77" s="44">
        <f t="shared" si="9"/>
        <v>0</v>
      </c>
      <c r="AL77" s="44">
        <f t="shared" si="10"/>
        <v>0</v>
      </c>
      <c r="AM77" s="44">
        <f t="shared" si="7"/>
        <v>0</v>
      </c>
      <c r="AN77" s="44" t="s">
        <v>20</v>
      </c>
      <c r="AO77" s="45">
        <f t="shared" si="8"/>
        <v>0</v>
      </c>
    </row>
    <row r="78" spans="1:46" ht="66" x14ac:dyDescent="0.45">
      <c r="A78" s="74"/>
      <c r="B78" s="82" t="s">
        <v>96</v>
      </c>
      <c r="C78" s="20"/>
      <c r="D78" s="20"/>
      <c r="E78" s="44">
        <f t="shared" si="3"/>
        <v>0</v>
      </c>
      <c r="F78" s="20"/>
      <c r="G78" s="20"/>
      <c r="H78" s="21"/>
      <c r="I78" s="21"/>
      <c r="J78" s="21"/>
      <c r="K78" s="21"/>
      <c r="L78" s="21"/>
      <c r="M78" s="21"/>
      <c r="N78" s="21"/>
      <c r="O78" s="44">
        <f t="shared" si="27"/>
        <v>0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1"/>
      <c r="AD78" s="21"/>
      <c r="AE78" s="21"/>
      <c r="AF78" s="20"/>
      <c r="AG78" s="20"/>
      <c r="AH78" s="44">
        <f t="shared" si="4"/>
        <v>0</v>
      </c>
      <c r="AI78" s="44">
        <f t="shared" si="5"/>
        <v>0</v>
      </c>
      <c r="AJ78" s="44">
        <f t="shared" si="6"/>
        <v>0</v>
      </c>
      <c r="AK78" s="44">
        <f t="shared" si="9"/>
        <v>0</v>
      </c>
      <c r="AL78" s="44">
        <f t="shared" si="10"/>
        <v>0</v>
      </c>
      <c r="AM78" s="44">
        <f t="shared" si="7"/>
        <v>0</v>
      </c>
      <c r="AN78" s="44" t="s">
        <v>20</v>
      </c>
      <c r="AO78" s="45">
        <f t="shared" si="8"/>
        <v>0</v>
      </c>
    </row>
    <row r="79" spans="1:46" ht="39.6" x14ac:dyDescent="0.45">
      <c r="A79" s="74"/>
      <c r="B79" s="82" t="s">
        <v>97</v>
      </c>
      <c r="C79" s="20">
        <v>18.2</v>
      </c>
      <c r="D79" s="20"/>
      <c r="E79" s="44">
        <f t="shared" si="3"/>
        <v>17.2</v>
      </c>
      <c r="F79" s="20">
        <v>16.25</v>
      </c>
      <c r="G79" s="20"/>
      <c r="H79" s="21">
        <f>0.95</f>
        <v>0.95</v>
      </c>
      <c r="I79" s="21"/>
      <c r="J79" s="21"/>
      <c r="K79" s="21"/>
      <c r="L79" s="21"/>
      <c r="M79" s="21">
        <v>9.7989999999999995</v>
      </c>
      <c r="N79" s="21"/>
      <c r="O79" s="44">
        <f t="shared" si="27"/>
        <v>9.7989999999999995</v>
      </c>
      <c r="P79" s="20">
        <v>1.2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1"/>
      <c r="AD79" s="21"/>
      <c r="AE79" s="21"/>
      <c r="AF79" s="20"/>
      <c r="AG79" s="20"/>
      <c r="AH79" s="44">
        <f t="shared" si="4"/>
        <v>1.2</v>
      </c>
      <c r="AI79" s="44">
        <f t="shared" si="5"/>
        <v>10.998999999999999</v>
      </c>
      <c r="AJ79" s="44">
        <f t="shared" si="6"/>
        <v>5.2510000000000003</v>
      </c>
      <c r="AK79" s="44">
        <f t="shared" si="9"/>
        <v>0</v>
      </c>
      <c r="AL79" s="44">
        <f t="shared" si="10"/>
        <v>0.95</v>
      </c>
      <c r="AM79" s="44">
        <f t="shared" si="7"/>
        <v>6.2010000000000005</v>
      </c>
      <c r="AN79" s="44" t="s">
        <v>20</v>
      </c>
      <c r="AO79" s="45">
        <f t="shared" si="8"/>
        <v>7.2009999999999996</v>
      </c>
    </row>
    <row r="80" spans="1:46" ht="54.75" customHeight="1" x14ac:dyDescent="0.45">
      <c r="A80" s="74"/>
      <c r="B80" s="83" t="s">
        <v>98</v>
      </c>
      <c r="C80" s="20"/>
      <c r="D80" s="20"/>
      <c r="E80" s="44">
        <f t="shared" si="3"/>
        <v>0</v>
      </c>
      <c r="F80" s="20"/>
      <c r="G80" s="20"/>
      <c r="H80" s="21"/>
      <c r="I80" s="21"/>
      <c r="J80" s="21"/>
      <c r="K80" s="21"/>
      <c r="L80" s="21"/>
      <c r="M80" s="21"/>
      <c r="N80" s="21"/>
      <c r="O80" s="44">
        <f t="shared" si="27"/>
        <v>0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1"/>
      <c r="AD80" s="21"/>
      <c r="AE80" s="21"/>
      <c r="AF80" s="20"/>
      <c r="AG80" s="20"/>
      <c r="AH80" s="44">
        <f t="shared" si="4"/>
        <v>0</v>
      </c>
      <c r="AI80" s="44">
        <f t="shared" si="5"/>
        <v>0</v>
      </c>
      <c r="AJ80" s="44">
        <f t="shared" si="6"/>
        <v>0</v>
      </c>
      <c r="AK80" s="44">
        <f t="shared" si="9"/>
        <v>0</v>
      </c>
      <c r="AL80" s="44">
        <f t="shared" si="10"/>
        <v>0</v>
      </c>
      <c r="AM80" s="44">
        <f t="shared" si="7"/>
        <v>0</v>
      </c>
      <c r="AN80" s="44" t="s">
        <v>20</v>
      </c>
      <c r="AO80" s="45">
        <f t="shared" si="8"/>
        <v>0</v>
      </c>
    </row>
    <row r="81" spans="1:43" ht="24" customHeight="1" thickBot="1" x14ac:dyDescent="0.5">
      <c r="A81" s="75"/>
      <c r="B81" s="84" t="s">
        <v>99</v>
      </c>
      <c r="C81" s="22"/>
      <c r="D81" s="22"/>
      <c r="E81" s="38">
        <f t="shared" si="3"/>
        <v>0</v>
      </c>
      <c r="F81" s="22"/>
      <c r="G81" s="22"/>
      <c r="H81" s="18"/>
      <c r="I81" s="18"/>
      <c r="J81" s="18"/>
      <c r="K81" s="18"/>
      <c r="L81" s="18"/>
      <c r="M81" s="18"/>
      <c r="N81" s="18"/>
      <c r="O81" s="38">
        <f t="shared" si="27"/>
        <v>0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8"/>
      <c r="AD81" s="18"/>
      <c r="AE81" s="18"/>
      <c r="AF81" s="22"/>
      <c r="AG81" s="22"/>
      <c r="AH81" s="38">
        <f t="shared" si="4"/>
        <v>0</v>
      </c>
      <c r="AI81" s="38">
        <f t="shared" si="5"/>
        <v>0</v>
      </c>
      <c r="AJ81" s="38">
        <f t="shared" si="6"/>
        <v>0</v>
      </c>
      <c r="AK81" s="38">
        <f t="shared" si="9"/>
        <v>0</v>
      </c>
      <c r="AL81" s="38">
        <f t="shared" si="10"/>
        <v>0</v>
      </c>
      <c r="AM81" s="38">
        <f t="shared" si="7"/>
        <v>0</v>
      </c>
      <c r="AN81" s="38" t="s">
        <v>20</v>
      </c>
      <c r="AO81" s="39">
        <f t="shared" si="8"/>
        <v>0</v>
      </c>
    </row>
    <row r="82" spans="1:43" s="116" customFormat="1" ht="25.2" thickBot="1" x14ac:dyDescent="0.5">
      <c r="A82" s="113"/>
      <c r="B82" s="114" t="s">
        <v>100</v>
      </c>
      <c r="C82" s="48">
        <f t="shared" ref="C82:AL82" si="28">C17+C20+C43+C58+C64</f>
        <v>24570.93</v>
      </c>
      <c r="D82" s="48">
        <f t="shared" si="28"/>
        <v>2554.0700000000006</v>
      </c>
      <c r="E82" s="48">
        <f t="shared" si="28"/>
        <v>23874.485000000004</v>
      </c>
      <c r="F82" s="48">
        <f t="shared" si="28"/>
        <v>19618.322</v>
      </c>
      <c r="G82" s="48">
        <f t="shared" si="28"/>
        <v>1997.9469999999999</v>
      </c>
      <c r="H82" s="48">
        <f t="shared" si="28"/>
        <v>2258.2159999999999</v>
      </c>
      <c r="I82" s="48">
        <f t="shared" si="28"/>
        <v>60.01</v>
      </c>
      <c r="J82" s="48">
        <f t="shared" si="28"/>
        <v>0</v>
      </c>
      <c r="K82" s="48">
        <f t="shared" si="28"/>
        <v>0</v>
      </c>
      <c r="L82" s="48">
        <f t="shared" si="28"/>
        <v>466.78</v>
      </c>
      <c r="M82" s="48">
        <f t="shared" si="28"/>
        <v>19443.797999999999</v>
      </c>
      <c r="N82" s="48">
        <f t="shared" si="28"/>
        <v>1624.518</v>
      </c>
      <c r="O82" s="48">
        <f t="shared" si="28"/>
        <v>21535.095999999994</v>
      </c>
      <c r="P82" s="48">
        <f t="shared" si="28"/>
        <v>5.3650000000000002</v>
      </c>
      <c r="Q82" s="48">
        <f t="shared" si="28"/>
        <v>137.68099999999998</v>
      </c>
      <c r="R82" s="48">
        <f t="shared" si="28"/>
        <v>309.94600000000003</v>
      </c>
      <c r="S82" s="48">
        <f t="shared" si="28"/>
        <v>0</v>
      </c>
      <c r="T82" s="48">
        <f t="shared" si="28"/>
        <v>0</v>
      </c>
      <c r="U82" s="48">
        <f t="shared" si="28"/>
        <v>0</v>
      </c>
      <c r="V82" s="48">
        <f t="shared" si="28"/>
        <v>0</v>
      </c>
      <c r="W82" s="48">
        <f t="shared" si="28"/>
        <v>0</v>
      </c>
      <c r="X82" s="48">
        <f t="shared" si="28"/>
        <v>0</v>
      </c>
      <c r="Y82" s="48">
        <f t="shared" si="28"/>
        <v>0</v>
      </c>
      <c r="Z82" s="48">
        <f t="shared" si="28"/>
        <v>0</v>
      </c>
      <c r="AA82" s="48">
        <f t="shared" si="28"/>
        <v>0</v>
      </c>
      <c r="AB82" s="48">
        <f t="shared" si="28"/>
        <v>0</v>
      </c>
      <c r="AC82" s="48">
        <f t="shared" si="28"/>
        <v>0</v>
      </c>
      <c r="AD82" s="48">
        <f t="shared" si="28"/>
        <v>0</v>
      </c>
      <c r="AE82" s="48">
        <f t="shared" si="28"/>
        <v>0</v>
      </c>
      <c r="AF82" s="48">
        <f t="shared" si="28"/>
        <v>0</v>
      </c>
      <c r="AG82" s="48">
        <f t="shared" si="28"/>
        <v>0</v>
      </c>
      <c r="AH82" s="48">
        <f t="shared" si="28"/>
        <v>452.99200000000002</v>
      </c>
      <c r="AI82" s="48">
        <f t="shared" si="28"/>
        <v>21988.088</v>
      </c>
      <c r="AJ82" s="48">
        <f t="shared" si="28"/>
        <v>169.15900000000116</v>
      </c>
      <c r="AK82" s="48">
        <f t="shared" si="28"/>
        <v>235.74800000000008</v>
      </c>
      <c r="AL82" s="48">
        <f t="shared" si="28"/>
        <v>1948.27</v>
      </c>
      <c r="AM82" s="46">
        <f t="shared" ref="AM82:AM83" si="29">AJ82+AK82+AL82</f>
        <v>2353.177000000001</v>
      </c>
      <c r="AN82" s="46" t="s">
        <v>20</v>
      </c>
      <c r="AO82" s="47">
        <f t="shared" ref="AO82" si="30">C82-M82-N82-AH82</f>
        <v>3049.6220000000012</v>
      </c>
      <c r="AP82" s="115"/>
      <c r="AQ82" s="115"/>
    </row>
    <row r="83" spans="1:43" ht="25.2" thickBot="1" x14ac:dyDescent="0.5">
      <c r="A83" s="62"/>
      <c r="B83" s="79" t="s">
        <v>12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>
        <f t="shared" si="29"/>
        <v>0</v>
      </c>
      <c r="AN83" s="25"/>
      <c r="AO83" s="26"/>
    </row>
    <row r="84" spans="1:43" x14ac:dyDescent="0.45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 spans="1:43" ht="43.5" customHeight="1" x14ac:dyDescent="0.45">
      <c r="B85" s="28" t="s">
        <v>128</v>
      </c>
      <c r="C85" s="27"/>
      <c r="D85" s="27"/>
      <c r="E85" s="27" t="s">
        <v>129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7" spans="1:43" ht="33.75" customHeight="1" x14ac:dyDescent="0.45">
      <c r="B87" s="27" t="s">
        <v>101</v>
      </c>
      <c r="C87" s="29"/>
      <c r="D87" s="29"/>
      <c r="E87" s="29" t="s">
        <v>130</v>
      </c>
      <c r="F87" s="29"/>
      <c r="G87" s="29"/>
      <c r="H87" s="29"/>
      <c r="I87" s="29"/>
      <c r="J87" s="29"/>
      <c r="K87" s="29"/>
      <c r="L87" s="29"/>
      <c r="M87" s="29"/>
      <c r="N87" s="29"/>
    </row>
  </sheetData>
  <sheetProtection password="CADE" sheet="1" objects="1" scenarios="1" formatColumns="0" formatRows="0"/>
  <mergeCells count="36">
    <mergeCell ref="E4:K4"/>
    <mergeCell ref="AO4:AO8"/>
    <mergeCell ref="AE7:AG7"/>
    <mergeCell ref="AJ4:AM5"/>
    <mergeCell ref="AM6:AM8"/>
    <mergeCell ref="A1:AO1"/>
    <mergeCell ref="A2:AO2"/>
    <mergeCell ref="A4:A8"/>
    <mergeCell ref="B4:B8"/>
    <mergeCell ref="L4:AI4"/>
    <mergeCell ref="AN4:AN8"/>
    <mergeCell ref="L6:O6"/>
    <mergeCell ref="G6:G8"/>
    <mergeCell ref="H6:H8"/>
    <mergeCell ref="L7:N7"/>
    <mergeCell ref="G5:K5"/>
    <mergeCell ref="I7:I8"/>
    <mergeCell ref="AJ6:AL6"/>
    <mergeCell ref="C4:D4"/>
    <mergeCell ref="P6:AH6"/>
    <mergeCell ref="F6:F8"/>
    <mergeCell ref="A84:AO84"/>
    <mergeCell ref="AH7:AH8"/>
    <mergeCell ref="C5:C8"/>
    <mergeCell ref="D5:D8"/>
    <mergeCell ref="E5:E8"/>
    <mergeCell ref="L5:AH5"/>
    <mergeCell ref="O7:O8"/>
    <mergeCell ref="AI5:AI7"/>
    <mergeCell ref="J6:J8"/>
    <mergeCell ref="K6:K8"/>
    <mergeCell ref="Y7:AA7"/>
    <mergeCell ref="AB7:AD7"/>
    <mergeCell ref="P7:R7"/>
    <mergeCell ref="S7:U7"/>
    <mergeCell ref="V7:X7"/>
  </mergeCells>
  <dataValidations count="1">
    <dataValidation type="decimal" allowBlank="1" showInputMessage="1" showErrorMessage="1" sqref="AO83 D74:D81 D51:D57 D47:D49 D44:D45 D65:D72 D22:D25 D18:D19 D59:D63 D27:D42 Q44:AG45 Q47:AG49 Q51:AG57 Q65:AG72 Q74:AG81 Q27:AG42 Q59:AG63 Q18:AG19 Q22:AG25 G51:G56 H51:N57 G18:N19 G59:N63 G27:N42 G74:N81 G65:N72 G47:N49 G44:N45 G22:N25 D83:AL83">
      <formula1>-100000000000000000</formula1>
      <formula2>100000000000000000</formula2>
    </dataValidation>
  </dataValidations>
  <printOptions horizontalCentered="1" verticalCentered="1"/>
  <pageMargins left="0" right="0" top="0" bottom="0" header="0.31496062992125984" footer="0.31496062992125984"/>
  <pageSetup paperSize="9" scale="25" orientation="landscape" r:id="rId1"/>
  <rowBreaks count="1" manualBreakCount="1">
    <brk id="40" max="32" man="1"/>
  </rowBreaks>
  <colBreaks count="1" manualBreakCount="1">
    <brk id="33" max="8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Аркуш1 </vt:lpstr>
      <vt:lpstr>'Аркуш1 '!Заголовки_для_друку</vt:lpstr>
      <vt:lpstr>'Аркуш1 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Товкач Мирослава</dc:creator>
  <cp:lastModifiedBy>fond</cp:lastModifiedBy>
  <cp:lastPrinted>2013-10-15T07:43:47Z</cp:lastPrinted>
  <dcterms:created xsi:type="dcterms:W3CDTF">2013-02-01T12:58:42Z</dcterms:created>
  <dcterms:modified xsi:type="dcterms:W3CDTF">2013-10-24T07:19:01Z</dcterms:modified>
</cp:coreProperties>
</file>